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 REHEARING/STAFF's 1st Set Rehearing/"/>
    </mc:Choice>
  </mc:AlternateContent>
  <xr:revisionPtr revIDLastSave="0" documentId="13_ncr:1_{82E8CE1C-26AF-4BF2-9F1D-38D49C382BAE}" xr6:coauthVersionLast="41" xr6:coauthVersionMax="41" xr10:uidLastSave="{00000000-0000-0000-0000-000000000000}"/>
  <bookViews>
    <workbookView xWindow="-108" yWindow="-108" windowWidth="23256" windowHeight="12576" tabRatio="601" firstSheet="3" activeTab="6" xr2:uid="{00000000-000D-0000-FFFF-FFFF00000000}"/>
  </bookViews>
  <sheets>
    <sheet name="CGE PROD not used" sheetId="11" state="hidden" r:id="rId1"/>
    <sheet name="CGE GP not used" sheetId="13" state="hidden" r:id="rId2"/>
    <sheet name="CGE M&amp;S not used" sheetId="14" state="hidden" r:id="rId3"/>
    <sheet name="LFCR as Filed" sheetId="23" r:id="rId4"/>
    <sheet name="Rates as Filed" sheetId="24" r:id="rId5"/>
    <sheet name="LFCR per Order" sheetId="25" r:id="rId6"/>
    <sheet name="Proposed Rates" sheetId="26" r:id="rId7"/>
    <sheet name="Stock S3" sheetId="6" state="hidden" r:id="rId8"/>
  </sheets>
  <definedNames>
    <definedName name="\A" localSheetId="3">#REF!</definedName>
    <definedName name="\A" localSheetId="5">#REF!</definedName>
    <definedName name="\A" localSheetId="6">#REF!</definedName>
    <definedName name="\A">#REF!</definedName>
    <definedName name="\B" localSheetId="1">'CGE GP not used'!$A$67</definedName>
    <definedName name="\B" localSheetId="2">'CGE M&amp;S not used'!$A$67</definedName>
    <definedName name="\B" localSheetId="0">'CGE PROD not used'!$A$67</definedName>
    <definedName name="\B" localSheetId="3">'LFCR as Filed'!$A$40</definedName>
    <definedName name="\B" localSheetId="5">'LFCR per Order'!$A$40</definedName>
    <definedName name="\B" localSheetId="6">#REF!</definedName>
    <definedName name="\B" localSheetId="7">#REF!</definedName>
    <definedName name="\B">#REF!</definedName>
    <definedName name="\C" localSheetId="3">#REF!</definedName>
    <definedName name="\C" localSheetId="5">#REF!</definedName>
    <definedName name="\C" localSheetId="6">#REF!</definedName>
    <definedName name="\C">#REF!</definedName>
    <definedName name="\D" localSheetId="3">#REF!</definedName>
    <definedName name="\D" localSheetId="5">#REF!</definedName>
    <definedName name="\D" localSheetId="6">#REF!</definedName>
    <definedName name="\D">#REF!</definedName>
    <definedName name="\E" localSheetId="3">#REF!</definedName>
    <definedName name="\E" localSheetId="5">#REF!</definedName>
    <definedName name="\E" localSheetId="6">#REF!</definedName>
    <definedName name="\E">#REF!</definedName>
    <definedName name="\F" localSheetId="3">#REF!</definedName>
    <definedName name="\F" localSheetId="5">#REF!</definedName>
    <definedName name="\F" localSheetId="6">#REF!</definedName>
    <definedName name="\F">#REF!</definedName>
    <definedName name="\G" localSheetId="5">#REF!</definedName>
    <definedName name="\G" localSheetId="6">#REF!</definedName>
    <definedName name="\G">#REF!</definedName>
    <definedName name="\H" localSheetId="3">#REF!</definedName>
    <definedName name="\H" localSheetId="5">#REF!</definedName>
    <definedName name="\H" localSheetId="6">#REF!</definedName>
    <definedName name="\H">#REF!</definedName>
    <definedName name="\I" localSheetId="3">#REF!</definedName>
    <definedName name="\I" localSheetId="5">#REF!</definedName>
    <definedName name="\I" localSheetId="6">#REF!</definedName>
    <definedName name="\I">#REF!</definedName>
    <definedName name="\J" localSheetId="3">#REF!</definedName>
    <definedName name="\J" localSheetId="5">#REF!</definedName>
    <definedName name="\J" localSheetId="6">#REF!</definedName>
    <definedName name="\J">#REF!</definedName>
    <definedName name="\K" localSheetId="3">#REF!</definedName>
    <definedName name="\K" localSheetId="5">#REF!</definedName>
    <definedName name="\K" localSheetId="6">#REF!</definedName>
    <definedName name="\K" localSheetId="7">#REF!</definedName>
    <definedName name="\K">#REF!</definedName>
    <definedName name="\L" localSheetId="3">#REF!</definedName>
    <definedName name="\L" localSheetId="5">#REF!</definedName>
    <definedName name="\L" localSheetId="6">#REF!</definedName>
    <definedName name="\L">#REF!</definedName>
    <definedName name="\M" localSheetId="3">#REF!</definedName>
    <definedName name="\M" localSheetId="5">#REF!</definedName>
    <definedName name="\M" localSheetId="6">#REF!</definedName>
    <definedName name="\M">#REF!</definedName>
    <definedName name="\N" localSheetId="3">#REF!</definedName>
    <definedName name="\N" localSheetId="5">#REF!</definedName>
    <definedName name="\N" localSheetId="6">#REF!</definedName>
    <definedName name="\N">#REF!</definedName>
    <definedName name="\P" localSheetId="3">#REF!</definedName>
    <definedName name="\P" localSheetId="5">#REF!</definedName>
    <definedName name="\P" localSheetId="6">#REF!</definedName>
    <definedName name="\P">#REF!</definedName>
    <definedName name="\Q" localSheetId="3">#REF!</definedName>
    <definedName name="\Q" localSheetId="5">#REF!</definedName>
    <definedName name="\Q" localSheetId="6">#REF!</definedName>
    <definedName name="\Q" localSheetId="7">#REF!</definedName>
    <definedName name="\Q">#REF!</definedName>
    <definedName name="\R" localSheetId="3">#REF!</definedName>
    <definedName name="\R" localSheetId="5">#REF!</definedName>
    <definedName name="\R" localSheetId="6">#REF!</definedName>
    <definedName name="\R">#REF!</definedName>
    <definedName name="\S" localSheetId="3">#REF!</definedName>
    <definedName name="\S" localSheetId="5">#REF!</definedName>
    <definedName name="\S" localSheetId="6">#REF!</definedName>
    <definedName name="\S">#REF!</definedName>
    <definedName name="\T" localSheetId="3">#REF!</definedName>
    <definedName name="\T" localSheetId="5">#REF!</definedName>
    <definedName name="\T" localSheetId="6">#REF!</definedName>
    <definedName name="\T">#REF!</definedName>
    <definedName name="\U" localSheetId="3">#REF!</definedName>
    <definedName name="\U" localSheetId="5">#REF!</definedName>
    <definedName name="\U" localSheetId="6">#REF!</definedName>
    <definedName name="\U">#REF!</definedName>
    <definedName name="\V" localSheetId="3">#REF!</definedName>
    <definedName name="\V" localSheetId="5">#REF!</definedName>
    <definedName name="\V" localSheetId="6">#REF!</definedName>
    <definedName name="\V">#REF!</definedName>
    <definedName name="\W" localSheetId="3">#REF!</definedName>
    <definedName name="\W" localSheetId="5">#REF!</definedName>
    <definedName name="\W" localSheetId="6">#REF!</definedName>
    <definedName name="\W">#REF!</definedName>
    <definedName name="\Y" localSheetId="3">#REF!</definedName>
    <definedName name="\Y" localSheetId="5">#REF!</definedName>
    <definedName name="\Y" localSheetId="6">#REF!</definedName>
    <definedName name="\Y">#REF!</definedName>
    <definedName name="\Z" localSheetId="3">#REF!</definedName>
    <definedName name="\Z" localSheetId="5">#REF!</definedName>
    <definedName name="\Z" localSheetId="6">#REF!</definedName>
    <definedName name="\Z">#REF!</definedName>
    <definedName name="__CCR30" localSheetId="3">#REF!</definedName>
    <definedName name="__CCR30" localSheetId="5">#REF!</definedName>
    <definedName name="__CCR30" localSheetId="6">#REF!</definedName>
    <definedName name="__CCR30">#REF!</definedName>
    <definedName name="_CCR30" localSheetId="3">#REF!</definedName>
    <definedName name="_CCR30" localSheetId="5">#REF!</definedName>
    <definedName name="_CCR30" localSheetId="6">#REF!</definedName>
    <definedName name="_CCR30">#REF!</definedName>
    <definedName name="_Order1" hidden="1">255</definedName>
    <definedName name="A1_" localSheetId="3">#REF!</definedName>
    <definedName name="A1_" localSheetId="5">#REF!</definedName>
    <definedName name="A1_" localSheetId="6">#REF!</definedName>
    <definedName name="A1_">#REF!</definedName>
    <definedName name="AVGCAP" localSheetId="5">#REF!</definedName>
    <definedName name="AVGCAP" localSheetId="6">#REF!</definedName>
    <definedName name="AVGCAP">#REF!</definedName>
    <definedName name="CALCWIP" localSheetId="3">#REF!</definedName>
    <definedName name="CALCWIP" localSheetId="5">#REF!</definedName>
    <definedName name="CALCWIP" localSheetId="6">#REF!</definedName>
    <definedName name="CALCWIP">#REF!</definedName>
    <definedName name="CAPST" localSheetId="3">#REF!</definedName>
    <definedName name="CAPST" localSheetId="5">#REF!</definedName>
    <definedName name="CAPST" localSheetId="6">#REF!</definedName>
    <definedName name="CAPST">#REF!</definedName>
    <definedName name="CAPSTR" localSheetId="3">#REF!</definedName>
    <definedName name="CAPSTR" localSheetId="5">#REF!</definedName>
    <definedName name="CAPSTR" localSheetId="6">#REF!</definedName>
    <definedName name="CAPSTR">#REF!</definedName>
    <definedName name="CO30_1_2" localSheetId="3">#REF!</definedName>
    <definedName name="CO30_1_2" localSheetId="5">#REF!</definedName>
    <definedName name="CO30_1_2" localSheetId="6">#REF!</definedName>
    <definedName name="CO30_1_2">#REF!</definedName>
    <definedName name="CO30_2_2" localSheetId="3">#REF!</definedName>
    <definedName name="CO30_2_2" localSheetId="5">#REF!</definedName>
    <definedName name="CO30_2_2" localSheetId="6">#REF!</definedName>
    <definedName name="CO30_2_2">#REF!</definedName>
    <definedName name="COMFEE" localSheetId="3">#REF!</definedName>
    <definedName name="COMFEE" localSheetId="5">#REF!</definedName>
    <definedName name="COMFEE" localSheetId="6">#REF!</definedName>
    <definedName name="COMFEE">#REF!</definedName>
    <definedName name="COMP1" localSheetId="3">#REF!</definedName>
    <definedName name="COMP1" localSheetId="5">#REF!</definedName>
    <definedName name="COMP1" localSheetId="6">#REF!</definedName>
    <definedName name="COMP1">#REF!</definedName>
    <definedName name="COMP2" localSheetId="3">#REF!</definedName>
    <definedName name="COMP2" localSheetId="5">#REF!</definedName>
    <definedName name="COMP2" localSheetId="6">#REF!</definedName>
    <definedName name="COMP2">#REF!</definedName>
    <definedName name="Company" localSheetId="3">'LFCR as Filed'!$A$1</definedName>
    <definedName name="Company" localSheetId="5">'LFCR per Order'!$A$1</definedName>
    <definedName name="Company" localSheetId="6">#REF!</definedName>
    <definedName name="Company">#REF!</definedName>
    <definedName name="DEBTST" localSheetId="3">#REF!</definedName>
    <definedName name="DEBTST" localSheetId="5">#REF!</definedName>
    <definedName name="DEBTST" localSheetId="6">#REF!</definedName>
    <definedName name="DEBTST">#REF!</definedName>
    <definedName name="EACOST" localSheetId="3">#REF!</definedName>
    <definedName name="EACOST" localSheetId="5">#REF!</definedName>
    <definedName name="EACOST" localSheetId="6">#REF!</definedName>
    <definedName name="EACOST">#REF!</definedName>
    <definedName name="ECON" localSheetId="3">#REF!</definedName>
    <definedName name="ECON" localSheetId="5">#REF!</definedName>
    <definedName name="ECON" localSheetId="6">#REF!</definedName>
    <definedName name="ECON">#REF!</definedName>
    <definedName name="ED_1" localSheetId="3">#REF!</definedName>
    <definedName name="ED_1" localSheetId="5">#REF!</definedName>
    <definedName name="ED_1" localSheetId="6">#REF!</definedName>
    <definedName name="ED_1">#REF!</definedName>
    <definedName name="ED_2" localSheetId="3">#REF!</definedName>
    <definedName name="ED_2" localSheetId="5">#REF!</definedName>
    <definedName name="ED_2" localSheetId="6">#REF!</definedName>
    <definedName name="ED_2">#REF!</definedName>
    <definedName name="ED_3" localSheetId="3">#REF!</definedName>
    <definedName name="ED_3" localSheetId="5">#REF!</definedName>
    <definedName name="ED_3" localSheetId="6">#REF!</definedName>
    <definedName name="ED_3">#REF!</definedName>
    <definedName name="ED_4" localSheetId="3">#REF!</definedName>
    <definedName name="ED_4" localSheetId="5">#REF!</definedName>
    <definedName name="ED_4" localSheetId="6">#REF!</definedName>
    <definedName name="ED_4">#REF!</definedName>
    <definedName name="ED_B" localSheetId="3">#REF!</definedName>
    <definedName name="ED_B" localSheetId="5">#REF!</definedName>
    <definedName name="ED_B" localSheetId="6">#REF!</definedName>
    <definedName name="ED_B">#REF!</definedName>
    <definedName name="ED_C" localSheetId="3">#REF!</definedName>
    <definedName name="ED_C" localSheetId="5">#REF!</definedName>
    <definedName name="ED_C" localSheetId="6">#REF!</definedName>
    <definedName name="ED_C">#REF!</definedName>
    <definedName name="ED_CSCH1" localSheetId="3">#REF!</definedName>
    <definedName name="ED_CSCH1" localSheetId="5">#REF!</definedName>
    <definedName name="ED_CSCH1" localSheetId="6">#REF!</definedName>
    <definedName name="ED_CSCH1">#REF!</definedName>
    <definedName name="EXHIBITA" localSheetId="3">#REF!</definedName>
    <definedName name="EXHIBITA" localSheetId="5">#REF!</definedName>
    <definedName name="EXHIBITA" localSheetId="6">#REF!</definedName>
    <definedName name="EXHIBITA">#REF!</definedName>
    <definedName name="EXHIBITC1" localSheetId="3">#REF!</definedName>
    <definedName name="EXHIBITC1" localSheetId="5">#REF!</definedName>
    <definedName name="EXHIBITC1" localSheetId="6">#REF!</definedName>
    <definedName name="EXHIBITC1">#REF!</definedName>
    <definedName name="EXHIBITD" localSheetId="3">#REF!</definedName>
    <definedName name="EXHIBITD" localSheetId="5">#REF!</definedName>
    <definedName name="EXHIBITD" localSheetId="6">#REF!</definedName>
    <definedName name="EXHIBITD">#REF!</definedName>
    <definedName name="EXHIBITE" localSheetId="3">#REF!</definedName>
    <definedName name="EXHIBITE" localSheetId="5">#REF!</definedName>
    <definedName name="EXHIBITE" localSheetId="6">#REF!</definedName>
    <definedName name="EXHIBITE">#REF!</definedName>
    <definedName name="FEES" localSheetId="3">#REF!</definedName>
    <definedName name="FEES" localSheetId="5">#REF!</definedName>
    <definedName name="FEES" localSheetId="6">#REF!</definedName>
    <definedName name="FEES">#REF!</definedName>
    <definedName name="KWH" localSheetId="3">#REF!</definedName>
    <definedName name="KWH" localSheetId="5">#REF!</definedName>
    <definedName name="KWH" localSheetId="6">#REF!</definedName>
    <definedName name="KWH">#REF!</definedName>
    <definedName name="LETTER" localSheetId="3">#REF!</definedName>
    <definedName name="LETTER" localSheetId="5">#REF!</definedName>
    <definedName name="LETTER" localSheetId="6">#REF!</definedName>
    <definedName name="LETTER">#REF!</definedName>
    <definedName name="LETTER1" localSheetId="3">#REF!</definedName>
    <definedName name="LETTER1" localSheetId="5">#REF!</definedName>
    <definedName name="LETTER1" localSheetId="6">#REF!</definedName>
    <definedName name="LETTER1">#REF!</definedName>
    <definedName name="LFCR" localSheetId="3">#REF!</definedName>
    <definedName name="LFCR" localSheetId="5">#REF!</definedName>
    <definedName name="LFCR" localSheetId="6">#REF!</definedName>
    <definedName name="LFCR">#REF!</definedName>
    <definedName name="LOCATE" localSheetId="3">#REF!</definedName>
    <definedName name="LOCATE" localSheetId="5">#REF!</definedName>
    <definedName name="LOCATE" localSheetId="6">#REF!</definedName>
    <definedName name="LOCATE">#REF!</definedName>
    <definedName name="LTDEBT" localSheetId="3">#REF!</definedName>
    <definedName name="LTDEBT" localSheetId="5">#REF!</definedName>
    <definedName name="LTDEBT" localSheetId="6">#REF!</definedName>
    <definedName name="LTDEBT">#REF!</definedName>
    <definedName name="MORE" localSheetId="3">#REF!</definedName>
    <definedName name="MORE" localSheetId="5">#REF!</definedName>
    <definedName name="MORE" localSheetId="6">#REF!</definedName>
    <definedName name="MORE">#REF!</definedName>
    <definedName name="MTN" localSheetId="3">#REF!</definedName>
    <definedName name="MTN" localSheetId="5">#REF!</definedName>
    <definedName name="MTN" localSheetId="6">#REF!</definedName>
    <definedName name="MTN">#REF!</definedName>
    <definedName name="MTNA" localSheetId="3">#REF!</definedName>
    <definedName name="MTNA" localSheetId="5">#REF!</definedName>
    <definedName name="MTNA" localSheetId="6">#REF!</definedName>
    <definedName name="MTNA">#REF!</definedName>
    <definedName name="MTNB" localSheetId="3">#REF!</definedName>
    <definedName name="MTNB" localSheetId="5">#REF!</definedName>
    <definedName name="MTNB" localSheetId="6">#REF!</definedName>
    <definedName name="MTNB">#REF!</definedName>
    <definedName name="NETL_GDT" localSheetId="3">#REF!</definedName>
    <definedName name="NETL_GDT" localSheetId="5">#REF!</definedName>
    <definedName name="NETL_GDT" localSheetId="6">#REF!</definedName>
    <definedName name="NETL_GDT">#REF!</definedName>
    <definedName name="NETPREXP" localSheetId="3">#REF!</definedName>
    <definedName name="NETPREXP" localSheetId="5">#REF!</definedName>
    <definedName name="NETPREXP" localSheetId="6">#REF!</definedName>
    <definedName name="NETPREXP">#REF!</definedName>
    <definedName name="NEWRCF" localSheetId="3">#REF!</definedName>
    <definedName name="NEWRCF" localSheetId="5">#REF!</definedName>
    <definedName name="NEWRCF" localSheetId="6">#REF!</definedName>
    <definedName name="NEWRCF">#REF!</definedName>
    <definedName name="PAGE1" localSheetId="3">#REF!</definedName>
    <definedName name="PAGE1" localSheetId="5">#REF!</definedName>
    <definedName name="PAGE1" localSheetId="6">#REF!</definedName>
    <definedName name="PAGE1">#REF!</definedName>
    <definedName name="PREFER" localSheetId="3">#REF!</definedName>
    <definedName name="PREFER" localSheetId="5">#REF!</definedName>
    <definedName name="PREFER" localSheetId="6">#REF!</definedName>
    <definedName name="PREFER" localSheetId="7">'Stock S3'!$A$3:$K$50</definedName>
    <definedName name="PREFER">#REF!</definedName>
    <definedName name="PRINT" localSheetId="3">#REF!</definedName>
    <definedName name="PRINT" localSheetId="5">#REF!</definedName>
    <definedName name="PRINT" localSheetId="6">#REF!</definedName>
    <definedName name="PRINT">#REF!</definedName>
    <definedName name="_xlnm.Print_Area" localSheetId="1">'CGE GP not used'!$A$1:$H$59</definedName>
    <definedName name="_xlnm.Print_Area" localSheetId="2">'CGE M&amp;S not used'!$A$1:$H$59</definedName>
    <definedName name="_xlnm.Print_Area" localSheetId="0">'CGE PROD not used'!$A$1:$H$59</definedName>
    <definedName name="_xlnm.Print_Area" localSheetId="7">'Stock S3'!$A$1:$K$52</definedName>
    <definedName name="RATE" localSheetId="3">#REF!</definedName>
    <definedName name="RATE" localSheetId="5">#REF!</definedName>
    <definedName name="RATE" localSheetId="6">#REF!</definedName>
    <definedName name="RATE">#REF!</definedName>
    <definedName name="ROR" localSheetId="5">#REF!</definedName>
    <definedName name="ROR" localSheetId="6">#REF!</definedName>
    <definedName name="ROR">#REF!</definedName>
    <definedName name="SAME" localSheetId="3">#REF!</definedName>
    <definedName name="SAME" localSheetId="5">#REF!</definedName>
    <definedName name="SAME" localSheetId="6">#REF!</definedName>
    <definedName name="SAME">#REF!</definedName>
    <definedName name="SCH7_2" localSheetId="3">#REF!</definedName>
    <definedName name="SCH7_2" localSheetId="5">#REF!</definedName>
    <definedName name="SCH7_2" localSheetId="6">#REF!</definedName>
    <definedName name="SCH7_2">#REF!</definedName>
    <definedName name="SCH7_3" localSheetId="3">#REF!</definedName>
    <definedName name="SCH7_3" localSheetId="5">#REF!</definedName>
    <definedName name="SCH7_3" localSheetId="6">#REF!</definedName>
    <definedName name="SCH7_3">#REF!</definedName>
    <definedName name="SH_1" localSheetId="3">#REF!</definedName>
    <definedName name="SH_1" localSheetId="5">#REF!</definedName>
    <definedName name="SH_1" localSheetId="6">#REF!</definedName>
    <definedName name="SH_1">#REF!</definedName>
    <definedName name="SH_2" localSheetId="3">#REF!</definedName>
    <definedName name="SH_2" localSheetId="5">#REF!</definedName>
    <definedName name="SH_2" localSheetId="6">#REF!</definedName>
    <definedName name="SH_2">#REF!</definedName>
    <definedName name="SH_3" localSheetId="3">#REF!</definedName>
    <definedName name="SH_3" localSheetId="5">#REF!</definedName>
    <definedName name="SH_3" localSheetId="6">#REF!</definedName>
    <definedName name="SH_3">#REF!</definedName>
    <definedName name="SH_4" localSheetId="3">#REF!</definedName>
    <definedName name="SH_4" localSheetId="5">#REF!</definedName>
    <definedName name="SH_4" localSheetId="6">#REF!</definedName>
    <definedName name="SH_4">#REF!</definedName>
    <definedName name="SH_5" localSheetId="3">#REF!</definedName>
    <definedName name="SH_5" localSheetId="5">#REF!</definedName>
    <definedName name="SH_5" localSheetId="6">#REF!</definedName>
    <definedName name="SH_5">#REF!</definedName>
    <definedName name="SH_6" localSheetId="3">#REF!</definedName>
    <definedName name="SH_6" localSheetId="5">#REF!</definedName>
    <definedName name="SH_6" localSheetId="6">#REF!</definedName>
    <definedName name="SH_6">#REF!</definedName>
    <definedName name="SH_8_1_3" localSheetId="3">#REF!</definedName>
    <definedName name="SH_8_1_3" localSheetId="5">#REF!</definedName>
    <definedName name="SH_8_1_3" localSheetId="6">#REF!</definedName>
    <definedName name="SH_8_1_3">#REF!</definedName>
    <definedName name="SH_8_2_3" localSheetId="3">#REF!</definedName>
    <definedName name="SH_8_2_3" localSheetId="5">#REF!</definedName>
    <definedName name="SH_8_2_3" localSheetId="6">#REF!</definedName>
    <definedName name="SH_8_2_3">#REF!</definedName>
    <definedName name="SH_8_3_3" localSheetId="3">#REF!</definedName>
    <definedName name="SH_8_3_3" localSheetId="5">#REF!</definedName>
    <definedName name="SH_8_3_3" localSheetId="6">#REF!</definedName>
    <definedName name="SH_8_3_3">#REF!</definedName>
    <definedName name="SH_9_1_3" localSheetId="3">#REF!</definedName>
    <definedName name="SH_9_1_3" localSheetId="5">#REF!</definedName>
    <definedName name="SH_9_1_3" localSheetId="6">#REF!</definedName>
    <definedName name="SH_9_1_3">#REF!</definedName>
    <definedName name="SH_9_2_3" localSheetId="3">#REF!</definedName>
    <definedName name="SH_9_2_3" localSheetId="5">#REF!</definedName>
    <definedName name="SH_9_2_3" localSheetId="6">#REF!</definedName>
    <definedName name="SH_9_2_3">#REF!</definedName>
    <definedName name="SH_9_3_3" localSheetId="3">#REF!</definedName>
    <definedName name="SH_9_3_3" localSheetId="5">#REF!</definedName>
    <definedName name="SH_9_3_3" localSheetId="6">#REF!</definedName>
    <definedName name="SH_9_3_3">#REF!</definedName>
    <definedName name="SH10_1" localSheetId="3">#REF!</definedName>
    <definedName name="SH10_1" localSheetId="5">#REF!</definedName>
    <definedName name="SH10_1" localSheetId="6">#REF!</definedName>
    <definedName name="SH10_1">#REF!</definedName>
    <definedName name="SH11_1" localSheetId="3">#REF!</definedName>
    <definedName name="SH11_1" localSheetId="5">#REF!</definedName>
    <definedName name="SH11_1" localSheetId="6">#REF!</definedName>
    <definedName name="SH11_1">#REF!</definedName>
    <definedName name="SHEETA" localSheetId="3">#REF!</definedName>
    <definedName name="SHEETA" localSheetId="5">#REF!</definedName>
    <definedName name="SHEETA" localSheetId="6">#REF!</definedName>
    <definedName name="SHEETA">#REF!</definedName>
    <definedName name="SHEETB" localSheetId="1">'CGE GP not used'!$A$1:$H$50</definedName>
    <definedName name="SHEETB" localSheetId="2">'CGE M&amp;S not used'!$A$1:$H$50</definedName>
    <definedName name="SHEETB" localSheetId="0">'CGE PROD not used'!$A$1:$H$50</definedName>
    <definedName name="SHEETB" localSheetId="3">'LFCR as Filed'!$A$1:$H$25</definedName>
    <definedName name="SHEETB" localSheetId="5">'LFCR per Order'!$A$1:$H$25</definedName>
    <definedName name="SHEETB" localSheetId="6">#REF!</definedName>
    <definedName name="SHEETB">#REF!</definedName>
    <definedName name="SHEETF" localSheetId="3">#REF!</definedName>
    <definedName name="SHEETF" localSheetId="5">#REF!</definedName>
    <definedName name="SHEETF" localSheetId="6">#REF!</definedName>
    <definedName name="SHEETF">#REF!</definedName>
    <definedName name="STEAM" localSheetId="3">#REF!</definedName>
    <definedName name="STEAM" localSheetId="5">#REF!</definedName>
    <definedName name="STEAM" localSheetId="6">#REF!</definedName>
    <definedName name="STEAM">#REF!</definedName>
    <definedName name="STLOANS" localSheetId="3">#REF!</definedName>
    <definedName name="STLOANS" localSheetId="5">#REF!</definedName>
    <definedName name="STLOANS" localSheetId="6">#REF!</definedName>
    <definedName name="STLOANS">#REF!</definedName>
    <definedName name="TEXT" localSheetId="3">#REF!</definedName>
    <definedName name="TEXT" localSheetId="5">#REF!</definedName>
    <definedName name="TEXT" localSheetId="6">#REF!</definedName>
    <definedName name="TEXT">#REF!</definedName>
    <definedName name="W_ACT1_F" localSheetId="3">#REF!</definedName>
    <definedName name="W_ACT1_F" localSheetId="5">#REF!</definedName>
    <definedName name="W_ACT1_F" localSheetId="6">#REF!</definedName>
    <definedName name="W_ACT1_F">#REF!</definedName>
    <definedName name="W_ACT2_S" localSheetId="3">#REF!</definedName>
    <definedName name="W_ACT2_S" localSheetId="5">#REF!</definedName>
    <definedName name="W_ACT2_S" localSheetId="6">#REF!</definedName>
    <definedName name="W_ACT2_S">#REF!</definedName>
    <definedName name="W_ACT3_F" localSheetId="3">#REF!</definedName>
    <definedName name="W_ACT3_F" localSheetId="5">#REF!</definedName>
    <definedName name="W_ACT3_F" localSheetId="6">#REF!</definedName>
    <definedName name="W_ACT3_F">#REF!</definedName>
    <definedName name="W_ACT3_S" localSheetId="3">#REF!</definedName>
    <definedName name="W_ACT3_S" localSheetId="5">#REF!</definedName>
    <definedName name="W_ACT3_S" localSheetId="6">#REF!</definedName>
    <definedName name="W_ACT3_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4" i="26" l="1"/>
  <c r="Q46" i="26"/>
  <c r="Q31" i="26"/>
  <c r="Q21" i="26"/>
  <c r="Q9" i="26"/>
  <c r="K81" i="26"/>
  <c r="J81" i="26"/>
  <c r="I81" i="26"/>
  <c r="G81" i="26"/>
  <c r="F81" i="26"/>
  <c r="H81" i="26" s="1"/>
  <c r="I80" i="26"/>
  <c r="K80" i="26" s="1"/>
  <c r="G80" i="26"/>
  <c r="F80" i="26"/>
  <c r="H80" i="26" s="1"/>
  <c r="K79" i="26"/>
  <c r="J79" i="26"/>
  <c r="L79" i="26" s="1"/>
  <c r="I79" i="26"/>
  <c r="H79" i="26"/>
  <c r="G79" i="26"/>
  <c r="F79" i="26"/>
  <c r="I78" i="26"/>
  <c r="K78" i="26" s="1"/>
  <c r="G78" i="26"/>
  <c r="F78" i="26"/>
  <c r="H78" i="26" s="1"/>
  <c r="K77" i="26"/>
  <c r="J77" i="26"/>
  <c r="L77" i="26" s="1"/>
  <c r="I77" i="26"/>
  <c r="H77" i="26"/>
  <c r="G77" i="26"/>
  <c r="F77" i="26"/>
  <c r="I76" i="26"/>
  <c r="K76" i="26" s="1"/>
  <c r="G76" i="26"/>
  <c r="F76" i="26"/>
  <c r="H76" i="26" s="1"/>
  <c r="K75" i="26"/>
  <c r="J75" i="26"/>
  <c r="I75" i="26"/>
  <c r="H75" i="26"/>
  <c r="G75" i="26"/>
  <c r="F75" i="26"/>
  <c r="I72" i="26"/>
  <c r="K72" i="26" s="1"/>
  <c r="G72" i="26"/>
  <c r="H72" i="26" s="1"/>
  <c r="F72" i="26"/>
  <c r="K71" i="26"/>
  <c r="I71" i="26"/>
  <c r="J71" i="26" s="1"/>
  <c r="G71" i="26"/>
  <c r="F71" i="26"/>
  <c r="H71" i="26" s="1"/>
  <c r="I70" i="26"/>
  <c r="K70" i="26" s="1"/>
  <c r="G70" i="26"/>
  <c r="H70" i="26" s="1"/>
  <c r="F70" i="26"/>
  <c r="K69" i="26"/>
  <c r="I69" i="26"/>
  <c r="J69" i="26" s="1"/>
  <c r="G69" i="26"/>
  <c r="F69" i="26"/>
  <c r="H69" i="26" s="1"/>
  <c r="I68" i="26"/>
  <c r="K68" i="26" s="1"/>
  <c r="G68" i="26"/>
  <c r="H68" i="26" s="1"/>
  <c r="F68" i="26"/>
  <c r="K67" i="26"/>
  <c r="I67" i="26"/>
  <c r="J67" i="26" s="1"/>
  <c r="G67" i="26"/>
  <c r="F67" i="26"/>
  <c r="H67" i="26" s="1"/>
  <c r="I66" i="26"/>
  <c r="K66" i="26" s="1"/>
  <c r="G66" i="26"/>
  <c r="H66" i="26" s="1"/>
  <c r="F66" i="26"/>
  <c r="K65" i="26"/>
  <c r="I65" i="26"/>
  <c r="J65" i="26" s="1"/>
  <c r="G65" i="26"/>
  <c r="F65" i="26"/>
  <c r="H65" i="26" s="1"/>
  <c r="I64" i="26"/>
  <c r="K64" i="26" s="1"/>
  <c r="G64" i="26"/>
  <c r="H64" i="26" s="1"/>
  <c r="F64" i="26"/>
  <c r="K63" i="26"/>
  <c r="I63" i="26"/>
  <c r="J63" i="26" s="1"/>
  <c r="G63" i="26"/>
  <c r="F63" i="26"/>
  <c r="H63" i="26" s="1"/>
  <c r="I62" i="26"/>
  <c r="K62" i="26" s="1"/>
  <c r="G62" i="26"/>
  <c r="H62" i="26" s="1"/>
  <c r="F62" i="26"/>
  <c r="K61" i="26"/>
  <c r="I61" i="26"/>
  <c r="J61" i="26" s="1"/>
  <c r="G61" i="26"/>
  <c r="F61" i="26"/>
  <c r="H61" i="26" s="1"/>
  <c r="I60" i="26"/>
  <c r="K60" i="26" s="1"/>
  <c r="G60" i="26"/>
  <c r="H60" i="26" s="1"/>
  <c r="F60" i="26"/>
  <c r="K59" i="26"/>
  <c r="I59" i="26"/>
  <c r="J59" i="26" s="1"/>
  <c r="G59" i="26"/>
  <c r="F59" i="26"/>
  <c r="H59" i="26" s="1"/>
  <c r="I58" i="26"/>
  <c r="K58" i="26" s="1"/>
  <c r="G58" i="26"/>
  <c r="H58" i="26" s="1"/>
  <c r="F58" i="26"/>
  <c r="K57" i="26"/>
  <c r="I57" i="26"/>
  <c r="J57" i="26" s="1"/>
  <c r="G57" i="26"/>
  <c r="F57" i="26"/>
  <c r="H57" i="26" s="1"/>
  <c r="I56" i="26"/>
  <c r="K56" i="26" s="1"/>
  <c r="G56" i="26"/>
  <c r="H56" i="26" s="1"/>
  <c r="F56" i="26"/>
  <c r="K55" i="26"/>
  <c r="I55" i="26"/>
  <c r="J55" i="26" s="1"/>
  <c r="G55" i="26"/>
  <c r="F55" i="26"/>
  <c r="H55" i="26" s="1"/>
  <c r="I54" i="26"/>
  <c r="K54" i="26" s="1"/>
  <c r="G54" i="26"/>
  <c r="H54" i="26" s="1"/>
  <c r="F54" i="26"/>
  <c r="K53" i="26"/>
  <c r="I53" i="26"/>
  <c r="J53" i="26" s="1"/>
  <c r="G53" i="26"/>
  <c r="F53" i="26"/>
  <c r="H53" i="26" s="1"/>
  <c r="I52" i="26"/>
  <c r="K52" i="26" s="1"/>
  <c r="G52" i="26"/>
  <c r="H52" i="26" s="1"/>
  <c r="F52" i="26"/>
  <c r="K51" i="26"/>
  <c r="I51" i="26"/>
  <c r="J51" i="26" s="1"/>
  <c r="G51" i="26"/>
  <c r="F51" i="26"/>
  <c r="H51" i="26" s="1"/>
  <c r="I50" i="26"/>
  <c r="K50" i="26" s="1"/>
  <c r="G50" i="26"/>
  <c r="H50" i="26" s="1"/>
  <c r="F50" i="26"/>
  <c r="K49" i="26"/>
  <c r="I49" i="26"/>
  <c r="J49" i="26" s="1"/>
  <c r="G49" i="26"/>
  <c r="F49" i="26"/>
  <c r="H49" i="26" s="1"/>
  <c r="I48" i="26"/>
  <c r="K48" i="26" s="1"/>
  <c r="G48" i="26"/>
  <c r="H48" i="26" s="1"/>
  <c r="F48" i="26"/>
  <c r="K47" i="26"/>
  <c r="I47" i="26"/>
  <c r="J47" i="26" s="1"/>
  <c r="G47" i="26"/>
  <c r="F47" i="26"/>
  <c r="H47" i="26" s="1"/>
  <c r="K44" i="26"/>
  <c r="J44" i="26"/>
  <c r="I44" i="26"/>
  <c r="H44" i="26"/>
  <c r="G44" i="26"/>
  <c r="F44" i="26"/>
  <c r="N43" i="26"/>
  <c r="L43" i="26"/>
  <c r="K43" i="26"/>
  <c r="J43" i="26"/>
  <c r="I43" i="26"/>
  <c r="G43" i="26"/>
  <c r="F43" i="26"/>
  <c r="H43" i="26" s="1"/>
  <c r="K42" i="26"/>
  <c r="J42" i="26"/>
  <c r="I42" i="26"/>
  <c r="H42" i="26"/>
  <c r="G42" i="26"/>
  <c r="F42" i="26"/>
  <c r="N41" i="26"/>
  <c r="L41" i="26"/>
  <c r="K41" i="26"/>
  <c r="J41" i="26"/>
  <c r="I41" i="26"/>
  <c r="G41" i="26"/>
  <c r="F41" i="26"/>
  <c r="H41" i="26" s="1"/>
  <c r="K40" i="26"/>
  <c r="J40" i="26"/>
  <c r="I40" i="26"/>
  <c r="H40" i="26"/>
  <c r="G40" i="26"/>
  <c r="F40" i="26"/>
  <c r="L39" i="26"/>
  <c r="J39" i="26"/>
  <c r="I39" i="26"/>
  <c r="K39" i="26" s="1"/>
  <c r="N39" i="26" s="1"/>
  <c r="G39" i="26"/>
  <c r="F39" i="26"/>
  <c r="H39" i="26" s="1"/>
  <c r="K38" i="26"/>
  <c r="J38" i="26"/>
  <c r="I38" i="26"/>
  <c r="H38" i="26"/>
  <c r="G38" i="26"/>
  <c r="F38" i="26"/>
  <c r="N37" i="26"/>
  <c r="L37" i="26"/>
  <c r="K37" i="26"/>
  <c r="J37" i="26"/>
  <c r="I37" i="26"/>
  <c r="G37" i="26"/>
  <c r="F37" i="26"/>
  <c r="H37" i="26" s="1"/>
  <c r="K36" i="26"/>
  <c r="J36" i="26"/>
  <c r="I36" i="26"/>
  <c r="H36" i="26"/>
  <c r="G36" i="26"/>
  <c r="F36" i="26"/>
  <c r="N35" i="26"/>
  <c r="L35" i="26"/>
  <c r="K35" i="26"/>
  <c r="J35" i="26"/>
  <c r="I35" i="26"/>
  <c r="G35" i="26"/>
  <c r="F35" i="26"/>
  <c r="H35" i="26" s="1"/>
  <c r="K34" i="26"/>
  <c r="J34" i="26"/>
  <c r="I34" i="26"/>
  <c r="H34" i="26"/>
  <c r="G34" i="26"/>
  <c r="F34" i="26"/>
  <c r="N33" i="26"/>
  <c r="L33" i="26"/>
  <c r="K33" i="26"/>
  <c r="J33" i="26"/>
  <c r="I33" i="26"/>
  <c r="G33" i="26"/>
  <c r="F33" i="26"/>
  <c r="H33" i="26" s="1"/>
  <c r="K32" i="26"/>
  <c r="J32" i="26"/>
  <c r="I32" i="26"/>
  <c r="H32" i="26"/>
  <c r="G32" i="26"/>
  <c r="F32" i="26"/>
  <c r="M29" i="26"/>
  <c r="K29" i="26"/>
  <c r="I29" i="26"/>
  <c r="J29" i="26" s="1"/>
  <c r="G29" i="26"/>
  <c r="H29" i="26" s="1"/>
  <c r="F29" i="26"/>
  <c r="I28" i="26"/>
  <c r="G28" i="26"/>
  <c r="F28" i="26"/>
  <c r="H28" i="26" s="1"/>
  <c r="M27" i="26"/>
  <c r="K27" i="26"/>
  <c r="J27" i="26"/>
  <c r="L27" i="26" s="1"/>
  <c r="I27" i="26"/>
  <c r="G27" i="26"/>
  <c r="H27" i="26" s="1"/>
  <c r="F27" i="26"/>
  <c r="I26" i="26"/>
  <c r="J26" i="26" s="1"/>
  <c r="G26" i="26"/>
  <c r="F26" i="26"/>
  <c r="H26" i="26" s="1"/>
  <c r="M25" i="26"/>
  <c r="K25" i="26"/>
  <c r="J25" i="26"/>
  <c r="L25" i="26" s="1"/>
  <c r="I25" i="26"/>
  <c r="G25" i="26"/>
  <c r="H25" i="26" s="1"/>
  <c r="F25" i="26"/>
  <c r="I24" i="26"/>
  <c r="J24" i="26" s="1"/>
  <c r="G24" i="26"/>
  <c r="F24" i="26"/>
  <c r="H24" i="26" s="1"/>
  <c r="M23" i="26"/>
  <c r="K23" i="26"/>
  <c r="J23" i="26"/>
  <c r="L23" i="26" s="1"/>
  <c r="I23" i="26"/>
  <c r="G23" i="26"/>
  <c r="H23" i="26" s="1"/>
  <c r="F23" i="26"/>
  <c r="I22" i="26"/>
  <c r="J22" i="26" s="1"/>
  <c r="G22" i="26"/>
  <c r="F22" i="26"/>
  <c r="H22" i="26" s="1"/>
  <c r="I19" i="26"/>
  <c r="K19" i="26" s="1"/>
  <c r="H19" i="26"/>
  <c r="G19" i="26"/>
  <c r="F19" i="26"/>
  <c r="K18" i="26"/>
  <c r="J18" i="26"/>
  <c r="L18" i="26" s="1"/>
  <c r="I18" i="26"/>
  <c r="H18" i="26"/>
  <c r="G18" i="26"/>
  <c r="F18" i="26"/>
  <c r="I17" i="26"/>
  <c r="K17" i="26" s="1"/>
  <c r="G17" i="26"/>
  <c r="F17" i="26"/>
  <c r="H17" i="26" s="1"/>
  <c r="L16" i="26"/>
  <c r="K16" i="26"/>
  <c r="J16" i="26"/>
  <c r="I16" i="26"/>
  <c r="H16" i="26"/>
  <c r="G16" i="26"/>
  <c r="F16" i="26"/>
  <c r="I15" i="26"/>
  <c r="K15" i="26" s="1"/>
  <c r="G15" i="26"/>
  <c r="F15" i="26"/>
  <c r="H15" i="26" s="1"/>
  <c r="K14" i="26"/>
  <c r="J14" i="26"/>
  <c r="I14" i="26"/>
  <c r="H14" i="26"/>
  <c r="G14" i="26"/>
  <c r="F14" i="26"/>
  <c r="N13" i="26"/>
  <c r="L13" i="26"/>
  <c r="K13" i="26"/>
  <c r="J13" i="26"/>
  <c r="M13" i="26" s="1"/>
  <c r="I13" i="26"/>
  <c r="G13" i="26"/>
  <c r="F13" i="26"/>
  <c r="H13" i="26" s="1"/>
  <c r="K12" i="26"/>
  <c r="J12" i="26"/>
  <c r="I12" i="26"/>
  <c r="H12" i="26"/>
  <c r="G12" i="26"/>
  <c r="F12" i="26"/>
  <c r="N11" i="26"/>
  <c r="L11" i="26"/>
  <c r="K11" i="26"/>
  <c r="J11" i="26"/>
  <c r="M11" i="26" s="1"/>
  <c r="I11" i="26"/>
  <c r="G11" i="26"/>
  <c r="F11" i="26"/>
  <c r="H11" i="26" s="1"/>
  <c r="K10" i="26"/>
  <c r="J10" i="26"/>
  <c r="G10" i="26"/>
  <c r="F10" i="26"/>
  <c r="H10" i="26" s="1"/>
  <c r="G17" i="25"/>
  <c r="H14" i="25"/>
  <c r="H13" i="25"/>
  <c r="H12" i="25"/>
  <c r="H11" i="25"/>
  <c r="H17" i="25" s="1"/>
  <c r="A8" i="25" s="1"/>
  <c r="C52" i="25"/>
  <c r="C51" i="25"/>
  <c r="A35" i="25"/>
  <c r="A31" i="25"/>
  <c r="C26" i="25"/>
  <c r="C25" i="25"/>
  <c r="A9" i="25"/>
  <c r="A5" i="25"/>
  <c r="N12" i="26" l="1"/>
  <c r="M12" i="26"/>
  <c r="O43" i="26"/>
  <c r="P43" i="26" s="1"/>
  <c r="Q43" i="26" s="1"/>
  <c r="M71" i="26"/>
  <c r="N71" i="26"/>
  <c r="L71" i="26"/>
  <c r="O71" i="26" s="1"/>
  <c r="P71" i="26" s="1"/>
  <c r="Q71" i="26" s="1"/>
  <c r="M69" i="26"/>
  <c r="O69" i="26" s="1"/>
  <c r="P69" i="26" s="1"/>
  <c r="Q69" i="26" s="1"/>
  <c r="N69" i="26"/>
  <c r="L69" i="26"/>
  <c r="M67" i="26"/>
  <c r="O67" i="26"/>
  <c r="P67" i="26" s="1"/>
  <c r="Q67" i="26" s="1"/>
  <c r="N67" i="26"/>
  <c r="L67" i="26"/>
  <c r="N14" i="26"/>
  <c r="M14" i="26"/>
  <c r="L12" i="26"/>
  <c r="O12" i="26" s="1"/>
  <c r="P12" i="26" s="1"/>
  <c r="Q12" i="26" s="1"/>
  <c r="K28" i="26"/>
  <c r="J28" i="26"/>
  <c r="K24" i="26"/>
  <c r="N24" i="26" s="1"/>
  <c r="N16" i="26"/>
  <c r="O16" i="26" s="1"/>
  <c r="P16" i="26" s="1"/>
  <c r="Q16" i="26" s="1"/>
  <c r="M16" i="26"/>
  <c r="M65" i="26"/>
  <c r="N65" i="26"/>
  <c r="L65" i="26"/>
  <c r="O65" i="26" s="1"/>
  <c r="P65" i="26" s="1"/>
  <c r="Q65" i="26" s="1"/>
  <c r="O10" i="26"/>
  <c r="P10" i="26" s="1"/>
  <c r="Q10" i="26" s="1"/>
  <c r="N10" i="26"/>
  <c r="M10" i="26"/>
  <c r="L26" i="26"/>
  <c r="L29" i="26"/>
  <c r="O29" i="26" s="1"/>
  <c r="P29" i="26" s="1"/>
  <c r="Q29" i="26" s="1"/>
  <c r="N29" i="26"/>
  <c r="M47" i="26"/>
  <c r="N47" i="26"/>
  <c r="L47" i="26"/>
  <c r="O47" i="26" s="1"/>
  <c r="P47" i="26" s="1"/>
  <c r="Q47" i="26" s="1"/>
  <c r="M49" i="26"/>
  <c r="O49" i="26" s="1"/>
  <c r="P49" i="26" s="1"/>
  <c r="Q49" i="26" s="1"/>
  <c r="N49" i="26"/>
  <c r="L49" i="26"/>
  <c r="M51" i="26"/>
  <c r="N51" i="26"/>
  <c r="L51" i="26"/>
  <c r="O51" i="26" s="1"/>
  <c r="P51" i="26" s="1"/>
  <c r="Q51" i="26" s="1"/>
  <c r="M53" i="26"/>
  <c r="O53" i="26" s="1"/>
  <c r="P53" i="26" s="1"/>
  <c r="Q53" i="26" s="1"/>
  <c r="N53" i="26"/>
  <c r="L53" i="26"/>
  <c r="M55" i="26"/>
  <c r="N55" i="26"/>
  <c r="L55" i="26"/>
  <c r="O55" i="26" s="1"/>
  <c r="P55" i="26" s="1"/>
  <c r="Q55" i="26" s="1"/>
  <c r="M57" i="26"/>
  <c r="O57" i="26" s="1"/>
  <c r="P57" i="26" s="1"/>
  <c r="Q57" i="26" s="1"/>
  <c r="N57" i="26"/>
  <c r="L57" i="26"/>
  <c r="M59" i="26"/>
  <c r="N59" i="26"/>
  <c r="L59" i="26"/>
  <c r="O59" i="26" s="1"/>
  <c r="P59" i="26" s="1"/>
  <c r="Q59" i="26" s="1"/>
  <c r="M61" i="26"/>
  <c r="O61" i="26" s="1"/>
  <c r="P61" i="26" s="1"/>
  <c r="Q61" i="26" s="1"/>
  <c r="N61" i="26"/>
  <c r="L61" i="26"/>
  <c r="M63" i="26"/>
  <c r="N63" i="26"/>
  <c r="L63" i="26"/>
  <c r="O63" i="26" s="1"/>
  <c r="P63" i="26" s="1"/>
  <c r="Q63" i="26" s="1"/>
  <c r="O81" i="26"/>
  <c r="P81" i="26" s="1"/>
  <c r="Q81" i="26" s="1"/>
  <c r="L10" i="26"/>
  <c r="L14" i="26"/>
  <c r="O14" i="26" s="1"/>
  <c r="P14" i="26" s="1"/>
  <c r="Q14" i="26" s="1"/>
  <c r="N18" i="26"/>
  <c r="M18" i="26"/>
  <c r="O18" i="26" s="1"/>
  <c r="P18" i="26" s="1"/>
  <c r="Q18" i="26" s="1"/>
  <c r="O42" i="26"/>
  <c r="P42" i="26" s="1"/>
  <c r="Q42" i="26" s="1"/>
  <c r="N22" i="26"/>
  <c r="M22" i="26"/>
  <c r="K22" i="26"/>
  <c r="L22" i="26" s="1"/>
  <c r="O22" i="26" s="1"/>
  <c r="P22" i="26" s="1"/>
  <c r="Q22" i="26" s="1"/>
  <c r="K26" i="26"/>
  <c r="O11" i="26"/>
  <c r="P11" i="26" s="1"/>
  <c r="Q11" i="26" s="1"/>
  <c r="O13" i="26"/>
  <c r="P13" i="26" s="1"/>
  <c r="Q13" i="26" s="1"/>
  <c r="N23" i="26"/>
  <c r="O23" i="26" s="1"/>
  <c r="P23" i="26" s="1"/>
  <c r="Q23" i="26" s="1"/>
  <c r="N25" i="26"/>
  <c r="O25" i="26" s="1"/>
  <c r="P25" i="26" s="1"/>
  <c r="Q25" i="26" s="1"/>
  <c r="N27" i="26"/>
  <c r="O27" i="26" s="1"/>
  <c r="P27" i="26" s="1"/>
  <c r="Q27" i="26" s="1"/>
  <c r="M33" i="26"/>
  <c r="O33" i="26" s="1"/>
  <c r="P33" i="26" s="1"/>
  <c r="Q33" i="26" s="1"/>
  <c r="M35" i="26"/>
  <c r="O35" i="26" s="1"/>
  <c r="P35" i="26" s="1"/>
  <c r="Q35" i="26" s="1"/>
  <c r="M37" i="26"/>
  <c r="O37" i="26" s="1"/>
  <c r="P37" i="26" s="1"/>
  <c r="Q37" i="26" s="1"/>
  <c r="M39" i="26"/>
  <c r="O39" i="26" s="1"/>
  <c r="P39" i="26" s="1"/>
  <c r="Q39" i="26" s="1"/>
  <c r="M41" i="26"/>
  <c r="O41" i="26" s="1"/>
  <c r="P41" i="26" s="1"/>
  <c r="Q41" i="26" s="1"/>
  <c r="M43" i="26"/>
  <c r="L81" i="26"/>
  <c r="J48" i="26"/>
  <c r="J50" i="26"/>
  <c r="J52" i="26"/>
  <c r="J54" i="26"/>
  <c r="J56" i="26"/>
  <c r="J58" i="26"/>
  <c r="J60" i="26"/>
  <c r="J62" i="26"/>
  <c r="J64" i="26"/>
  <c r="J66" i="26"/>
  <c r="J68" i="26"/>
  <c r="J70" i="26"/>
  <c r="J72" i="26"/>
  <c r="M75" i="26"/>
  <c r="M77" i="26"/>
  <c r="O77" i="26" s="1"/>
  <c r="P77" i="26" s="1"/>
  <c r="Q77" i="26" s="1"/>
  <c r="M79" i="26"/>
  <c r="O79" i="26" s="1"/>
  <c r="P79" i="26" s="1"/>
  <c r="Q79" i="26" s="1"/>
  <c r="M81" i="26"/>
  <c r="L75" i="26"/>
  <c r="O75" i="26" s="1"/>
  <c r="P75" i="26" s="1"/>
  <c r="Q75" i="26" s="1"/>
  <c r="J15" i="26"/>
  <c r="J17" i="26"/>
  <c r="J19" i="26"/>
  <c r="L32" i="26"/>
  <c r="O32" i="26" s="1"/>
  <c r="P32" i="26" s="1"/>
  <c r="Q32" i="26" s="1"/>
  <c r="L34" i="26"/>
  <c r="L36" i="26"/>
  <c r="O36" i="26" s="1"/>
  <c r="P36" i="26" s="1"/>
  <c r="Q36" i="26" s="1"/>
  <c r="L38" i="26"/>
  <c r="L40" i="26"/>
  <c r="L42" i="26"/>
  <c r="L44" i="26"/>
  <c r="O44" i="26" s="1"/>
  <c r="P44" i="26" s="1"/>
  <c r="Q44" i="26" s="1"/>
  <c r="N75" i="26"/>
  <c r="J76" i="26"/>
  <c r="N77" i="26"/>
  <c r="J78" i="26"/>
  <c r="N79" i="26"/>
  <c r="J80" i="26"/>
  <c r="N81" i="26"/>
  <c r="M32" i="26"/>
  <c r="M34" i="26"/>
  <c r="O34" i="26" s="1"/>
  <c r="P34" i="26" s="1"/>
  <c r="Q34" i="26" s="1"/>
  <c r="M36" i="26"/>
  <c r="M38" i="26"/>
  <c r="O38" i="26" s="1"/>
  <c r="P38" i="26" s="1"/>
  <c r="Q38" i="26" s="1"/>
  <c r="M40" i="26"/>
  <c r="O40" i="26" s="1"/>
  <c r="P40" i="26" s="1"/>
  <c r="Q40" i="26" s="1"/>
  <c r="M42" i="26"/>
  <c r="M44" i="26"/>
  <c r="N32" i="26"/>
  <c r="N34" i="26"/>
  <c r="N36" i="26"/>
  <c r="N38" i="26"/>
  <c r="N40" i="26"/>
  <c r="N42" i="26"/>
  <c r="N44" i="26"/>
  <c r="A34" i="25"/>
  <c r="C27" i="25"/>
  <c r="A14" i="25"/>
  <c r="C28" i="25" s="1"/>
  <c r="Q80" i="24"/>
  <c r="Q81" i="24"/>
  <c r="Q75" i="24"/>
  <c r="K81" i="24"/>
  <c r="J81" i="24"/>
  <c r="I81" i="24"/>
  <c r="G81" i="24"/>
  <c r="F81" i="24"/>
  <c r="H81" i="24" s="1"/>
  <c r="I80" i="24"/>
  <c r="K80" i="24" s="1"/>
  <c r="G80" i="24"/>
  <c r="F80" i="24"/>
  <c r="H80" i="24" s="1"/>
  <c r="K79" i="24"/>
  <c r="J79" i="24"/>
  <c r="I79" i="24"/>
  <c r="G79" i="24"/>
  <c r="F79" i="24"/>
  <c r="H79" i="24" s="1"/>
  <c r="K78" i="24"/>
  <c r="I78" i="24"/>
  <c r="J78" i="24" s="1"/>
  <c r="G78" i="24"/>
  <c r="F78" i="24"/>
  <c r="K77" i="24"/>
  <c r="J77" i="24"/>
  <c r="I77" i="24"/>
  <c r="G77" i="24"/>
  <c r="F77" i="24"/>
  <c r="H77" i="24" s="1"/>
  <c r="N76" i="24"/>
  <c r="K76" i="24"/>
  <c r="J76" i="24"/>
  <c r="M76" i="24" s="1"/>
  <c r="I76" i="24"/>
  <c r="G76" i="24"/>
  <c r="F76" i="24"/>
  <c r="H76" i="24" s="1"/>
  <c r="K75" i="24"/>
  <c r="J75" i="24"/>
  <c r="I75" i="24"/>
  <c r="G75" i="24"/>
  <c r="F75" i="24"/>
  <c r="Q74" i="24"/>
  <c r="Q76" i="24" s="1"/>
  <c r="Q31" i="24"/>
  <c r="Q21" i="24"/>
  <c r="Q46" i="24"/>
  <c r="Q48" i="24" s="1"/>
  <c r="Q50" i="24"/>
  <c r="Q51" i="24"/>
  <c r="Q52" i="24"/>
  <c r="Q53" i="24"/>
  <c r="Q54" i="24"/>
  <c r="Q55" i="24"/>
  <c r="Q57" i="24"/>
  <c r="Q58" i="24"/>
  <c r="Q59" i="24"/>
  <c r="Q60" i="24"/>
  <c r="Q61" i="24"/>
  <c r="Q62" i="24"/>
  <c r="Q63" i="24"/>
  <c r="Q65" i="24"/>
  <c r="Q66" i="24"/>
  <c r="Q67" i="24"/>
  <c r="Q68" i="24"/>
  <c r="Q69" i="24"/>
  <c r="Q70" i="24"/>
  <c r="Q71" i="24"/>
  <c r="Q47" i="24"/>
  <c r="F60" i="24"/>
  <c r="G60" i="24"/>
  <c r="H60" i="24"/>
  <c r="I60" i="24"/>
  <c r="J60" i="24"/>
  <c r="N60" i="24" s="1"/>
  <c r="K60" i="24"/>
  <c r="L60" i="24"/>
  <c r="M60" i="24"/>
  <c r="F61" i="24"/>
  <c r="G61" i="24"/>
  <c r="H61" i="24"/>
  <c r="I61" i="24"/>
  <c r="J61" i="24" s="1"/>
  <c r="F62" i="24"/>
  <c r="G62" i="24"/>
  <c r="H62" i="24" s="1"/>
  <c r="I62" i="24"/>
  <c r="J62" i="24"/>
  <c r="N62" i="24" s="1"/>
  <c r="K62" i="24"/>
  <c r="L62" i="24"/>
  <c r="M62" i="24"/>
  <c r="F63" i="24"/>
  <c r="G63" i="24"/>
  <c r="H63" i="24"/>
  <c r="I63" i="24"/>
  <c r="J63" i="24" s="1"/>
  <c r="F64" i="24"/>
  <c r="G64" i="24"/>
  <c r="I64" i="24"/>
  <c r="J64" i="24"/>
  <c r="N64" i="24" s="1"/>
  <c r="K64" i="24"/>
  <c r="O64" i="24" s="1"/>
  <c r="L64" i="24"/>
  <c r="M64" i="24"/>
  <c r="F65" i="24"/>
  <c r="H65" i="24" s="1"/>
  <c r="G65" i="24"/>
  <c r="I65" i="24"/>
  <c r="J65" i="24" s="1"/>
  <c r="F66" i="24"/>
  <c r="G66" i="24"/>
  <c r="I66" i="24"/>
  <c r="J66" i="24"/>
  <c r="N66" i="24" s="1"/>
  <c r="K66" i="24"/>
  <c r="O66" i="24" s="1"/>
  <c r="L66" i="24"/>
  <c r="M66" i="24"/>
  <c r="F67" i="24"/>
  <c r="G67" i="24"/>
  <c r="H67" i="24" s="1"/>
  <c r="I67" i="24"/>
  <c r="J67" i="24" s="1"/>
  <c r="F68" i="24"/>
  <c r="G68" i="24"/>
  <c r="H68" i="24" s="1"/>
  <c r="I68" i="24"/>
  <c r="J68" i="24"/>
  <c r="N68" i="24" s="1"/>
  <c r="K68" i="24"/>
  <c r="L68" i="24"/>
  <c r="M68" i="24"/>
  <c r="F69" i="24"/>
  <c r="G69" i="24"/>
  <c r="H69" i="24"/>
  <c r="I69" i="24"/>
  <c r="J69" i="24" s="1"/>
  <c r="F70" i="24"/>
  <c r="H70" i="24" s="1"/>
  <c r="G70" i="24"/>
  <c r="I70" i="24"/>
  <c r="J70" i="24"/>
  <c r="N70" i="24" s="1"/>
  <c r="K70" i="24"/>
  <c r="O70" i="24" s="1"/>
  <c r="P70" i="24" s="1"/>
  <c r="L70" i="24"/>
  <c r="M70" i="24"/>
  <c r="F71" i="24"/>
  <c r="H71" i="24" s="1"/>
  <c r="G71" i="24"/>
  <c r="I71" i="24"/>
  <c r="J71" i="24" s="1"/>
  <c r="F72" i="24"/>
  <c r="G72" i="24"/>
  <c r="H72" i="24" s="1"/>
  <c r="I72" i="24"/>
  <c r="J72" i="24"/>
  <c r="N72" i="24" s="1"/>
  <c r="K72" i="24"/>
  <c r="O72" i="24" s="1"/>
  <c r="P72" i="24" s="1"/>
  <c r="L72" i="24"/>
  <c r="M72" i="24"/>
  <c r="K59" i="24"/>
  <c r="J59" i="24"/>
  <c r="I59" i="24"/>
  <c r="G59" i="24"/>
  <c r="F59" i="24"/>
  <c r="H59" i="24" s="1"/>
  <c r="N58" i="24"/>
  <c r="K58" i="24"/>
  <c r="J58" i="24"/>
  <c r="M58" i="24" s="1"/>
  <c r="I58" i="24"/>
  <c r="G58" i="24"/>
  <c r="F58" i="24"/>
  <c r="H58" i="24" s="1"/>
  <c r="K57" i="24"/>
  <c r="J57" i="24"/>
  <c r="I57" i="24"/>
  <c r="G57" i="24"/>
  <c r="F57" i="24"/>
  <c r="N56" i="24"/>
  <c r="K56" i="24"/>
  <c r="J56" i="24"/>
  <c r="M56" i="24" s="1"/>
  <c r="I56" i="24"/>
  <c r="G56" i="24"/>
  <c r="F56" i="24"/>
  <c r="H56" i="24" s="1"/>
  <c r="K55" i="24"/>
  <c r="J55" i="24"/>
  <c r="I55" i="24"/>
  <c r="G55" i="24"/>
  <c r="F55" i="24"/>
  <c r="H55" i="24" s="1"/>
  <c r="N54" i="24"/>
  <c r="K54" i="24"/>
  <c r="J54" i="24"/>
  <c r="M54" i="24" s="1"/>
  <c r="I54" i="24"/>
  <c r="G54" i="24"/>
  <c r="F54" i="24"/>
  <c r="H54" i="24" s="1"/>
  <c r="K53" i="24"/>
  <c r="J53" i="24"/>
  <c r="I53" i="24"/>
  <c r="G53" i="24"/>
  <c r="F53" i="24"/>
  <c r="H53" i="24" s="1"/>
  <c r="N52" i="24"/>
  <c r="K52" i="24"/>
  <c r="J52" i="24"/>
  <c r="M52" i="24" s="1"/>
  <c r="I52" i="24"/>
  <c r="G52" i="24"/>
  <c r="F52" i="24"/>
  <c r="K51" i="24"/>
  <c r="J51" i="24"/>
  <c r="I51" i="24"/>
  <c r="G51" i="24"/>
  <c r="F51" i="24"/>
  <c r="H51" i="24" s="1"/>
  <c r="N50" i="24"/>
  <c r="K50" i="24"/>
  <c r="J50" i="24"/>
  <c r="M50" i="24" s="1"/>
  <c r="I50" i="24"/>
  <c r="G50" i="24"/>
  <c r="F50" i="24"/>
  <c r="K49" i="24"/>
  <c r="J49" i="24"/>
  <c r="I49" i="24"/>
  <c r="G49" i="24"/>
  <c r="F49" i="24"/>
  <c r="H49" i="24" s="1"/>
  <c r="N48" i="24"/>
  <c r="K48" i="24"/>
  <c r="J48" i="24"/>
  <c r="M48" i="24" s="1"/>
  <c r="I48" i="24"/>
  <c r="G48" i="24"/>
  <c r="F48" i="24"/>
  <c r="K47" i="24"/>
  <c r="J47" i="24"/>
  <c r="N47" i="24" s="1"/>
  <c r="I47" i="24"/>
  <c r="G47" i="24"/>
  <c r="F47" i="24"/>
  <c r="Q33" i="24"/>
  <c r="Q34" i="24"/>
  <c r="Q35" i="24"/>
  <c r="Q36" i="24"/>
  <c r="Q37" i="24"/>
  <c r="Q38" i="24"/>
  <c r="Q39" i="24"/>
  <c r="Q40" i="24"/>
  <c r="Q41" i="24"/>
  <c r="Q42" i="24"/>
  <c r="Q43" i="24"/>
  <c r="Q44" i="24"/>
  <c r="Q32" i="24"/>
  <c r="F40" i="24"/>
  <c r="G40" i="24"/>
  <c r="H40" i="24"/>
  <c r="I40" i="24"/>
  <c r="J40" i="24"/>
  <c r="N40" i="24" s="1"/>
  <c r="K40" i="24"/>
  <c r="L40" i="24"/>
  <c r="M40" i="24"/>
  <c r="F41" i="24"/>
  <c r="G41" i="24"/>
  <c r="H41" i="24"/>
  <c r="I41" i="24"/>
  <c r="J41" i="24" s="1"/>
  <c r="F42" i="24"/>
  <c r="G42" i="24"/>
  <c r="I42" i="24"/>
  <c r="J42" i="24"/>
  <c r="N42" i="24" s="1"/>
  <c r="K42" i="24"/>
  <c r="L42" i="24"/>
  <c r="M42" i="24"/>
  <c r="F43" i="24"/>
  <c r="G43" i="24"/>
  <c r="H43" i="24"/>
  <c r="I43" i="24"/>
  <c r="J43" i="24" s="1"/>
  <c r="F44" i="24"/>
  <c r="H44" i="24" s="1"/>
  <c r="G44" i="24"/>
  <c r="I44" i="24"/>
  <c r="J44" i="24"/>
  <c r="N44" i="24" s="1"/>
  <c r="K44" i="24"/>
  <c r="L44" i="24"/>
  <c r="M44" i="24"/>
  <c r="K39" i="24"/>
  <c r="J39" i="24"/>
  <c r="I39" i="24"/>
  <c r="G39" i="24"/>
  <c r="F39" i="24"/>
  <c r="H39" i="24" s="1"/>
  <c r="J38" i="24"/>
  <c r="I38" i="24"/>
  <c r="K38" i="24" s="1"/>
  <c r="G38" i="24"/>
  <c r="F38" i="24"/>
  <c r="H38" i="24" s="1"/>
  <c r="K37" i="24"/>
  <c r="J37" i="24"/>
  <c r="L37" i="24" s="1"/>
  <c r="I37" i="24"/>
  <c r="G37" i="24"/>
  <c r="F37" i="24"/>
  <c r="J36" i="24"/>
  <c r="I36" i="24"/>
  <c r="K36" i="24" s="1"/>
  <c r="G36" i="24"/>
  <c r="F36" i="24"/>
  <c r="H36" i="24" s="1"/>
  <c r="K35" i="24"/>
  <c r="J35" i="24"/>
  <c r="N35" i="24" s="1"/>
  <c r="I35" i="24"/>
  <c r="G35" i="24"/>
  <c r="F35" i="24"/>
  <c r="H35" i="24" s="1"/>
  <c r="N34" i="24"/>
  <c r="K34" i="24"/>
  <c r="J34" i="24"/>
  <c r="M34" i="24" s="1"/>
  <c r="I34" i="24"/>
  <c r="G34" i="24"/>
  <c r="F34" i="24"/>
  <c r="H34" i="24" s="1"/>
  <c r="K33" i="24"/>
  <c r="J33" i="24"/>
  <c r="N33" i="24" s="1"/>
  <c r="I33" i="24"/>
  <c r="G33" i="24"/>
  <c r="F33" i="24"/>
  <c r="H33" i="24" s="1"/>
  <c r="J32" i="24"/>
  <c r="I32" i="24"/>
  <c r="K32" i="24" s="1"/>
  <c r="G32" i="24"/>
  <c r="F32" i="24"/>
  <c r="F22" i="24"/>
  <c r="G22" i="24"/>
  <c r="I22" i="24"/>
  <c r="J22" i="24" s="1"/>
  <c r="K22" i="24"/>
  <c r="F23" i="24"/>
  <c r="H23" i="24" s="1"/>
  <c r="G23" i="24"/>
  <c r="I23" i="24"/>
  <c r="J23" i="24" s="1"/>
  <c r="F24" i="24"/>
  <c r="G24" i="24"/>
  <c r="H24" i="24" s="1"/>
  <c r="I24" i="24"/>
  <c r="K24" i="24" s="1"/>
  <c r="J24" i="24"/>
  <c r="L24" i="24" s="1"/>
  <c r="F25" i="24"/>
  <c r="G25" i="24"/>
  <c r="H25" i="24"/>
  <c r="I25" i="24"/>
  <c r="J25" i="24" s="1"/>
  <c r="F26" i="24"/>
  <c r="G26" i="24"/>
  <c r="H26" i="24" s="1"/>
  <c r="I26" i="24"/>
  <c r="J26" i="24" s="1"/>
  <c r="F27" i="24"/>
  <c r="G27" i="24"/>
  <c r="H27" i="24"/>
  <c r="I27" i="24"/>
  <c r="J27" i="24" s="1"/>
  <c r="F28" i="24"/>
  <c r="G28" i="24"/>
  <c r="H28" i="24" s="1"/>
  <c r="I28" i="24"/>
  <c r="J28" i="24" s="1"/>
  <c r="F29" i="24"/>
  <c r="H29" i="24" s="1"/>
  <c r="G29" i="24"/>
  <c r="I29" i="24"/>
  <c r="J29" i="24" s="1"/>
  <c r="M78" i="26" l="1"/>
  <c r="L78" i="26"/>
  <c r="N78" i="26"/>
  <c r="O78" i="26" s="1"/>
  <c r="P78" i="26" s="1"/>
  <c r="Q78" i="26" s="1"/>
  <c r="N62" i="26"/>
  <c r="M62" i="26"/>
  <c r="L62" i="26"/>
  <c r="O62" i="26" s="1"/>
  <c r="P62" i="26" s="1"/>
  <c r="Q62" i="26" s="1"/>
  <c r="N60" i="26"/>
  <c r="M60" i="26"/>
  <c r="L60" i="26"/>
  <c r="O60" i="26"/>
  <c r="P60" i="26" s="1"/>
  <c r="Q60" i="26" s="1"/>
  <c r="M17" i="26"/>
  <c r="L17" i="26"/>
  <c r="O17" i="26" s="1"/>
  <c r="P17" i="26" s="1"/>
  <c r="Q17" i="26" s="1"/>
  <c r="N17" i="26"/>
  <c r="N70" i="26"/>
  <c r="M70" i="26"/>
  <c r="L70" i="26"/>
  <c r="O70" i="26"/>
  <c r="P70" i="26" s="1"/>
  <c r="Q70" i="26" s="1"/>
  <c r="N54" i="26"/>
  <c r="M54" i="26"/>
  <c r="O54" i="26" s="1"/>
  <c r="P54" i="26" s="1"/>
  <c r="Q54" i="26" s="1"/>
  <c r="L54" i="26"/>
  <c r="M26" i="26"/>
  <c r="O26" i="26" s="1"/>
  <c r="P26" i="26" s="1"/>
  <c r="Q26" i="26" s="1"/>
  <c r="M76" i="26"/>
  <c r="L76" i="26"/>
  <c r="O76" i="26"/>
  <c r="P76" i="26" s="1"/>
  <c r="Q76" i="26" s="1"/>
  <c r="N76" i="26"/>
  <c r="N58" i="26"/>
  <c r="M58" i="26"/>
  <c r="L58" i="26"/>
  <c r="O58" i="26" s="1"/>
  <c r="P58" i="26" s="1"/>
  <c r="Q58" i="26" s="1"/>
  <c r="M19" i="26"/>
  <c r="L19" i="26"/>
  <c r="O19" i="26"/>
  <c r="P19" i="26" s="1"/>
  <c r="Q19" i="26" s="1"/>
  <c r="N19" i="26"/>
  <c r="O28" i="26"/>
  <c r="P28" i="26" s="1"/>
  <c r="Q28" i="26" s="1"/>
  <c r="N28" i="26"/>
  <c r="M28" i="26"/>
  <c r="L28" i="26"/>
  <c r="M15" i="26"/>
  <c r="L15" i="26"/>
  <c r="O15" i="26"/>
  <c r="P15" i="26" s="1"/>
  <c r="Q15" i="26" s="1"/>
  <c r="N15" i="26"/>
  <c r="N68" i="26"/>
  <c r="M68" i="26"/>
  <c r="L68" i="26"/>
  <c r="O68" i="26" s="1"/>
  <c r="P68" i="26" s="1"/>
  <c r="Q68" i="26" s="1"/>
  <c r="N52" i="26"/>
  <c r="M52" i="26"/>
  <c r="L52" i="26"/>
  <c r="O52" i="26" s="1"/>
  <c r="P52" i="26" s="1"/>
  <c r="Q52" i="26" s="1"/>
  <c r="N26" i="26"/>
  <c r="L24" i="26"/>
  <c r="O24" i="26" s="1"/>
  <c r="P24" i="26" s="1"/>
  <c r="Q24" i="26" s="1"/>
  <c r="N56" i="26"/>
  <c r="M56" i="26"/>
  <c r="L56" i="26"/>
  <c r="O56" i="26"/>
  <c r="P56" i="26" s="1"/>
  <c r="Q56" i="26" s="1"/>
  <c r="M80" i="26"/>
  <c r="L80" i="26"/>
  <c r="O80" i="26"/>
  <c r="P80" i="26" s="1"/>
  <c r="Q80" i="26" s="1"/>
  <c r="N80" i="26"/>
  <c r="N66" i="26"/>
  <c r="M66" i="26"/>
  <c r="L66" i="26"/>
  <c r="O66" i="26"/>
  <c r="P66" i="26" s="1"/>
  <c r="Q66" i="26" s="1"/>
  <c r="N50" i="26"/>
  <c r="M50" i="26"/>
  <c r="L50" i="26"/>
  <c r="O50" i="26" s="1"/>
  <c r="P50" i="26" s="1"/>
  <c r="Q50" i="26" s="1"/>
  <c r="M24" i="26"/>
  <c r="N72" i="26"/>
  <c r="M72" i="26"/>
  <c r="L72" i="26"/>
  <c r="O72" i="26"/>
  <c r="P72" i="26" s="1"/>
  <c r="Q72" i="26" s="1"/>
  <c r="N64" i="26"/>
  <c r="M64" i="26"/>
  <c r="O64" i="26" s="1"/>
  <c r="P64" i="26" s="1"/>
  <c r="Q64" i="26" s="1"/>
  <c r="L64" i="26"/>
  <c r="N48" i="26"/>
  <c r="M48" i="26"/>
  <c r="L48" i="26"/>
  <c r="O48" i="26"/>
  <c r="P48" i="26" s="1"/>
  <c r="Q48" i="26" s="1"/>
  <c r="A40" i="25"/>
  <c r="C54" i="25" s="1"/>
  <c r="C53" i="25"/>
  <c r="C24" i="25"/>
  <c r="L22" i="24"/>
  <c r="M22" i="24"/>
  <c r="K28" i="24"/>
  <c r="L28" i="24" s="1"/>
  <c r="Q79" i="24"/>
  <c r="Q78" i="24"/>
  <c r="Q77" i="24"/>
  <c r="H75" i="24"/>
  <c r="H78" i="24"/>
  <c r="M78" i="24"/>
  <c r="L78" i="24"/>
  <c r="N78" i="24"/>
  <c r="O78" i="24" s="1"/>
  <c r="P78" i="24" s="1"/>
  <c r="O75" i="24"/>
  <c r="P75" i="24" s="1"/>
  <c r="L75" i="24"/>
  <c r="L77" i="24"/>
  <c r="O77" i="24" s="1"/>
  <c r="P77" i="24" s="1"/>
  <c r="L79" i="24"/>
  <c r="L81" i="24"/>
  <c r="M75" i="24"/>
  <c r="M77" i="24"/>
  <c r="M79" i="24"/>
  <c r="O79" i="24" s="1"/>
  <c r="P79" i="24" s="1"/>
  <c r="M81" i="24"/>
  <c r="O81" i="24" s="1"/>
  <c r="P81" i="24" s="1"/>
  <c r="N75" i="24"/>
  <c r="N77" i="24"/>
  <c r="N79" i="24"/>
  <c r="J80" i="24"/>
  <c r="N81" i="24"/>
  <c r="L76" i="24"/>
  <c r="O76" i="24" s="1"/>
  <c r="P76" i="24" s="1"/>
  <c r="Q49" i="24"/>
  <c r="Q72" i="24"/>
  <c r="Q64" i="24"/>
  <c r="Q56" i="24"/>
  <c r="H52" i="24"/>
  <c r="H48" i="24"/>
  <c r="H66" i="24"/>
  <c r="P66" i="24" s="1"/>
  <c r="P64" i="24"/>
  <c r="H57" i="24"/>
  <c r="H47" i="24"/>
  <c r="H50" i="24"/>
  <c r="H64" i="24"/>
  <c r="O68" i="24"/>
  <c r="P68" i="24" s="1"/>
  <c r="M65" i="24"/>
  <c r="N65" i="24"/>
  <c r="O62" i="24"/>
  <c r="P62" i="24" s="1"/>
  <c r="K71" i="24"/>
  <c r="L71" i="24" s="1"/>
  <c r="K69" i="24"/>
  <c r="L69" i="24" s="1"/>
  <c r="K67" i="24"/>
  <c r="L67" i="24" s="1"/>
  <c r="K65" i="24"/>
  <c r="K63" i="24"/>
  <c r="L63" i="24" s="1"/>
  <c r="K61" i="24"/>
  <c r="M61" i="24" s="1"/>
  <c r="O60" i="24"/>
  <c r="P60" i="24" s="1"/>
  <c r="L47" i="24"/>
  <c r="O47" i="24" s="1"/>
  <c r="P47" i="24" s="1"/>
  <c r="L49" i="24"/>
  <c r="O49" i="24" s="1"/>
  <c r="P49" i="24" s="1"/>
  <c r="L51" i="24"/>
  <c r="L53" i="24"/>
  <c r="L55" i="24"/>
  <c r="O55" i="24" s="1"/>
  <c r="P55" i="24" s="1"/>
  <c r="L57" i="24"/>
  <c r="O57" i="24" s="1"/>
  <c r="L59" i="24"/>
  <c r="O59" i="24" s="1"/>
  <c r="P59" i="24" s="1"/>
  <c r="M47" i="24"/>
  <c r="M49" i="24"/>
  <c r="M51" i="24"/>
  <c r="O51" i="24" s="1"/>
  <c r="P51" i="24" s="1"/>
  <c r="M53" i="24"/>
  <c r="M55" i="24"/>
  <c r="M57" i="24"/>
  <c r="M59" i="24"/>
  <c r="N49" i="24"/>
  <c r="N51" i="24"/>
  <c r="N53" i="24"/>
  <c r="O53" i="24" s="1"/>
  <c r="P53" i="24" s="1"/>
  <c r="N55" i="24"/>
  <c r="N57" i="24"/>
  <c r="N59" i="24"/>
  <c r="L48" i="24"/>
  <c r="O48" i="24" s="1"/>
  <c r="P48" i="24" s="1"/>
  <c r="L50" i="24"/>
  <c r="O50" i="24" s="1"/>
  <c r="L52" i="24"/>
  <c r="O52" i="24" s="1"/>
  <c r="P52" i="24" s="1"/>
  <c r="L54" i="24"/>
  <c r="O54" i="24" s="1"/>
  <c r="P54" i="24" s="1"/>
  <c r="L56" i="24"/>
  <c r="O56" i="24" s="1"/>
  <c r="P56" i="24" s="1"/>
  <c r="L58" i="24"/>
  <c r="O58" i="24" s="1"/>
  <c r="P58" i="24" s="1"/>
  <c r="H42" i="24"/>
  <c r="H32" i="24"/>
  <c r="H37" i="24"/>
  <c r="M41" i="24"/>
  <c r="N41" i="24"/>
  <c r="O44" i="24"/>
  <c r="P44" i="24" s="1"/>
  <c r="K43" i="24"/>
  <c r="L43" i="24" s="1"/>
  <c r="O42" i="24"/>
  <c r="P42" i="24" s="1"/>
  <c r="K41" i="24"/>
  <c r="L41" i="24" s="1"/>
  <c r="O41" i="24" s="1"/>
  <c r="P41" i="24" s="1"/>
  <c r="O40" i="24"/>
  <c r="P40" i="24" s="1"/>
  <c r="N38" i="24"/>
  <c r="N36" i="24"/>
  <c r="N32" i="24"/>
  <c r="M36" i="24"/>
  <c r="M38" i="24"/>
  <c r="M32" i="24"/>
  <c r="L33" i="24"/>
  <c r="L35" i="24"/>
  <c r="L39" i="24"/>
  <c r="O39" i="24" s="1"/>
  <c r="P39" i="24" s="1"/>
  <c r="M33" i="24"/>
  <c r="M35" i="24"/>
  <c r="O35" i="24" s="1"/>
  <c r="P35" i="24" s="1"/>
  <c r="M37" i="24"/>
  <c r="O37" i="24" s="1"/>
  <c r="P37" i="24" s="1"/>
  <c r="M39" i="24"/>
  <c r="N37" i="24"/>
  <c r="N39" i="24"/>
  <c r="O33" i="24"/>
  <c r="P33" i="24" s="1"/>
  <c r="L32" i="24"/>
  <c r="O32" i="24" s="1"/>
  <c r="P32" i="24" s="1"/>
  <c r="L34" i="24"/>
  <c r="O34" i="24" s="1"/>
  <c r="P34" i="24" s="1"/>
  <c r="L36" i="24"/>
  <c r="O36" i="24" s="1"/>
  <c r="P36" i="24" s="1"/>
  <c r="L38" i="24"/>
  <c r="O38" i="24" s="1"/>
  <c r="P38" i="24" s="1"/>
  <c r="N24" i="24"/>
  <c r="N22" i="24"/>
  <c r="O22" i="24" s="1"/>
  <c r="P22" i="24" s="1"/>
  <c r="Q22" i="24" s="1"/>
  <c r="K26" i="24"/>
  <c r="L26" i="24" s="1"/>
  <c r="N28" i="24"/>
  <c r="M24" i="24"/>
  <c r="H22" i="24"/>
  <c r="K25" i="24"/>
  <c r="K23" i="24"/>
  <c r="L23" i="24" s="1"/>
  <c r="K29" i="24"/>
  <c r="M29" i="24" s="1"/>
  <c r="K27" i="24"/>
  <c r="L27" i="24" s="1"/>
  <c r="C50" i="25" l="1"/>
  <c r="D48" i="25" s="1"/>
  <c r="E48" i="25" s="1"/>
  <c r="D22" i="25"/>
  <c r="C29" i="25" s="1"/>
  <c r="O24" i="24"/>
  <c r="P24" i="24" s="1"/>
  <c r="Q24" i="24" s="1"/>
  <c r="M28" i="24"/>
  <c r="O28" i="24" s="1"/>
  <c r="P28" i="24" s="1"/>
  <c r="Q28" i="24" s="1"/>
  <c r="N29" i="24"/>
  <c r="M80" i="24"/>
  <c r="L80" i="24"/>
  <c r="N80" i="24"/>
  <c r="O80" i="24"/>
  <c r="P80" i="24" s="1"/>
  <c r="P50" i="24"/>
  <c r="P57" i="24"/>
  <c r="N63" i="24"/>
  <c r="M63" i="24"/>
  <c r="O63" i="24" s="1"/>
  <c r="P63" i="24" s="1"/>
  <c r="L61" i="24"/>
  <c r="O69" i="24"/>
  <c r="P69" i="24" s="1"/>
  <c r="O61" i="24"/>
  <c r="P61" i="24" s="1"/>
  <c r="N61" i="24"/>
  <c r="N71" i="24"/>
  <c r="N67" i="24"/>
  <c r="N69" i="24"/>
  <c r="L65" i="24"/>
  <c r="O65" i="24" s="1"/>
  <c r="P65" i="24" s="1"/>
  <c r="M71" i="24"/>
  <c r="O71" i="24" s="1"/>
  <c r="P71" i="24" s="1"/>
  <c r="M67" i="24"/>
  <c r="O67" i="24" s="1"/>
  <c r="P67" i="24" s="1"/>
  <c r="M69" i="24"/>
  <c r="N43" i="24"/>
  <c r="M43" i="24"/>
  <c r="O43" i="24" s="1"/>
  <c r="P43" i="24" s="1"/>
  <c r="M26" i="24"/>
  <c r="O26" i="24" s="1"/>
  <c r="P26" i="24" s="1"/>
  <c r="Q26" i="24" s="1"/>
  <c r="N26" i="24"/>
  <c r="L29" i="24"/>
  <c r="O29" i="24" s="1"/>
  <c r="P29" i="24" s="1"/>
  <c r="Q29" i="24" s="1"/>
  <c r="N25" i="24"/>
  <c r="N23" i="24"/>
  <c r="M25" i="24"/>
  <c r="N27" i="24"/>
  <c r="L25" i="24"/>
  <c r="M23" i="24"/>
  <c r="O23" i="24" s="1"/>
  <c r="P23" i="24" s="1"/>
  <c r="Q23" i="24" s="1"/>
  <c r="M27" i="24"/>
  <c r="C55" i="25" l="1"/>
  <c r="O27" i="24"/>
  <c r="P27" i="24" s="1"/>
  <c r="Q27" i="24" s="1"/>
  <c r="O25" i="24"/>
  <c r="P25" i="24" s="1"/>
  <c r="Q25" i="24" s="1"/>
  <c r="Q9" i="24" l="1"/>
  <c r="M10" i="24"/>
  <c r="K10" i="24"/>
  <c r="L10" i="24" s="1"/>
  <c r="J10" i="24"/>
  <c r="N10" i="24" s="1"/>
  <c r="O10" i="24" l="1"/>
  <c r="G10" i="24"/>
  <c r="G11" i="24"/>
  <c r="G12" i="24"/>
  <c r="G13" i="24"/>
  <c r="G14" i="24"/>
  <c r="G15" i="24"/>
  <c r="H15" i="24" s="1"/>
  <c r="G16" i="24"/>
  <c r="G17" i="24"/>
  <c r="G18" i="24"/>
  <c r="G19" i="24"/>
  <c r="F11" i="24"/>
  <c r="H11" i="24" s="1"/>
  <c r="F12" i="24"/>
  <c r="H12" i="24" s="1"/>
  <c r="F13" i="24"/>
  <c r="F14" i="24"/>
  <c r="F15" i="24"/>
  <c r="F16" i="24"/>
  <c r="H16" i="24" s="1"/>
  <c r="F17" i="24"/>
  <c r="H17" i="24" s="1"/>
  <c r="F18" i="24"/>
  <c r="H18" i="24" s="1"/>
  <c r="F19" i="24"/>
  <c r="H19" i="24" s="1"/>
  <c r="F10" i="24"/>
  <c r="H10" i="24" s="1"/>
  <c r="I12" i="24"/>
  <c r="I13" i="24"/>
  <c r="I14" i="24"/>
  <c r="I15" i="24"/>
  <c r="I16" i="24"/>
  <c r="I17" i="24"/>
  <c r="I18" i="24"/>
  <c r="I19" i="24"/>
  <c r="I11" i="24"/>
  <c r="H13" i="24" l="1"/>
  <c r="H14" i="24"/>
  <c r="J12" i="24"/>
  <c r="K12" i="24"/>
  <c r="J17" i="24"/>
  <c r="K17" i="24"/>
  <c r="K19" i="24"/>
  <c r="J19" i="24"/>
  <c r="K18" i="24"/>
  <c r="J18" i="24"/>
  <c r="K11" i="24"/>
  <c r="J11" i="24"/>
  <c r="J16" i="24"/>
  <c r="K16" i="24"/>
  <c r="K15" i="24"/>
  <c r="J15" i="24"/>
  <c r="K14" i="24"/>
  <c r="J14" i="24"/>
  <c r="K13" i="24"/>
  <c r="J13" i="24"/>
  <c r="P10" i="24"/>
  <c r="Q10" i="24" s="1"/>
  <c r="C52" i="23"/>
  <c r="C51" i="23"/>
  <c r="A35" i="23"/>
  <c r="A31" i="23"/>
  <c r="N14" i="24" l="1"/>
  <c r="L14" i="24"/>
  <c r="M14" i="24"/>
  <c r="N15" i="24"/>
  <c r="M15" i="24"/>
  <c r="L15" i="24"/>
  <c r="O15" i="24" s="1"/>
  <c r="P15" i="24" s="1"/>
  <c r="Q15" i="24" s="1"/>
  <c r="L16" i="24"/>
  <c r="N16" i="24"/>
  <c r="M16" i="24"/>
  <c r="L17" i="24"/>
  <c r="M17" i="24"/>
  <c r="N17" i="24"/>
  <c r="O17" i="24" s="1"/>
  <c r="P17" i="24" s="1"/>
  <c r="Q17" i="24" s="1"/>
  <c r="L13" i="24"/>
  <c r="N13" i="24"/>
  <c r="M13" i="24"/>
  <c r="O13" i="24"/>
  <c r="P13" i="24" s="1"/>
  <c r="Q13" i="24" s="1"/>
  <c r="M11" i="24"/>
  <c r="N11" i="24"/>
  <c r="L11" i="24"/>
  <c r="O11" i="24" s="1"/>
  <c r="P11" i="24" s="1"/>
  <c r="Q11" i="24" s="1"/>
  <c r="N18" i="24"/>
  <c r="L18" i="24"/>
  <c r="M18" i="24"/>
  <c r="M19" i="24"/>
  <c r="O19" i="24" s="1"/>
  <c r="P19" i="24" s="1"/>
  <c r="Q19" i="24" s="1"/>
  <c r="N19" i="24"/>
  <c r="L19" i="24"/>
  <c r="M12" i="24"/>
  <c r="L12" i="24"/>
  <c r="N12" i="24"/>
  <c r="O12" i="24"/>
  <c r="P12" i="24" s="1"/>
  <c r="Q12" i="24" s="1"/>
  <c r="H14" i="23"/>
  <c r="H12" i="23"/>
  <c r="H11" i="23"/>
  <c r="O18" i="24" l="1"/>
  <c r="P18" i="24" s="1"/>
  <c r="Q18" i="24" s="1"/>
  <c r="O14" i="24"/>
  <c r="P14" i="24" s="1"/>
  <c r="Q14" i="24" s="1"/>
  <c r="O16" i="24"/>
  <c r="P16" i="24" s="1"/>
  <c r="Q16" i="24" s="1"/>
  <c r="A5" i="23"/>
  <c r="A9" i="23" l="1"/>
  <c r="C25" i="23" l="1"/>
  <c r="G34" i="6" l="1"/>
  <c r="I30" i="6"/>
  <c r="I29" i="6"/>
  <c r="J18" i="6"/>
  <c r="I34" i="6" l="1"/>
  <c r="C54" i="14" l="1"/>
  <c r="G34" i="14"/>
  <c r="F34" i="14"/>
  <c r="G32" i="14"/>
  <c r="F32" i="14"/>
  <c r="G29" i="14"/>
  <c r="F29" i="14"/>
  <c r="F27" i="14"/>
  <c r="E15" i="14"/>
  <c r="C54" i="13"/>
  <c r="G34" i="13"/>
  <c r="F34" i="13"/>
  <c r="G32" i="13"/>
  <c r="F32" i="13"/>
  <c r="G29" i="13"/>
  <c r="F29" i="13"/>
  <c r="F27" i="13"/>
  <c r="H32" i="14" l="1"/>
  <c r="H34" i="14"/>
  <c r="H32" i="13"/>
  <c r="H34" i="13"/>
  <c r="E15" i="13" l="1"/>
  <c r="C54" i="11"/>
  <c r="H36" i="11" l="1"/>
  <c r="H34" i="11"/>
  <c r="F27" i="11" l="1"/>
  <c r="H23" i="11"/>
  <c r="F25" i="14" l="1"/>
  <c r="F25" i="13"/>
  <c r="C26" i="23" l="1"/>
  <c r="A29" i="14" l="1"/>
  <c r="A29" i="13"/>
  <c r="G21" i="11" l="1"/>
  <c r="G25" i="11"/>
  <c r="H13" i="23" l="1"/>
  <c r="G29" i="11"/>
  <c r="G27" i="13" s="1"/>
  <c r="G27" i="11"/>
  <c r="F21" i="11"/>
  <c r="H21" i="11" s="1"/>
  <c r="F25" i="11"/>
  <c r="G23" i="14"/>
  <c r="G23" i="13"/>
  <c r="G21" i="14"/>
  <c r="G21" i="13"/>
  <c r="A29" i="11"/>
  <c r="G27" i="14" l="1"/>
  <c r="G38" i="11"/>
  <c r="G25" i="13"/>
  <c r="H25" i="13" s="1"/>
  <c r="G25" i="14"/>
  <c r="H25" i="14" s="1"/>
  <c r="F21" i="13"/>
  <c r="H21" i="13" s="1"/>
  <c r="H27" i="11"/>
  <c r="H25" i="11"/>
  <c r="F23" i="14"/>
  <c r="H23" i="14" s="1"/>
  <c r="F23" i="13"/>
  <c r="H23" i="13" s="1"/>
  <c r="A31" i="11"/>
  <c r="G38" i="13"/>
  <c r="F21" i="14"/>
  <c r="H21" i="14" s="1"/>
  <c r="G38" i="14"/>
  <c r="H38" i="11" l="1"/>
  <c r="A21" i="11" s="1"/>
  <c r="A31" i="13"/>
  <c r="H38" i="13"/>
  <c r="A21" i="13" s="1"/>
  <c r="A31" i="14"/>
  <c r="H38" i="14"/>
  <c r="A21" i="14" s="1"/>
  <c r="C56" i="11"/>
  <c r="C55" i="11" s="1"/>
  <c r="A33" i="11"/>
  <c r="C57" i="11" s="1"/>
  <c r="G17" i="23" l="1"/>
  <c r="H17" i="23"/>
  <c r="A8" i="23" s="1"/>
  <c r="A34" i="23" s="1"/>
  <c r="C53" i="11"/>
  <c r="C58" i="11" s="1"/>
  <c r="C56" i="14"/>
  <c r="C55" i="14" s="1"/>
  <c r="C53" i="14"/>
  <c r="C57" i="14"/>
  <c r="A33" i="13"/>
  <c r="C53" i="13" s="1"/>
  <c r="C56" i="13"/>
  <c r="C55" i="13" s="1"/>
  <c r="C53" i="23" l="1"/>
  <c r="A40" i="23"/>
  <c r="C54" i="23" s="1"/>
  <c r="A14" i="23"/>
  <c r="C28" i="23" s="1"/>
  <c r="C27" i="23"/>
  <c r="D50" i="11"/>
  <c r="C57" i="13"/>
  <c r="C58" i="13" s="1"/>
  <c r="D50" i="14"/>
  <c r="D50" i="13"/>
  <c r="C58" i="14"/>
  <c r="C50" i="23" l="1"/>
  <c r="C24" i="23"/>
  <c r="D22" i="23" s="1"/>
  <c r="D48" i="23" l="1"/>
  <c r="E48" i="23" s="1"/>
  <c r="C29" i="23"/>
  <c r="C55" i="23" l="1"/>
</calcChain>
</file>

<file path=xl/sharedStrings.xml><?xml version="1.0" encoding="utf-8"?>
<sst xmlns="http://schemas.openxmlformats.org/spreadsheetml/2006/main" count="557" uniqueCount="190">
  <si>
    <t>Line</t>
  </si>
  <si>
    <t>Rate</t>
  </si>
  <si>
    <t>Common Equity</t>
  </si>
  <si>
    <t>Preferred Stock</t>
  </si>
  <si>
    <t>Customer Deposits</t>
  </si>
  <si>
    <t>(Dollars in Thousands)</t>
  </si>
  <si>
    <t xml:space="preserve">DETERMINATION OF WEIGHTED EMBEDDED COST OF </t>
  </si>
  <si>
    <t xml:space="preserve">Annual </t>
  </si>
  <si>
    <t>Amount</t>
  </si>
  <si>
    <t>Dividend</t>
  </si>
  <si>
    <t>Weighted</t>
  </si>
  <si>
    <t xml:space="preserve"> Line</t>
  </si>
  <si>
    <t>No.</t>
  </si>
  <si>
    <t>Cumulative Preferred Stock</t>
  </si>
  <si>
    <t>Outstanding</t>
  </si>
  <si>
    <t>Requirement</t>
  </si>
  <si>
    <t xml:space="preserve">  No.</t>
  </si>
  <si>
    <t>Par Value $100 Per Share - Issued and Outstanding</t>
  </si>
  <si>
    <t>1</t>
  </si>
  <si>
    <t>Debt</t>
  </si>
  <si>
    <t xml:space="preserve">    Weighted</t>
  </si>
  <si>
    <t xml:space="preserve">4% Series </t>
  </si>
  <si>
    <t xml:space="preserve">4 3/4% Series </t>
  </si>
  <si>
    <t>Totals:</t>
  </si>
  <si>
    <t>Schedule 2</t>
  </si>
  <si>
    <t>THE CINCINNATI GAS &amp; ELECTRIC COMPANY</t>
  </si>
  <si>
    <t>Calculation of CG&amp;E's Levelized Fixed Charge Rate</t>
  </si>
  <si>
    <t>For Production Plant With A 32 Year Life</t>
  </si>
  <si>
    <t>Rate of Return</t>
  </si>
  <si>
    <t xml:space="preserve">LFCR Components </t>
  </si>
  <si>
    <t xml:space="preserve">     Capital</t>
  </si>
  <si>
    <t>Symbol</t>
  </si>
  <si>
    <t xml:space="preserve">               Description</t>
  </si>
  <si>
    <t xml:space="preserve">  Cost Rate</t>
  </si>
  <si>
    <t xml:space="preserve">       Ratio    </t>
  </si>
  <si>
    <t xml:space="preserve">       Cost    </t>
  </si>
  <si>
    <t>r</t>
  </si>
  <si>
    <t>Rate of Return (Cost of Capital)</t>
  </si>
  <si>
    <t>D</t>
  </si>
  <si>
    <t>Depreciation Rate</t>
  </si>
  <si>
    <t>Other</t>
  </si>
  <si>
    <t>A</t>
  </si>
  <si>
    <t>Property Tax Rate</t>
  </si>
  <si>
    <t>P</t>
  </si>
  <si>
    <t>Property Insurance Rate</t>
  </si>
  <si>
    <t>T</t>
  </si>
  <si>
    <t>Federal and State Composite Income Tax Rate</t>
  </si>
  <si>
    <t>Deferred Taxes</t>
  </si>
  <si>
    <t xml:space="preserve"> </t>
  </si>
  <si>
    <t>i</t>
  </si>
  <si>
    <t>Synchronized Interest Deduction</t>
  </si>
  <si>
    <t>ITC-1970 &amp; Prior</t>
  </si>
  <si>
    <t>d</t>
  </si>
  <si>
    <t>Sinking Fund Depreciation Rate</t>
  </si>
  <si>
    <t xml:space="preserve">Unamortized Premium </t>
  </si>
  <si>
    <t xml:space="preserve">  &amp; Discount</t>
  </si>
  <si>
    <t>g</t>
  </si>
  <si>
    <t>Ohio Excise Tax Rate</t>
  </si>
  <si>
    <t>N</t>
  </si>
  <si>
    <t>Service Life</t>
  </si>
  <si>
    <t xml:space="preserve">                                     LFCR =</t>
  </si>
  <si>
    <t>r+d-D</t>
  </si>
  <si>
    <t>1/(1-G)</t>
  </si>
  <si>
    <t>T/(1-T)</t>
  </si>
  <si>
    <t>(r-i)/r</t>
  </si>
  <si>
    <t>r+A+P+d</t>
  </si>
  <si>
    <t>check total</t>
  </si>
  <si>
    <t>For General Plant With A 25 Year Life</t>
  </si>
  <si>
    <t>For Materials and Supplies</t>
  </si>
  <si>
    <t xml:space="preserve">             1-g                                1-T                     r</t>
  </si>
  <si>
    <r>
      <t xml:space="preserve">LFCR = </t>
    </r>
    <r>
      <rPr>
        <u/>
        <sz val="12"/>
        <rFont val="helv"/>
      </rPr>
      <t>( 1 )</t>
    </r>
    <r>
      <rPr>
        <sz val="12"/>
        <rFont val="helv"/>
      </rPr>
      <t xml:space="preserve"> [(r + A + P + d) + (</t>
    </r>
    <r>
      <rPr>
        <u/>
        <sz val="12"/>
        <rFont val="helv"/>
      </rPr>
      <t>( T )</t>
    </r>
    <r>
      <rPr>
        <sz val="12"/>
        <rFont val="helv"/>
      </rPr>
      <t xml:space="preserve"> (r + d - D) </t>
    </r>
    <r>
      <rPr>
        <u/>
        <sz val="12"/>
        <rFont val="helv"/>
      </rPr>
      <t>(r-i</t>
    </r>
    <r>
      <rPr>
        <sz val="12"/>
        <rFont val="helv"/>
      </rPr>
      <t>))]</t>
    </r>
  </si>
  <si>
    <t>DUKE ENERGY OHIO, INC</t>
  </si>
  <si>
    <t>DUKE ENERGY OHIO, INC.</t>
  </si>
  <si>
    <t>ITC</t>
  </si>
  <si>
    <t>Excluding Dena &amp; PA</t>
  </si>
  <si>
    <t>PREFERRED STOCK OUTSTANDING AT DECEMBER 31, 2012</t>
  </si>
  <si>
    <t>Capital Structure at 12-31-12</t>
  </si>
  <si>
    <t>Commercial Activity Tax</t>
  </si>
  <si>
    <t>Proposed Capital Structure</t>
  </si>
  <si>
    <t>DUKE ENERGY KENTUCKY, INC</t>
  </si>
  <si>
    <t>Calculation of DEK's Levelized Fixed Charge Rate</t>
  </si>
  <si>
    <t>Long Term Debt</t>
  </si>
  <si>
    <t>Short Term Debt</t>
  </si>
  <si>
    <t>Monthly option for Additional Equipment</t>
  </si>
  <si>
    <r>
      <t xml:space="preserve">LFCR = </t>
    </r>
    <r>
      <rPr>
        <u/>
        <sz val="12"/>
        <rFont val="Calibri"/>
        <family val="2"/>
        <scheme val="minor"/>
      </rPr>
      <t>( 1 )</t>
    </r>
    <r>
      <rPr>
        <sz val="12"/>
        <rFont val="Calibri"/>
        <family val="2"/>
        <scheme val="minor"/>
      </rPr>
      <t xml:space="preserve"> [(r + A + P + d) + (</t>
    </r>
    <r>
      <rPr>
        <u/>
        <sz val="12"/>
        <rFont val="Calibri"/>
        <family val="2"/>
        <scheme val="minor"/>
      </rPr>
      <t>( T )</t>
    </r>
    <r>
      <rPr>
        <sz val="12"/>
        <rFont val="Calibri"/>
        <family val="2"/>
        <scheme val="minor"/>
      </rPr>
      <t xml:space="preserve"> (r + d - D) </t>
    </r>
    <r>
      <rPr>
        <u/>
        <sz val="12"/>
        <rFont val="Calibri"/>
        <family val="2"/>
        <scheme val="minor"/>
      </rPr>
      <t>(r-i</t>
    </r>
    <r>
      <rPr>
        <sz val="12"/>
        <rFont val="Calibri"/>
        <family val="2"/>
        <scheme val="minor"/>
      </rPr>
      <t>))]</t>
    </r>
  </si>
  <si>
    <t>Approved Capital Structure</t>
  </si>
  <si>
    <t>Duke Energy Kentucky</t>
  </si>
  <si>
    <t>Monthly Rate for New LED Equipment</t>
  </si>
  <si>
    <t>530W LED Shoebox</t>
  </si>
  <si>
    <t>150W Clermont LED</t>
  </si>
  <si>
    <t>130W Flood LED</t>
  </si>
  <si>
    <t>260W Flood LED</t>
  </si>
  <si>
    <t>50W Monticello LED</t>
  </si>
  <si>
    <t>50W Mitchell Finial</t>
  </si>
  <si>
    <t>50W Mitchell Ribs, Bands, and Medallions LED</t>
  </si>
  <si>
    <t>50W Mitchell Top Hat LED</t>
  </si>
  <si>
    <t>50W Mitchell Top Hat with Ribs, Bands, and Medallions LED</t>
  </si>
  <si>
    <t>50W Open Monticello LED</t>
  </si>
  <si>
    <t>Cost</t>
  </si>
  <si>
    <t>Lumens</t>
  </si>
  <si>
    <t>Watts</t>
  </si>
  <si>
    <t>Crew</t>
  </si>
  <si>
    <t>Hourly</t>
  </si>
  <si>
    <t>Rate w/</t>
  </si>
  <si>
    <t>Burden</t>
  </si>
  <si>
    <t>Minor</t>
  </si>
  <si>
    <t>Materials</t>
  </si>
  <si>
    <t>Adder</t>
  </si>
  <si>
    <t>Stores,</t>
  </si>
  <si>
    <t>Freight,</t>
  </si>
  <si>
    <t>Handling</t>
  </si>
  <si>
    <t>Total</t>
  </si>
  <si>
    <t>Cost w/</t>
  </si>
  <si>
    <t>Material</t>
  </si>
  <si>
    <t>Labor</t>
  </si>
  <si>
    <t>Set Up</t>
  </si>
  <si>
    <t>Overheads</t>
  </si>
  <si>
    <t>Fleet</t>
  </si>
  <si>
    <t>Indirect</t>
  </si>
  <si>
    <t>Design &amp;</t>
  </si>
  <si>
    <t>Project</t>
  </si>
  <si>
    <t>Mgmt</t>
  </si>
  <si>
    <t>Mgmt &amp;</t>
  </si>
  <si>
    <t>Supervisn</t>
  </si>
  <si>
    <t>Labor,</t>
  </si>
  <si>
    <t>Material &amp;</t>
  </si>
  <si>
    <t>Overhead</t>
  </si>
  <si>
    <t>Monthly</t>
  </si>
  <si>
    <t>Poles (Not Included in Previous Tariff)</t>
  </si>
  <si>
    <t>Fixtures (Not Included in Previous Tariff)</t>
  </si>
  <si>
    <t xml:space="preserve">15' Style A - Fluted - for Shroud - Aluminum Direct Buried Pole </t>
  </si>
  <si>
    <t xml:space="preserve">20' Style A - Fluted - for Shroud - Aluminum Direct Buried Pole </t>
  </si>
  <si>
    <t xml:space="preserve">15' Style A - Smooth - for Shroud - Aluminum Direct Buried Pole </t>
  </si>
  <si>
    <t xml:space="preserve">20' Style A - Smooth - for Shroud - Aluminum Direct Buried Pole </t>
  </si>
  <si>
    <t>Shroud - Standard Style for anchor base poles</t>
  </si>
  <si>
    <t>Shroud - Style B Pole for smooth and fluted poles</t>
  </si>
  <si>
    <t>Shroud - Style C Pole for smooth and fluted poles</t>
  </si>
  <si>
    <t>Shroud - Style D Pole for smooth and fluted poles</t>
  </si>
  <si>
    <t>Pole Foundations</t>
  </si>
  <si>
    <t>Flush - Pre-fabricated - Style A Pole</t>
  </si>
  <si>
    <t>Flush - Pre-fabricated - Style B Pole</t>
  </si>
  <si>
    <t>Flush - Pre-fabricated - Style C Pole</t>
  </si>
  <si>
    <t>Flush - Pre-fabricated - Style E Pole</t>
  </si>
  <si>
    <t>Flush - Pre-fabricated - Style F Pole</t>
  </si>
  <si>
    <t>Flush - Pre-fabricated - Style D Pole</t>
  </si>
  <si>
    <t>Reveal - Pre-fabricated - Style A Pole</t>
  </si>
  <si>
    <t>Reveal - Pre-fabricated - Style B Pole</t>
  </si>
  <si>
    <t>Reveal - Pre-fabricated - Style C Pole</t>
  </si>
  <si>
    <t>Reveal - Pre-fabricated - Style D Pole</t>
  </si>
  <si>
    <t>Reveal - Pre-fabricated - Style E Pole</t>
  </si>
  <si>
    <t>Reveal - Pre-fabricated - Style F Pole</t>
  </si>
  <si>
    <t>Screw-in Foundation</t>
  </si>
  <si>
    <t>Brackets</t>
  </si>
  <si>
    <t>14 inch bracket - wood pole - side mount</t>
  </si>
  <si>
    <t>4 foot bracket - wood pole - side mount</t>
  </si>
  <si>
    <t>6 foot bracket - wood pole - side mount</t>
  </si>
  <si>
    <t>8 foot bracket - wood pole - side mount</t>
  </si>
  <si>
    <t>10 foot bracket - wood pole - side mount</t>
  </si>
  <si>
    <t>12 foot bracket - wood pole - side mount</t>
  </si>
  <si>
    <t>15 foot bracket - wood pole - side mount</t>
  </si>
  <si>
    <t>4 foot bracket - metal pole - side mount</t>
  </si>
  <si>
    <t>6 foot bracket - metal pole - side mount</t>
  </si>
  <si>
    <t>8 foot bracket - metal pole - side mount</t>
  </si>
  <si>
    <t>10 foot bracket - metal pole - side mount</t>
  </si>
  <si>
    <t>12 foot bracket - metal pole - side mount</t>
  </si>
  <si>
    <t>15 foot bracket - metal pole - side mount</t>
  </si>
  <si>
    <t xml:space="preserve">18 inch bracket - metal pole - double Flood Mount - top mount </t>
  </si>
  <si>
    <t>14 inch bracket - metal pole - single mount - top tenon</t>
  </si>
  <si>
    <t>14 inch bracket - metal pole - double mount - top tenon</t>
  </si>
  <si>
    <t>14 inch bracket - metal pole - triple mount - top tenon</t>
  </si>
  <si>
    <t>14 inch bracket - metal pole - quad mount - top tenon</t>
  </si>
  <si>
    <t>6 foot - metal pole - single - top tenon</t>
  </si>
  <si>
    <t>6 foot - metal pole - double - top tenon</t>
  </si>
  <si>
    <t>4 foot - Boston Harbor - top tenon</t>
  </si>
  <si>
    <t>6 foot - Boston Harbor - top tenon</t>
  </si>
  <si>
    <t>12 foot - Boston Harbor Style C pole double mount - top tenon</t>
  </si>
  <si>
    <t>4 foot - Davit arm - top tenon</t>
  </si>
  <si>
    <t>18 inch - Cobrahead fixture for wood pole</t>
  </si>
  <si>
    <t>18 inch - Flood light for wood pole</t>
  </si>
  <si>
    <t>Wiring</t>
  </si>
  <si>
    <t>Secondary Pedestal (cost per unit)</t>
  </si>
  <si>
    <t>Handhole (cost per unit)</t>
  </si>
  <si>
    <t>6AL DUPLEX and Trench (cost per foot)</t>
  </si>
  <si>
    <t>6AL DUPLEX and Trench with conduit (cost per foot)</t>
  </si>
  <si>
    <t>6AL DUPLEX with existing conduit (cost per foot)</t>
  </si>
  <si>
    <t>6AL DUPLEX and Bore with conduit (cost per foot)</t>
  </si>
  <si>
    <t>6AL DUPLEX OH wire (cost per foot)</t>
  </si>
  <si>
    <t>As Filed</t>
  </si>
  <si>
    <t>Per Order</t>
  </si>
  <si>
    <t>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</si>
</sst>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mm/dd/yy_)"/>
    <numFmt numFmtId="166" formatCode="0.000%"/>
    <numFmt numFmtId="167" formatCode="_(* #,##0.0000_);_(* \(#,##0.0000\);_(* &quot;-&quot;??_);_(@_)"/>
    <numFmt numFmtId="168" formatCode="0.0000_)"/>
    <numFmt numFmtId="169" formatCode="_(* #,##0.0000000_);_(* \(#,##0.0000000\);_(* &quot;-&quot;??_);_(@_)"/>
    <numFmt numFmtId="170" formatCode="0.0000"/>
    <numFmt numFmtId="171" formatCode="0.000000"/>
    <numFmt numFmtId="172" formatCode="&quot;$&quot;#,##0.00"/>
    <numFmt numFmtId="173" formatCode="_(* #,##0_);_(* \(#,##0\);_(* &quot;-&quot;??_);_(@_)"/>
  </numFmts>
  <fonts count="30" x14ac:knownFonts="1">
    <font>
      <sz val="12"/>
      <name val="helv"/>
    </font>
    <font>
      <b/>
      <sz val="12"/>
      <name val="helv"/>
    </font>
    <font>
      <sz val="12"/>
      <name val="helv"/>
    </font>
    <font>
      <sz val="10"/>
      <color indexed="12"/>
      <name val="Courier"/>
      <family val="3"/>
    </font>
    <font>
      <b/>
      <u/>
      <sz val="12"/>
      <name val="helv"/>
    </font>
    <font>
      <u val="double"/>
      <sz val="12"/>
      <name val="helv"/>
    </font>
    <font>
      <u/>
      <sz val="12"/>
      <name val="helv"/>
    </font>
    <font>
      <sz val="12"/>
      <color indexed="39"/>
      <name val="helv"/>
    </font>
    <font>
      <sz val="12"/>
      <color indexed="12"/>
      <name val="Helv"/>
    </font>
    <font>
      <u/>
      <sz val="12"/>
      <color indexed="39"/>
      <name val="Helv"/>
    </font>
    <font>
      <sz val="12"/>
      <color indexed="8"/>
      <name val="Helv"/>
    </font>
    <font>
      <u/>
      <sz val="12"/>
      <color indexed="8"/>
      <name val="Helv"/>
    </font>
    <font>
      <u/>
      <sz val="12"/>
      <color indexed="12"/>
      <name val="Helv"/>
    </font>
    <font>
      <b/>
      <u val="double"/>
      <sz val="12"/>
      <name val="Helv"/>
    </font>
    <font>
      <b/>
      <u val="double"/>
      <sz val="20"/>
      <name val="Helv"/>
    </font>
    <font>
      <b/>
      <sz val="12"/>
      <color indexed="12"/>
      <name val="helv"/>
    </font>
    <font>
      <b/>
      <u/>
      <sz val="12"/>
      <color indexed="12"/>
      <name val="Helv"/>
    </font>
    <font>
      <sz val="10"/>
      <name val="Arial"/>
      <family val="2"/>
    </font>
    <font>
      <b/>
      <u val="double"/>
      <sz val="2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indexed="39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indexed="8"/>
      <name val="Calibri"/>
      <family val="2"/>
      <scheme val="minor"/>
    </font>
    <font>
      <u val="double"/>
      <sz val="12"/>
      <name val="Calibri"/>
      <family val="2"/>
      <scheme val="minor"/>
    </font>
    <font>
      <b/>
      <u val="double"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85">
    <xf numFmtId="0" fontId="0" fillId="0" borderId="0" xfId="0"/>
    <xf numFmtId="37" fontId="0" fillId="0" borderId="0" xfId="0" applyNumberFormat="1" applyProtection="1"/>
    <xf numFmtId="10" fontId="0" fillId="0" borderId="0" xfId="0" applyNumberFormat="1" applyProtection="1"/>
    <xf numFmtId="5" fontId="0" fillId="0" borderId="0" xfId="0" applyNumberFormat="1" applyProtection="1"/>
    <xf numFmtId="37" fontId="3" fillId="0" borderId="0" xfId="0" applyNumberFormat="1" applyFon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/>
    <xf numFmtId="10" fontId="5" fillId="0" borderId="0" xfId="0" applyNumberFormat="1" applyFont="1" applyProtection="1"/>
    <xf numFmtId="165" fontId="1" fillId="0" borderId="0" xfId="0" applyNumberFormat="1" applyFont="1" applyProtection="1"/>
    <xf numFmtId="37" fontId="6" fillId="0" borderId="0" xfId="0" applyNumberFormat="1" applyFont="1" applyProtection="1"/>
    <xf numFmtId="0" fontId="6" fillId="0" borderId="0" xfId="0" applyFont="1"/>
    <xf numFmtId="10" fontId="6" fillId="0" borderId="0" xfId="0" applyNumberFormat="1" applyFont="1" applyProtection="1"/>
    <xf numFmtId="5" fontId="5" fillId="0" borderId="0" xfId="0" applyNumberFormat="1" applyFont="1" applyProtection="1"/>
    <xf numFmtId="5" fontId="8" fillId="0" borderId="0" xfId="0" applyNumberFormat="1" applyFont="1" applyProtection="1">
      <protection locked="0"/>
    </xf>
    <xf numFmtId="0" fontId="2" fillId="0" borderId="0" xfId="0" applyFont="1"/>
    <xf numFmtId="37" fontId="6" fillId="0" borderId="0" xfId="0" applyNumberFormat="1" applyFont="1" applyProtection="1">
      <protection locked="0"/>
    </xf>
    <xf numFmtId="37" fontId="1" fillId="0" borderId="0" xfId="0" applyNumberFormat="1" applyFont="1" applyProtection="1"/>
    <xf numFmtId="37" fontId="4" fillId="0" borderId="0" xfId="0" applyNumberFormat="1" applyFont="1" applyProtection="1"/>
    <xf numFmtId="10" fontId="10" fillId="0" borderId="0" xfId="0" applyNumberFormat="1" applyFont="1" applyProtection="1"/>
    <xf numFmtId="10" fontId="7" fillId="0" borderId="0" xfId="4" applyNumberFormat="1" applyFont="1"/>
    <xf numFmtId="10" fontId="0" fillId="0" borderId="0" xfId="0" applyNumberFormat="1"/>
    <xf numFmtId="0" fontId="0" fillId="0" borderId="0" xfId="0" quotePrefix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37" fontId="1" fillId="2" borderId="2" xfId="0" applyNumberFormat="1" applyFont="1" applyFill="1" applyBorder="1" applyAlignment="1" applyProtection="1">
      <alignment horizontal="center"/>
    </xf>
    <xf numFmtId="37" fontId="1" fillId="2" borderId="0" xfId="0" applyNumberFormat="1" applyFont="1" applyFill="1" applyAlignment="1" applyProtection="1">
      <alignment horizontal="center"/>
    </xf>
    <xf numFmtId="0" fontId="1" fillId="2" borderId="5" xfId="0" applyFont="1" applyFill="1" applyBorder="1"/>
    <xf numFmtId="37" fontId="4" fillId="2" borderId="7" xfId="0" applyNumberFormat="1" applyFont="1" applyFill="1" applyBorder="1" applyAlignment="1" applyProtection="1">
      <alignment horizontal="center"/>
    </xf>
    <xf numFmtId="0" fontId="4" fillId="2" borderId="8" xfId="0" applyFont="1" applyFill="1" applyBorder="1"/>
    <xf numFmtId="10" fontId="13" fillId="0" borderId="0" xfId="0" applyNumberFormat="1" applyFont="1" applyProtection="1"/>
    <xf numFmtId="1" fontId="6" fillId="0" borderId="0" xfId="0" applyNumberFormat="1" applyFont="1"/>
    <xf numFmtId="5" fontId="5" fillId="0" borderId="0" xfId="0" applyNumberFormat="1" applyFont="1" applyBorder="1" applyProtection="1"/>
    <xf numFmtId="0" fontId="14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/>
    </xf>
    <xf numFmtId="0" fontId="1" fillId="3" borderId="4" xfId="0" applyFont="1" applyFill="1" applyBorder="1"/>
    <xf numFmtId="0" fontId="1" fillId="3" borderId="0" xfId="0" applyFont="1" applyFill="1"/>
    <xf numFmtId="168" fontId="1" fillId="3" borderId="0" xfId="0" applyNumberFormat="1" applyFont="1" applyFill="1" applyProtection="1"/>
    <xf numFmtId="0" fontId="1" fillId="3" borderId="0" xfId="0" applyFont="1" applyFill="1" applyAlignment="1">
      <alignment horizontal="centerContinuous"/>
    </xf>
    <xf numFmtId="0" fontId="1" fillId="3" borderId="5" xfId="0" applyFont="1" applyFill="1" applyBorder="1" applyAlignment="1">
      <alignment horizontal="centerContinuous"/>
    </xf>
    <xf numFmtId="0" fontId="1" fillId="3" borderId="3" xfId="0" applyFont="1" applyFill="1" applyBorder="1"/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7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168" fontId="0" fillId="0" borderId="0" xfId="0" applyNumberFormat="1" applyProtection="1"/>
    <xf numFmtId="10" fontId="7" fillId="0" borderId="0" xfId="0" applyNumberFormat="1" applyFont="1" applyProtection="1"/>
    <xf numFmtId="0" fontId="7" fillId="0" borderId="0" xfId="0" applyFont="1"/>
    <xf numFmtId="10" fontId="7" fillId="4" borderId="0" xfId="0" applyNumberFormat="1" applyFont="1" applyFill="1" applyProtection="1"/>
    <xf numFmtId="166" fontId="7" fillId="4" borderId="0" xfId="0" applyNumberFormat="1" applyFont="1" applyFill="1" applyProtection="1"/>
    <xf numFmtId="10" fontId="7" fillId="0" borderId="0" xfId="0" applyNumberFormat="1" applyFont="1" applyBorder="1" applyProtection="1"/>
    <xf numFmtId="10" fontId="9" fillId="0" borderId="0" xfId="0" applyNumberFormat="1" applyFont="1" applyProtection="1"/>
    <xf numFmtId="0" fontId="7" fillId="4" borderId="0" xfId="0" applyFont="1" applyFill="1"/>
    <xf numFmtId="164" fontId="0" fillId="0" borderId="0" xfId="0" applyNumberFormat="1" applyProtection="1"/>
    <xf numFmtId="167" fontId="2" fillId="0" borderId="0" xfId="1" applyNumberFormat="1"/>
    <xf numFmtId="169" fontId="2" fillId="0" borderId="0" xfId="1" applyNumberFormat="1"/>
    <xf numFmtId="170" fontId="0" fillId="0" borderId="0" xfId="0" applyNumberFormat="1"/>
    <xf numFmtId="10" fontId="11" fillId="0" borderId="0" xfId="0" applyNumberFormat="1" applyFont="1" applyProtection="1"/>
    <xf numFmtId="10" fontId="2" fillId="0" borderId="0" xfId="0" applyNumberFormat="1" applyFont="1" applyProtection="1"/>
    <xf numFmtId="0" fontId="13" fillId="0" borderId="0" xfId="0" applyFont="1" applyAlignment="1">
      <alignment horizontal="centerContinuous"/>
    </xf>
    <xf numFmtId="0" fontId="15" fillId="3" borderId="2" xfId="0" applyFont="1" applyFill="1" applyBorder="1" applyAlignment="1">
      <alignment horizontal="centerContinuous"/>
    </xf>
    <xf numFmtId="0" fontId="16" fillId="0" borderId="0" xfId="0" applyFont="1" applyAlignment="1">
      <alignment horizontal="centerContinuous"/>
    </xf>
    <xf numFmtId="37" fontId="12" fillId="0" borderId="0" xfId="2" applyNumberFormat="1" applyFont="1" applyProtection="1">
      <protection locked="0"/>
    </xf>
    <xf numFmtId="166" fontId="2" fillId="4" borderId="0" xfId="0" applyNumberFormat="1" applyFont="1" applyFill="1" applyProtection="1"/>
    <xf numFmtId="0" fontId="1" fillId="0" borderId="0" xfId="3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0" fontId="20" fillId="0" borderId="0" xfId="0" applyFont="1" applyBorder="1" applyAlignment="1">
      <alignment horizontal="centerContinuous"/>
    </xf>
    <xf numFmtId="0" fontId="21" fillId="0" borderId="0" xfId="0" applyFont="1" applyAlignment="1">
      <alignment horizontal="centerContinuous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66" fontId="23" fillId="0" borderId="0" xfId="0" applyNumberFormat="1" applyFont="1" applyProtection="1"/>
    <xf numFmtId="166" fontId="19" fillId="0" borderId="0" xfId="0" applyNumberFormat="1" applyFont="1" applyProtection="1"/>
    <xf numFmtId="0" fontId="19" fillId="0" borderId="0" xfId="0" applyFont="1" applyFill="1"/>
    <xf numFmtId="166" fontId="24" fillId="0" borderId="0" xfId="0" applyNumberFormat="1" applyFont="1" applyFill="1" applyProtection="1"/>
    <xf numFmtId="166" fontId="19" fillId="0" borderId="0" xfId="0" applyNumberFormat="1" applyFont="1" applyFill="1" applyProtection="1"/>
    <xf numFmtId="166" fontId="24" fillId="0" borderId="0" xfId="0" applyNumberFormat="1" applyFont="1" applyProtection="1"/>
    <xf numFmtId="166" fontId="26" fillId="0" borderId="0" xfId="0" applyNumberFormat="1" applyFont="1" applyProtection="1"/>
    <xf numFmtId="166" fontId="19" fillId="0" borderId="0" xfId="0" applyNumberFormat="1" applyFont="1"/>
    <xf numFmtId="166" fontId="27" fillId="0" borderId="0" xfId="0" applyNumberFormat="1" applyFont="1" applyProtection="1"/>
    <xf numFmtId="166" fontId="28" fillId="0" borderId="0" xfId="0" applyNumberFormat="1" applyFont="1" applyProtection="1"/>
    <xf numFmtId="0" fontId="25" fillId="0" borderId="0" xfId="0" applyFont="1"/>
    <xf numFmtId="10" fontId="23" fillId="0" borderId="0" xfId="0" applyNumberFormat="1" applyFont="1" applyProtection="1"/>
    <xf numFmtId="10" fontId="27" fillId="0" borderId="0" xfId="0" applyNumberFormat="1" applyFont="1" applyProtection="1"/>
    <xf numFmtId="10" fontId="26" fillId="0" borderId="0" xfId="0" applyNumberFormat="1" applyFont="1" applyProtection="1"/>
    <xf numFmtId="164" fontId="19" fillId="0" borderId="0" xfId="0" applyNumberFormat="1" applyFont="1" applyProtection="1"/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 horizontal="centerContinuous"/>
    </xf>
    <xf numFmtId="0" fontId="20" fillId="0" borderId="14" xfId="0" applyFont="1" applyFill="1" applyBorder="1"/>
    <xf numFmtId="0" fontId="20" fillId="0" borderId="15" xfId="0" applyFont="1" applyFill="1" applyBorder="1"/>
    <xf numFmtId="0" fontId="21" fillId="0" borderId="15" xfId="0" applyFont="1" applyFill="1" applyBorder="1"/>
    <xf numFmtId="168" fontId="19" fillId="0" borderId="0" xfId="0" applyNumberFormat="1" applyFont="1" applyBorder="1" applyProtection="1"/>
    <xf numFmtId="168" fontId="19" fillId="0" borderId="15" xfId="0" applyNumberFormat="1" applyFont="1" applyBorder="1" applyProtection="1"/>
    <xf numFmtId="0" fontId="19" fillId="0" borderId="14" xfId="0" applyFont="1" applyBorder="1"/>
    <xf numFmtId="0" fontId="19" fillId="0" borderId="0" xfId="0" applyFont="1" applyBorder="1"/>
    <xf numFmtId="0" fontId="19" fillId="0" borderId="15" xfId="0" applyFont="1" applyBorder="1"/>
    <xf numFmtId="166" fontId="23" fillId="0" borderId="0" xfId="0" applyNumberFormat="1" applyFont="1" applyBorder="1" applyProtection="1"/>
    <xf numFmtId="166" fontId="19" fillId="0" borderId="15" xfId="0" applyNumberFormat="1" applyFont="1" applyBorder="1" applyProtection="1"/>
    <xf numFmtId="166" fontId="24" fillId="0" borderId="0" xfId="0" applyNumberFormat="1" applyFont="1" applyFill="1" applyBorder="1" applyProtection="1"/>
    <xf numFmtId="166" fontId="19" fillId="0" borderId="15" xfId="0" applyNumberFormat="1" applyFont="1" applyFill="1" applyBorder="1" applyProtection="1"/>
    <xf numFmtId="166" fontId="24" fillId="0" borderId="0" xfId="0" applyNumberFormat="1" applyFont="1" applyBorder="1" applyProtection="1"/>
    <xf numFmtId="166" fontId="26" fillId="0" borderId="15" xfId="0" applyNumberFormat="1" applyFont="1" applyBorder="1" applyProtection="1"/>
    <xf numFmtId="166" fontId="19" fillId="0" borderId="0" xfId="0" applyNumberFormat="1" applyFont="1" applyBorder="1"/>
    <xf numFmtId="166" fontId="19" fillId="0" borderId="15" xfId="0" applyNumberFormat="1" applyFont="1" applyBorder="1"/>
    <xf numFmtId="166" fontId="27" fillId="0" borderId="0" xfId="0" applyNumberFormat="1" applyFont="1" applyBorder="1" applyProtection="1"/>
    <xf numFmtId="166" fontId="28" fillId="0" borderId="0" xfId="0" applyNumberFormat="1" applyFont="1" applyBorder="1" applyProtection="1"/>
    <xf numFmtId="166" fontId="28" fillId="0" borderId="15" xfId="0" applyNumberFormat="1" applyFont="1" applyBorder="1" applyProtection="1"/>
    <xf numFmtId="0" fontId="19" fillId="0" borderId="16" xfId="0" applyFont="1" applyBorder="1"/>
    <xf numFmtId="0" fontId="25" fillId="0" borderId="17" xfId="0" applyFont="1" applyBorder="1"/>
    <xf numFmtId="0" fontId="19" fillId="0" borderId="18" xfId="0" applyFont="1" applyBorder="1"/>
    <xf numFmtId="0" fontId="22" fillId="0" borderId="12" xfId="0" applyFont="1" applyFill="1" applyBorder="1" applyAlignment="1">
      <alignment horizontal="centerContinuous"/>
    </xf>
    <xf numFmtId="0" fontId="19" fillId="0" borderId="0" xfId="0" applyFont="1" applyFill="1" applyBorder="1"/>
    <xf numFmtId="0" fontId="19" fillId="0" borderId="17" xfId="0" applyFont="1" applyBorder="1"/>
    <xf numFmtId="0" fontId="21" fillId="0" borderId="11" xfId="0" applyFont="1" applyBorder="1" applyAlignment="1">
      <alignment horizontal="left"/>
    </xf>
    <xf numFmtId="0" fontId="20" fillId="0" borderId="12" xfId="0" applyFont="1" applyFill="1" applyBorder="1"/>
    <xf numFmtId="168" fontId="20" fillId="0" borderId="12" xfId="0" applyNumberFormat="1" applyFont="1" applyFill="1" applyBorder="1" applyProtection="1"/>
    <xf numFmtId="0" fontId="20" fillId="0" borderId="13" xfId="0" applyFont="1" applyFill="1" applyBorder="1"/>
    <xf numFmtId="0" fontId="20" fillId="0" borderId="14" xfId="0" applyFont="1" applyFill="1" applyBorder="1" applyAlignment="1">
      <alignment horizontal="center"/>
    </xf>
    <xf numFmtId="10" fontId="19" fillId="0" borderId="14" xfId="0" applyNumberFormat="1" applyFont="1" applyBorder="1" applyProtection="1"/>
    <xf numFmtId="0" fontId="19" fillId="0" borderId="0" xfId="0" applyFont="1" applyBorder="1" applyAlignment="1">
      <alignment horizontal="center"/>
    </xf>
    <xf numFmtId="10" fontId="19" fillId="0" borderId="14" xfId="0" applyNumberFormat="1" applyFont="1" applyFill="1" applyBorder="1" applyProtection="1"/>
    <xf numFmtId="166" fontId="25" fillId="0" borderId="14" xfId="0" applyNumberFormat="1" applyFont="1" applyFill="1" applyBorder="1" applyProtection="1"/>
    <xf numFmtId="166" fontId="19" fillId="4" borderId="14" xfId="0" applyNumberFormat="1" applyFont="1" applyFill="1" applyBorder="1" applyProtection="1"/>
    <xf numFmtId="166" fontId="25" fillId="4" borderId="14" xfId="0" applyNumberFormat="1" applyFont="1" applyFill="1" applyBorder="1" applyProtection="1"/>
    <xf numFmtId="0" fontId="25" fillId="0" borderId="14" xfId="0" applyFont="1" applyBorder="1"/>
    <xf numFmtId="0" fontId="25" fillId="0" borderId="14" xfId="0" applyFont="1" applyFill="1" applyBorder="1"/>
    <xf numFmtId="164" fontId="19" fillId="0" borderId="15" xfId="0" applyNumberFormat="1" applyFont="1" applyBorder="1" applyProtection="1"/>
    <xf numFmtId="10" fontId="29" fillId="0" borderId="15" xfId="0" applyNumberFormat="1" applyFont="1" applyBorder="1" applyProtection="1"/>
    <xf numFmtId="167" fontId="19" fillId="0" borderId="0" xfId="1" applyNumberFormat="1" applyFont="1" applyBorder="1"/>
    <xf numFmtId="0" fontId="19" fillId="0" borderId="15" xfId="0" quotePrefix="1" applyFont="1" applyBorder="1"/>
    <xf numFmtId="169" fontId="19" fillId="0" borderId="0" xfId="1" applyNumberFormat="1" applyFont="1" applyBorder="1"/>
    <xf numFmtId="170" fontId="19" fillId="0" borderId="17" xfId="0" applyNumberFormat="1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21" fillId="0" borderId="14" xfId="0" applyFont="1" applyBorder="1" applyAlignment="1">
      <alignment horizontal="left"/>
    </xf>
    <xf numFmtId="171" fontId="19" fillId="0" borderId="0" xfId="0" applyNumberFormat="1" applyFont="1"/>
    <xf numFmtId="0" fontId="19" fillId="0" borderId="0" xfId="0" quotePrefix="1" applyFont="1" applyAlignment="1">
      <alignment horizontal="left"/>
    </xf>
    <xf numFmtId="0" fontId="26" fillId="0" borderId="0" xfId="0" applyFont="1"/>
    <xf numFmtId="0" fontId="26" fillId="0" borderId="0" xfId="0" applyFont="1" applyAlignment="1">
      <alignment horizontal="center"/>
    </xf>
    <xf numFmtId="172" fontId="19" fillId="0" borderId="0" xfId="0" applyNumberFormat="1" applyFont="1"/>
    <xf numFmtId="173" fontId="19" fillId="0" borderId="0" xfId="1" applyNumberFormat="1" applyFont="1"/>
    <xf numFmtId="10" fontId="19" fillId="0" borderId="0" xfId="0" applyNumberFormat="1" applyFont="1" applyAlignment="1">
      <alignment horizontal="center"/>
    </xf>
    <xf numFmtId="9" fontId="19" fillId="0" borderId="0" xfId="0" applyNumberFormat="1" applyFont="1" applyAlignment="1">
      <alignment horizontal="center"/>
    </xf>
    <xf numFmtId="0" fontId="19" fillId="0" borderId="0" xfId="0" quotePrefix="1" applyFont="1" applyAlignment="1">
      <alignment horizontal="center"/>
    </xf>
    <xf numFmtId="0" fontId="26" fillId="0" borderId="0" xfId="0" quotePrefix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/>
    <xf numFmtId="172" fontId="20" fillId="0" borderId="0" xfId="0" applyNumberFormat="1" applyFont="1"/>
    <xf numFmtId="0" fontId="20" fillId="0" borderId="0" xfId="0" quotePrefix="1" applyFont="1" applyAlignment="1">
      <alignment horizontal="center"/>
    </xf>
    <xf numFmtId="0" fontId="20" fillId="0" borderId="0" xfId="0" applyFont="1" applyAlignment="1">
      <alignment horizontal="centerContinuous"/>
    </xf>
    <xf numFmtId="0" fontId="20" fillId="0" borderId="0" xfId="0" quotePrefix="1" applyFont="1" applyAlignment="1">
      <alignment horizontal="centerContinuous"/>
    </xf>
    <xf numFmtId="0" fontId="26" fillId="0" borderId="0" xfId="0" quotePrefix="1" applyFont="1" applyAlignment="1">
      <alignment horizontal="left"/>
    </xf>
    <xf numFmtId="10" fontId="26" fillId="0" borderId="0" xfId="0" applyNumberFormat="1" applyFont="1"/>
    <xf numFmtId="10" fontId="26" fillId="0" borderId="0" xfId="0" applyNumberFormat="1" applyFont="1" applyBorder="1"/>
    <xf numFmtId="0" fontId="22" fillId="0" borderId="11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 horizontal="centerContinuous"/>
    </xf>
    <xf numFmtId="168" fontId="19" fillId="0" borderId="14" xfId="0" applyNumberFormat="1" applyFont="1" applyBorder="1" applyProtection="1"/>
    <xf numFmtId="166" fontId="19" fillId="0" borderId="0" xfId="0" applyNumberFormat="1" applyFont="1" applyBorder="1" applyProtection="1"/>
    <xf numFmtId="0" fontId="19" fillId="0" borderId="14" xfId="0" applyFont="1" applyFill="1" applyBorder="1"/>
    <xf numFmtId="166" fontId="19" fillId="0" borderId="0" xfId="0" applyNumberFormat="1" applyFont="1" applyFill="1" applyBorder="1" applyProtection="1"/>
    <xf numFmtId="166" fontId="26" fillId="0" borderId="0" xfId="0" applyNumberFormat="1" applyFont="1" applyBorder="1" applyProtection="1"/>
    <xf numFmtId="0" fontId="25" fillId="0" borderId="0" xfId="0" applyFont="1" applyBorder="1"/>
  </cellXfs>
  <cellStyles count="6">
    <cellStyle name="Comma" xfId="1" builtinId="3"/>
    <cellStyle name="Currency" xfId="2" builtinId="4"/>
    <cellStyle name="Currency 2" xfId="5" xr:uid="{00000000-0005-0000-0000-000002000000}"/>
    <cellStyle name="Normal" xfId="0" builtinId="0"/>
    <cellStyle name="Normal_Cap Structure Calculation" xfId="3" xr:uid="{00000000-0005-0000-0000-000004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>
    <pageSetUpPr fitToPage="1"/>
  </sheetPr>
  <dimension ref="A4:H58"/>
  <sheetViews>
    <sheetView showGridLines="0" workbookViewId="0">
      <selection activeCell="E15" sqref="E15"/>
    </sheetView>
  </sheetViews>
  <sheetFormatPr defaultColWidth="2.54296875" defaultRowHeight="15.6" x14ac:dyDescent="0.3"/>
  <cols>
    <col min="1" max="1" width="2.453125" customWidth="1"/>
    <col min="2" max="2" width="2.08984375" customWidth="1"/>
    <col min="3" max="3" width="9.453125" customWidth="1"/>
    <col min="4" max="4" width="2.08984375" customWidth="1"/>
    <col min="5" max="5" width="19.08984375" bestFit="1" customWidth="1"/>
    <col min="6" max="6" width="11.26953125" bestFit="1" customWidth="1"/>
    <col min="7" max="7" width="12.08984375" bestFit="1" customWidth="1"/>
    <col min="8" max="8" width="11.81640625" bestFit="1" customWidth="1"/>
  </cols>
  <sheetData>
    <row r="4" spans="1:8" ht="24.6" x14ac:dyDescent="0.45">
      <c r="A4" s="42" t="s">
        <v>25</v>
      </c>
      <c r="B4" s="6"/>
      <c r="C4" s="6"/>
      <c r="D4" s="6"/>
      <c r="E4" s="6"/>
      <c r="F4" s="6"/>
      <c r="G4" s="6"/>
      <c r="H4" s="6"/>
    </row>
    <row r="8" spans="1:8" x14ac:dyDescent="0.3">
      <c r="A8" s="43" t="s">
        <v>26</v>
      </c>
      <c r="B8" s="6"/>
      <c r="C8" s="6"/>
      <c r="D8" s="6"/>
      <c r="E8" s="6"/>
      <c r="F8" s="6"/>
      <c r="G8" s="6"/>
      <c r="H8" s="6"/>
    </row>
    <row r="9" spans="1:8" x14ac:dyDescent="0.3">
      <c r="A9" s="8" t="s">
        <v>27</v>
      </c>
      <c r="B9" s="6"/>
      <c r="C9" s="6"/>
      <c r="D9" s="6"/>
      <c r="E9" s="6"/>
      <c r="F9" s="6"/>
      <c r="G9" s="6"/>
      <c r="H9" s="6"/>
    </row>
    <row r="10" spans="1:8" x14ac:dyDescent="0.3">
      <c r="A10" s="8"/>
      <c r="B10" s="6"/>
      <c r="C10" s="6"/>
      <c r="D10" s="6"/>
      <c r="E10" s="6"/>
      <c r="F10" s="6"/>
      <c r="G10" s="6"/>
      <c r="H10" s="6"/>
    </row>
    <row r="15" spans="1:8" x14ac:dyDescent="0.3">
      <c r="A15" s="44"/>
      <c r="B15" s="45"/>
      <c r="C15" s="45"/>
      <c r="D15" s="45"/>
      <c r="E15" s="75" t="s">
        <v>76</v>
      </c>
      <c r="F15" s="46"/>
      <c r="G15" s="46"/>
      <c r="H15" s="47"/>
    </row>
    <row r="16" spans="1:8" x14ac:dyDescent="0.3">
      <c r="A16" s="48"/>
      <c r="B16" s="49"/>
      <c r="C16" s="50"/>
      <c r="D16" s="49"/>
      <c r="E16" s="51" t="s">
        <v>28</v>
      </c>
      <c r="F16" s="51"/>
      <c r="G16" s="51"/>
      <c r="H16" s="52"/>
    </row>
    <row r="17" spans="1:8" x14ac:dyDescent="0.3">
      <c r="A17" s="48"/>
      <c r="B17" s="49"/>
      <c r="C17" s="49" t="s">
        <v>29</v>
      </c>
      <c r="D17" s="49"/>
      <c r="E17" s="45"/>
      <c r="F17" s="45"/>
      <c r="G17" s="45" t="s">
        <v>30</v>
      </c>
      <c r="H17" s="53" t="s">
        <v>20</v>
      </c>
    </row>
    <row r="18" spans="1:8" x14ac:dyDescent="0.3">
      <c r="A18" s="54" t="s">
        <v>1</v>
      </c>
      <c r="B18" s="55" t="s">
        <v>31</v>
      </c>
      <c r="C18" s="56" t="s">
        <v>32</v>
      </c>
      <c r="D18" s="57"/>
      <c r="E18" s="57"/>
      <c r="F18" s="58" t="s">
        <v>33</v>
      </c>
      <c r="G18" s="58" t="s">
        <v>34</v>
      </c>
      <c r="H18" s="59" t="s">
        <v>35</v>
      </c>
    </row>
    <row r="19" spans="1:8" x14ac:dyDescent="0.3">
      <c r="A19" s="60"/>
      <c r="B19" s="60"/>
      <c r="C19" s="60"/>
      <c r="E19" s="60"/>
      <c r="F19" s="60"/>
      <c r="G19" s="60"/>
      <c r="H19" s="60"/>
    </row>
    <row r="21" spans="1:8" x14ac:dyDescent="0.3">
      <c r="A21" s="2" t="e">
        <f>H38</f>
        <v>#REF!</v>
      </c>
      <c r="B21" s="5" t="s">
        <v>36</v>
      </c>
      <c r="C21" t="s">
        <v>37</v>
      </c>
      <c r="E21" t="s">
        <v>19</v>
      </c>
      <c r="F21" s="73" t="e">
        <f>#REF!</f>
        <v>#REF!</v>
      </c>
      <c r="G21" s="73" t="e">
        <f>#REF!</f>
        <v>#REF!</v>
      </c>
      <c r="H21" s="2" t="e">
        <f>ROUND(F21*G21,4)</f>
        <v>#REF!</v>
      </c>
    </row>
    <row r="22" spans="1:8" x14ac:dyDescent="0.3">
      <c r="F22" s="62"/>
      <c r="G22" s="62"/>
    </row>
    <row r="23" spans="1:8" x14ac:dyDescent="0.3">
      <c r="A23" s="63">
        <v>3.15E-2</v>
      </c>
      <c r="B23" s="5" t="s">
        <v>38</v>
      </c>
      <c r="C23" t="s">
        <v>39</v>
      </c>
      <c r="E23" t="s">
        <v>40</v>
      </c>
      <c r="F23" s="61">
        <v>0</v>
      </c>
      <c r="G23" s="61">
        <v>0</v>
      </c>
      <c r="H23" s="2">
        <f>ROUND(F23*G23,4)</f>
        <v>0</v>
      </c>
    </row>
    <row r="24" spans="1:8" x14ac:dyDescent="0.3">
      <c r="A24" s="62"/>
    </row>
    <row r="25" spans="1:8" x14ac:dyDescent="0.3">
      <c r="A25" s="63">
        <v>4.0000000000000002E-4</v>
      </c>
      <c r="B25" s="5" t="s">
        <v>41</v>
      </c>
      <c r="C25" t="s">
        <v>42</v>
      </c>
      <c r="E25" t="s">
        <v>3</v>
      </c>
      <c r="F25" s="73" t="e">
        <f>#REF!</f>
        <v>#REF!</v>
      </c>
      <c r="G25" s="73" t="e">
        <f>#REF!</f>
        <v>#REF!</v>
      </c>
      <c r="H25" s="2" t="e">
        <f>ROUND(F25*G25,4)</f>
        <v>#REF!</v>
      </c>
    </row>
    <row r="26" spans="1:8" x14ac:dyDescent="0.3">
      <c r="A26" s="62"/>
      <c r="F26" s="17"/>
      <c r="G26" s="17"/>
    </row>
    <row r="27" spans="1:8" x14ac:dyDescent="0.3">
      <c r="A27" s="64">
        <v>2.5389999999999999E-2</v>
      </c>
      <c r="B27" s="5" t="s">
        <v>43</v>
      </c>
      <c r="C27" t="s">
        <v>44</v>
      </c>
      <c r="E27" t="s">
        <v>2</v>
      </c>
      <c r="F27" s="73" t="e">
        <f>#REF!</f>
        <v>#REF!</v>
      </c>
      <c r="G27" s="73" t="e">
        <f>#REF!</f>
        <v>#REF!</v>
      </c>
      <c r="H27" s="2" t="e">
        <f>ROUND(F27*G27,4)</f>
        <v>#REF!</v>
      </c>
    </row>
    <row r="28" spans="1:8" x14ac:dyDescent="0.3">
      <c r="A28" s="62"/>
      <c r="F28" s="62"/>
      <c r="G28" s="62"/>
    </row>
    <row r="29" spans="1:8" x14ac:dyDescent="0.3">
      <c r="A29" s="78" t="e">
        <f>#REF!</f>
        <v>#REF!</v>
      </c>
      <c r="B29" s="5" t="s">
        <v>45</v>
      </c>
      <c r="C29" t="s">
        <v>46</v>
      </c>
      <c r="E29" t="s">
        <v>47</v>
      </c>
      <c r="F29" s="22">
        <v>0</v>
      </c>
      <c r="G29" s="73" t="e">
        <f>#REF!</f>
        <v>#REF!</v>
      </c>
      <c r="H29" s="2" t="s">
        <v>48</v>
      </c>
    </row>
    <row r="30" spans="1:8" x14ac:dyDescent="0.3">
      <c r="A30" s="64"/>
      <c r="B30" s="5"/>
      <c r="F30" s="62"/>
      <c r="G30" s="62"/>
    </row>
    <row r="31" spans="1:8" x14ac:dyDescent="0.3">
      <c r="A31" s="21" t="e">
        <f>H21+H23</f>
        <v>#REF!</v>
      </c>
      <c r="B31" s="5" t="s">
        <v>49</v>
      </c>
      <c r="C31" t="s">
        <v>50</v>
      </c>
      <c r="E31" t="s">
        <v>51</v>
      </c>
      <c r="F31" s="22">
        <v>0</v>
      </c>
      <c r="G31" s="61">
        <v>0</v>
      </c>
      <c r="H31" s="2" t="s">
        <v>48</v>
      </c>
    </row>
    <row r="32" spans="1:8" x14ac:dyDescent="0.3">
      <c r="F32" s="22"/>
      <c r="G32" s="61"/>
      <c r="H32" s="2"/>
    </row>
    <row r="33" spans="1:8" x14ac:dyDescent="0.3">
      <c r="A33" s="2" t="e">
        <f>ROUND((A21/(((1+A21)^A37)-1)),4)</f>
        <v>#REF!</v>
      </c>
      <c r="B33" s="5" t="s">
        <v>52</v>
      </c>
      <c r="C33" t="s">
        <v>53</v>
      </c>
      <c r="E33" t="s">
        <v>54</v>
      </c>
      <c r="F33" s="62"/>
      <c r="G33" s="62"/>
    </row>
    <row r="34" spans="1:8" x14ac:dyDescent="0.3">
      <c r="A34" s="2" t="s">
        <v>48</v>
      </c>
      <c r="E34" t="s">
        <v>55</v>
      </c>
      <c r="F34" s="61">
        <v>0</v>
      </c>
      <c r="G34" s="61">
        <v>0</v>
      </c>
      <c r="H34" s="2">
        <f>ROUND(F34*G34,4)</f>
        <v>0</v>
      </c>
    </row>
    <row r="35" spans="1:8" x14ac:dyDescent="0.3">
      <c r="A35" s="64">
        <v>4.8750000000000002E-2</v>
      </c>
      <c r="B35" s="5" t="s">
        <v>56</v>
      </c>
      <c r="C35" t="s">
        <v>57</v>
      </c>
      <c r="F35" s="62"/>
      <c r="G35" s="62"/>
    </row>
    <row r="36" spans="1:8" x14ac:dyDescent="0.3">
      <c r="A36" s="62"/>
      <c r="E36" t="s">
        <v>4</v>
      </c>
      <c r="F36" s="65">
        <v>0</v>
      </c>
      <c r="G36" s="66">
        <v>0</v>
      </c>
      <c r="H36" s="14">
        <f>ROUND(F36*G36,4)</f>
        <v>0</v>
      </c>
    </row>
    <row r="37" spans="1:8" x14ac:dyDescent="0.3">
      <c r="A37" s="67">
        <v>32</v>
      </c>
      <c r="B37" s="5" t="s">
        <v>58</v>
      </c>
      <c r="C37" t="s">
        <v>59</v>
      </c>
    </row>
    <row r="38" spans="1:8" x14ac:dyDescent="0.3">
      <c r="G38" s="10" t="e">
        <f>SUM(G21:G36)</f>
        <v>#REF!</v>
      </c>
      <c r="H38" s="10" t="e">
        <f>SUM(H21:H36)</f>
        <v>#REF!</v>
      </c>
    </row>
    <row r="44" spans="1:8" x14ac:dyDescent="0.3">
      <c r="C44" t="s">
        <v>70</v>
      </c>
    </row>
    <row r="45" spans="1:8" x14ac:dyDescent="0.3">
      <c r="C45" t="s">
        <v>69</v>
      </c>
    </row>
    <row r="46" spans="1:8" x14ac:dyDescent="0.3">
      <c r="D46" s="68"/>
      <c r="E46" s="68"/>
      <c r="F46" s="68"/>
    </row>
    <row r="47" spans="1:8" x14ac:dyDescent="0.3">
      <c r="D47" s="68"/>
      <c r="E47" s="68"/>
      <c r="F47" s="68"/>
    </row>
    <row r="48" spans="1:8" x14ac:dyDescent="0.3">
      <c r="D48" s="68"/>
      <c r="E48" s="68"/>
    </row>
    <row r="49" spans="3:5" x14ac:dyDescent="0.3">
      <c r="D49" s="68"/>
      <c r="E49" s="68"/>
    </row>
    <row r="50" spans="3:5" x14ac:dyDescent="0.3">
      <c r="C50" t="s">
        <v>60</v>
      </c>
      <c r="D50" s="39" t="e">
        <f>ROUND((C54)*((A21+A25+A27+A33)+(C55*C53*C56)),4)</f>
        <v>#REF!</v>
      </c>
    </row>
    <row r="53" spans="3:5" x14ac:dyDescent="0.3">
      <c r="C53" s="69" t="e">
        <f>(A21+A33)-A23</f>
        <v>#REF!</v>
      </c>
      <c r="D53" t="s">
        <v>61</v>
      </c>
    </row>
    <row r="54" spans="3:5" x14ac:dyDescent="0.3">
      <c r="C54">
        <f>1/(1-A35)</f>
        <v>1.0512483574244416</v>
      </c>
      <c r="D54" s="24" t="s">
        <v>62</v>
      </c>
    </row>
    <row r="55" spans="3:5" x14ac:dyDescent="0.3">
      <c r="C55" t="e">
        <f>A29/(1-A29)</f>
        <v>#REF!</v>
      </c>
      <c r="D55" t="s">
        <v>63</v>
      </c>
    </row>
    <row r="56" spans="3:5" x14ac:dyDescent="0.3">
      <c r="C56" t="e">
        <f>(A21-A31)/A21</f>
        <v>#REF!</v>
      </c>
      <c r="D56" s="24" t="s">
        <v>64</v>
      </c>
    </row>
    <row r="57" spans="3:5" x14ac:dyDescent="0.3">
      <c r="C57" s="70" t="e">
        <f>A21+A25+A27+A33</f>
        <v>#REF!</v>
      </c>
      <c r="D57" t="s">
        <v>65</v>
      </c>
    </row>
    <row r="58" spans="3:5" x14ac:dyDescent="0.3">
      <c r="C58" s="71" t="e">
        <f>ROUND(C54*((C57)+C53*C55*C56),4)</f>
        <v>#REF!</v>
      </c>
      <c r="D58" t="s">
        <v>66</v>
      </c>
    </row>
  </sheetData>
  <phoneticPr fontId="0" type="noConversion"/>
  <printOptions horizontalCentered="1"/>
  <pageMargins left="0.5" right="0.5" top="0.5" bottom="0.5" header="0.5" footer="0.5"/>
  <pageSetup scale="58" orientation="landscape" r:id="rId1"/>
  <headerFooter alignWithMargins="0">
    <oddFooter>&amp;L&amp;D&amp;RP:\LFCR\WEM\&amp;F&amp;A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 codeName="Sheet3">
    <pageSetUpPr fitToPage="1"/>
  </sheetPr>
  <dimension ref="A4:H58"/>
  <sheetViews>
    <sheetView showGridLines="0" workbookViewId="0">
      <selection activeCell="E45" sqref="E45"/>
    </sheetView>
  </sheetViews>
  <sheetFormatPr defaultColWidth="2.54296875" defaultRowHeight="15.6" x14ac:dyDescent="0.3"/>
  <cols>
    <col min="1" max="1" width="2.26953125" customWidth="1"/>
    <col min="2" max="2" width="2.08984375" customWidth="1"/>
    <col min="3" max="3" width="9.453125" customWidth="1"/>
    <col min="4" max="4" width="2.08984375" customWidth="1"/>
    <col min="5" max="5" width="4.26953125" customWidth="1"/>
    <col min="6" max="7" width="2.54296875" customWidth="1"/>
    <col min="8" max="8" width="3.08984375" customWidth="1"/>
  </cols>
  <sheetData>
    <row r="4" spans="1:8" ht="24.6" x14ac:dyDescent="0.45">
      <c r="A4" s="42" t="s">
        <v>71</v>
      </c>
      <c r="B4" s="6"/>
      <c r="C4" s="6"/>
      <c r="D4" s="6"/>
      <c r="E4" s="6"/>
      <c r="F4" s="6"/>
      <c r="G4" s="6"/>
      <c r="H4" s="6"/>
    </row>
    <row r="8" spans="1:8" x14ac:dyDescent="0.3">
      <c r="A8" s="43" t="s">
        <v>26</v>
      </c>
      <c r="B8" s="6"/>
      <c r="C8" s="6"/>
      <c r="D8" s="6"/>
      <c r="E8" s="6"/>
      <c r="F8" s="6"/>
      <c r="G8" s="6"/>
      <c r="H8" s="6"/>
    </row>
    <row r="9" spans="1:8" x14ac:dyDescent="0.3">
      <c r="A9" s="8" t="s">
        <v>67</v>
      </c>
      <c r="B9" s="6"/>
      <c r="C9" s="6"/>
      <c r="D9" s="6"/>
      <c r="E9" s="6"/>
      <c r="F9" s="6"/>
      <c r="G9" s="6"/>
      <c r="H9" s="6"/>
    </row>
    <row r="10" spans="1:8" x14ac:dyDescent="0.3">
      <c r="A10" s="8"/>
      <c r="B10" s="6"/>
      <c r="C10" s="6"/>
      <c r="D10" s="6"/>
      <c r="E10" s="6"/>
      <c r="F10" s="6"/>
      <c r="G10" s="6"/>
      <c r="H10" s="6"/>
    </row>
    <row r="15" spans="1:8" x14ac:dyDescent="0.3">
      <c r="A15" s="44"/>
      <c r="B15" s="45"/>
      <c r="C15" s="45"/>
      <c r="D15" s="45"/>
      <c r="E15" s="46" t="str">
        <f>'CGE PROD not used'!E15</f>
        <v>Capital Structure at 12-31-12</v>
      </c>
      <c r="F15" s="46"/>
      <c r="G15" s="46"/>
      <c r="H15" s="47"/>
    </row>
    <row r="16" spans="1:8" x14ac:dyDescent="0.3">
      <c r="A16" s="48"/>
      <c r="B16" s="49"/>
      <c r="C16" s="50"/>
      <c r="D16" s="49"/>
      <c r="E16" s="51" t="s">
        <v>28</v>
      </c>
      <c r="F16" s="51"/>
      <c r="G16" s="51"/>
      <c r="H16" s="52"/>
    </row>
    <row r="17" spans="1:8" x14ac:dyDescent="0.3">
      <c r="A17" s="48"/>
      <c r="B17" s="49"/>
      <c r="C17" s="49" t="s">
        <v>29</v>
      </c>
      <c r="D17" s="49"/>
      <c r="E17" s="45"/>
      <c r="F17" s="45"/>
      <c r="G17" s="45" t="s">
        <v>30</v>
      </c>
      <c r="H17" s="53" t="s">
        <v>20</v>
      </c>
    </row>
    <row r="18" spans="1:8" x14ac:dyDescent="0.3">
      <c r="A18" s="54" t="s">
        <v>1</v>
      </c>
      <c r="B18" s="55" t="s">
        <v>31</v>
      </c>
      <c r="C18" s="56" t="s">
        <v>32</v>
      </c>
      <c r="D18" s="57"/>
      <c r="E18" s="57"/>
      <c r="F18" s="58" t="s">
        <v>33</v>
      </c>
      <c r="G18" s="58" t="s">
        <v>34</v>
      </c>
      <c r="H18" s="59" t="s">
        <v>35</v>
      </c>
    </row>
    <row r="19" spans="1:8" x14ac:dyDescent="0.3">
      <c r="A19" s="60"/>
      <c r="B19" s="60"/>
      <c r="C19" s="60"/>
      <c r="E19" s="60"/>
      <c r="F19" s="60"/>
      <c r="G19" s="60"/>
      <c r="H19" s="60"/>
    </row>
    <row r="21" spans="1:8" x14ac:dyDescent="0.3">
      <c r="A21" s="2" t="e">
        <f>H38</f>
        <v>#REF!</v>
      </c>
      <c r="B21" s="5" t="s">
        <v>36</v>
      </c>
      <c r="C21" t="s">
        <v>37</v>
      </c>
      <c r="E21" t="s">
        <v>19</v>
      </c>
      <c r="F21" s="21" t="e">
        <f>'CGE PROD not used'!F21</f>
        <v>#REF!</v>
      </c>
      <c r="G21" s="21" t="e">
        <f>'CGE PROD not used'!G21</f>
        <v>#REF!</v>
      </c>
      <c r="H21" s="2" t="e">
        <f>ROUND(F21*G21,4)</f>
        <v>#REF!</v>
      </c>
    </row>
    <row r="22" spans="1:8" x14ac:dyDescent="0.3">
      <c r="F22" s="62"/>
      <c r="G22" s="62"/>
    </row>
    <row r="23" spans="1:8" x14ac:dyDescent="0.3">
      <c r="A23" s="63">
        <v>3.9600000000000003E-2</v>
      </c>
      <c r="B23" s="5" t="s">
        <v>38</v>
      </c>
      <c r="C23" t="s">
        <v>39</v>
      </c>
      <c r="E23" t="s">
        <v>3</v>
      </c>
      <c r="F23" s="21" t="e">
        <f>'CGE PROD not used'!F25</f>
        <v>#REF!</v>
      </c>
      <c r="G23" s="21" t="e">
        <f>'CGE PROD not used'!G25</f>
        <v>#REF!</v>
      </c>
      <c r="H23" s="2" t="e">
        <f>ROUND(F23*G23,4)</f>
        <v>#REF!</v>
      </c>
    </row>
    <row r="24" spans="1:8" x14ac:dyDescent="0.3">
      <c r="A24" s="62"/>
      <c r="F24" s="62"/>
      <c r="G24" s="62"/>
    </row>
    <row r="25" spans="1:8" x14ac:dyDescent="0.3">
      <c r="A25" s="63">
        <v>0</v>
      </c>
      <c r="B25" s="5" t="s">
        <v>41</v>
      </c>
      <c r="C25" t="s">
        <v>42</v>
      </c>
      <c r="E25" t="s">
        <v>2</v>
      </c>
      <c r="F25" s="21" t="e">
        <f>'CGE PROD not used'!F27</f>
        <v>#REF!</v>
      </c>
      <c r="G25" s="21" t="e">
        <f>'CGE PROD not used'!G27</f>
        <v>#REF!</v>
      </c>
      <c r="H25" s="2" t="e">
        <f>ROUND(F25*G25,4)</f>
        <v>#REF!</v>
      </c>
    </row>
    <row r="26" spans="1:8" x14ac:dyDescent="0.3">
      <c r="A26" s="62"/>
      <c r="F26" s="62"/>
      <c r="G26" s="62"/>
    </row>
    <row r="27" spans="1:8" x14ac:dyDescent="0.3">
      <c r="A27" s="63">
        <v>0</v>
      </c>
      <c r="B27" s="5" t="s">
        <v>43</v>
      </c>
      <c r="C27" t="s">
        <v>44</v>
      </c>
      <c r="E27" t="s">
        <v>47</v>
      </c>
      <c r="F27" s="21">
        <f>'CGE PROD not used'!F29</f>
        <v>0</v>
      </c>
      <c r="G27" s="21" t="e">
        <f>'CGE PROD not used'!G29</f>
        <v>#REF!</v>
      </c>
      <c r="H27" s="2" t="s">
        <v>48</v>
      </c>
    </row>
    <row r="28" spans="1:8" x14ac:dyDescent="0.3">
      <c r="A28" s="62"/>
      <c r="F28" s="62"/>
      <c r="G28" s="62"/>
    </row>
    <row r="29" spans="1:8" x14ac:dyDescent="0.3">
      <c r="A29" s="78" t="e">
        <f>#REF!</f>
        <v>#REF!</v>
      </c>
      <c r="B29" s="5" t="s">
        <v>45</v>
      </c>
      <c r="C29" t="s">
        <v>46</v>
      </c>
      <c r="E29" t="s">
        <v>51</v>
      </c>
      <c r="F29" s="21">
        <f>'CGE PROD not used'!F31</f>
        <v>0</v>
      </c>
      <c r="G29" s="21">
        <f>'CGE PROD not used'!G31</f>
        <v>0</v>
      </c>
      <c r="H29" s="2" t="s">
        <v>48</v>
      </c>
    </row>
    <row r="30" spans="1:8" x14ac:dyDescent="0.3">
      <c r="A30" s="64"/>
      <c r="B30" s="5"/>
      <c r="F30" s="22"/>
      <c r="G30" s="61"/>
      <c r="H30" s="2"/>
    </row>
    <row r="31" spans="1:8" x14ac:dyDescent="0.3">
      <c r="A31" s="21" t="e">
        <f>H21</f>
        <v>#REF!</v>
      </c>
      <c r="B31" s="5" t="s">
        <v>49</v>
      </c>
      <c r="C31" t="s">
        <v>50</v>
      </c>
      <c r="E31" t="s">
        <v>54</v>
      </c>
      <c r="F31" s="62"/>
      <c r="G31" s="62"/>
    </row>
    <row r="32" spans="1:8" x14ac:dyDescent="0.3">
      <c r="E32" t="s">
        <v>55</v>
      </c>
      <c r="F32" s="21">
        <f>'CGE PROD not used'!F34</f>
        <v>0</v>
      </c>
      <c r="G32" s="21">
        <f>'CGE PROD not used'!G34</f>
        <v>0</v>
      </c>
      <c r="H32" s="2">
        <f>ROUND(F32*G32,4)</f>
        <v>0</v>
      </c>
    </row>
    <row r="33" spans="1:8" x14ac:dyDescent="0.3">
      <c r="A33" s="2" t="e">
        <f>ROUND((A21/(((1+A21)^A37)-1)),4)</f>
        <v>#REF!</v>
      </c>
      <c r="B33" s="5" t="s">
        <v>52</v>
      </c>
      <c r="C33" t="s">
        <v>53</v>
      </c>
      <c r="F33" s="62"/>
      <c r="G33" s="62"/>
    </row>
    <row r="34" spans="1:8" x14ac:dyDescent="0.3">
      <c r="A34" s="2" t="s">
        <v>48</v>
      </c>
      <c r="E34" t="s">
        <v>4</v>
      </c>
      <c r="F34" s="21">
        <f>'CGE PROD not used'!F36</f>
        <v>0</v>
      </c>
      <c r="G34" s="72">
        <f>'CGE PROD not used'!G36</f>
        <v>0</v>
      </c>
      <c r="H34" s="14">
        <f>ROUND(F34*G34,4)</f>
        <v>0</v>
      </c>
    </row>
    <row r="35" spans="1:8" x14ac:dyDescent="0.3">
      <c r="A35" s="64">
        <v>4.8750000000000002E-2</v>
      </c>
      <c r="B35" s="5" t="s">
        <v>56</v>
      </c>
      <c r="C35" t="s">
        <v>57</v>
      </c>
    </row>
    <row r="36" spans="1:8" x14ac:dyDescent="0.3">
      <c r="A36" s="62"/>
    </row>
    <row r="37" spans="1:8" x14ac:dyDescent="0.3">
      <c r="A37" s="67">
        <v>25</v>
      </c>
      <c r="B37" s="5" t="s">
        <v>58</v>
      </c>
      <c r="C37" t="s">
        <v>59</v>
      </c>
    </row>
    <row r="38" spans="1:8" x14ac:dyDescent="0.3">
      <c r="G38" s="10" t="e">
        <f>SUM(G21:G34)</f>
        <v>#REF!</v>
      </c>
      <c r="H38" s="10" t="e">
        <f>SUM(H21:H34)</f>
        <v>#REF!</v>
      </c>
    </row>
    <row r="44" spans="1:8" x14ac:dyDescent="0.3">
      <c r="C44" t="s">
        <v>70</v>
      </c>
    </row>
    <row r="45" spans="1:8" x14ac:dyDescent="0.3">
      <c r="C45" t="s">
        <v>69</v>
      </c>
    </row>
    <row r="46" spans="1:8" x14ac:dyDescent="0.3">
      <c r="D46" s="68"/>
      <c r="E46" s="68"/>
      <c r="F46" s="68"/>
    </row>
    <row r="47" spans="1:8" x14ac:dyDescent="0.3">
      <c r="D47" s="68"/>
      <c r="E47" s="68"/>
      <c r="F47" s="68"/>
    </row>
    <row r="48" spans="1:8" x14ac:dyDescent="0.3">
      <c r="D48" s="68"/>
      <c r="E48" s="68"/>
    </row>
    <row r="49" spans="3:5" x14ac:dyDescent="0.3">
      <c r="D49" s="68"/>
      <c r="E49" s="68"/>
    </row>
    <row r="50" spans="3:5" x14ac:dyDescent="0.3">
      <c r="C50" t="s">
        <v>60</v>
      </c>
      <c r="D50" s="39" t="e">
        <f>ROUND((C54)*((A21+A25+A27+A33)+(C55*C53*C56)),4)</f>
        <v>#REF!</v>
      </c>
    </row>
    <row r="53" spans="3:5" x14ac:dyDescent="0.3">
      <c r="C53" s="69" t="e">
        <f>(A21+A33)-A23</f>
        <v>#REF!</v>
      </c>
      <c r="D53" t="s">
        <v>61</v>
      </c>
    </row>
    <row r="54" spans="3:5" x14ac:dyDescent="0.3">
      <c r="C54">
        <f>1/(1-A35)</f>
        <v>1.0512483574244416</v>
      </c>
      <c r="D54" s="24" t="s">
        <v>62</v>
      </c>
    </row>
    <row r="55" spans="3:5" x14ac:dyDescent="0.3">
      <c r="C55" t="e">
        <f>A29/(1-A29)</f>
        <v>#REF!</v>
      </c>
      <c r="D55" t="s">
        <v>63</v>
      </c>
    </row>
    <row r="56" spans="3:5" x14ac:dyDescent="0.3">
      <c r="C56" t="e">
        <f>(A21-A31)/A21</f>
        <v>#REF!</v>
      </c>
      <c r="D56" s="24" t="s">
        <v>64</v>
      </c>
    </row>
    <row r="57" spans="3:5" x14ac:dyDescent="0.3">
      <c r="C57" s="70" t="e">
        <f>A21+A25+A27+A33</f>
        <v>#REF!</v>
      </c>
      <c r="D57" t="s">
        <v>65</v>
      </c>
    </row>
    <row r="58" spans="3:5" x14ac:dyDescent="0.3">
      <c r="C58" s="71" t="e">
        <f>ROUND(C54*((C57)+C53*C55*C56),4)</f>
        <v>#REF!</v>
      </c>
      <c r="D58" t="s">
        <v>66</v>
      </c>
    </row>
  </sheetData>
  <phoneticPr fontId="0" type="noConversion"/>
  <printOptions horizontalCentered="1"/>
  <pageMargins left="0.5" right="0.5" top="0.5" bottom="0.5" header="0.5" footer="0.5"/>
  <pageSetup scale="61" orientation="landscape" r:id="rId1"/>
  <headerFooter alignWithMargins="0">
    <oddFooter>&amp;L&amp;D&amp;RP:\LFCR\WEM\&amp;F&amp;A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transitionEntry="1" codeName="Sheet4">
    <pageSetUpPr fitToPage="1"/>
  </sheetPr>
  <dimension ref="A4:H58"/>
  <sheetViews>
    <sheetView showGridLines="0" topLeftCell="A8" workbookViewId="0">
      <selection activeCell="C44" sqref="C44"/>
    </sheetView>
  </sheetViews>
  <sheetFormatPr defaultColWidth="2.54296875" defaultRowHeight="15.6" x14ac:dyDescent="0.3"/>
  <cols>
    <col min="1" max="1" width="2.26953125" customWidth="1"/>
    <col min="2" max="2" width="2.08984375" customWidth="1"/>
    <col min="3" max="3" width="9.453125" customWidth="1"/>
    <col min="4" max="4" width="2.08984375" customWidth="1"/>
    <col min="5" max="5" width="4.26953125" customWidth="1"/>
    <col min="6" max="7" width="2.54296875" customWidth="1"/>
    <col min="8" max="8" width="3.08984375" customWidth="1"/>
  </cols>
  <sheetData>
    <row r="4" spans="1:8" ht="24.6" x14ac:dyDescent="0.45">
      <c r="A4" s="42" t="s">
        <v>25</v>
      </c>
      <c r="B4" s="6"/>
      <c r="C4" s="6"/>
      <c r="D4" s="6"/>
      <c r="E4" s="6"/>
      <c r="F4" s="6"/>
      <c r="G4" s="6"/>
      <c r="H4" s="6"/>
    </row>
    <row r="8" spans="1:8" x14ac:dyDescent="0.3">
      <c r="A8" s="43" t="s">
        <v>26</v>
      </c>
      <c r="B8" s="6"/>
      <c r="C8" s="6"/>
      <c r="D8" s="6"/>
      <c r="E8" s="6"/>
      <c r="F8" s="6"/>
      <c r="G8" s="6"/>
      <c r="H8" s="6"/>
    </row>
    <row r="9" spans="1:8" x14ac:dyDescent="0.3">
      <c r="A9" s="8" t="s">
        <v>68</v>
      </c>
      <c r="B9" s="6"/>
      <c r="C9" s="6"/>
      <c r="D9" s="6"/>
      <c r="E9" s="6"/>
      <c r="F9" s="6"/>
      <c r="G9" s="6"/>
      <c r="H9" s="6"/>
    </row>
    <row r="10" spans="1:8" x14ac:dyDescent="0.3">
      <c r="A10" s="8"/>
      <c r="B10" s="6"/>
      <c r="C10" s="6"/>
      <c r="D10" s="6"/>
      <c r="E10" s="6"/>
      <c r="F10" s="6"/>
      <c r="G10" s="6"/>
      <c r="H10" s="6"/>
    </row>
    <row r="15" spans="1:8" x14ac:dyDescent="0.3">
      <c r="A15" s="44"/>
      <c r="B15" s="45"/>
      <c r="C15" s="45"/>
      <c r="D15" s="45"/>
      <c r="E15" s="46" t="str">
        <f>'CGE PROD not used'!E15</f>
        <v>Capital Structure at 12-31-12</v>
      </c>
      <c r="F15" s="46"/>
      <c r="G15" s="46"/>
      <c r="H15" s="47"/>
    </row>
    <row r="16" spans="1:8" x14ac:dyDescent="0.3">
      <c r="A16" s="48"/>
      <c r="B16" s="49"/>
      <c r="C16" s="50"/>
      <c r="D16" s="49"/>
      <c r="E16" s="51" t="s">
        <v>28</v>
      </c>
      <c r="F16" s="51"/>
      <c r="G16" s="51"/>
      <c r="H16" s="52"/>
    </row>
    <row r="17" spans="1:8" x14ac:dyDescent="0.3">
      <c r="A17" s="48"/>
      <c r="B17" s="49"/>
      <c r="C17" s="49" t="s">
        <v>29</v>
      </c>
      <c r="D17" s="49"/>
      <c r="E17" s="45"/>
      <c r="F17" s="45"/>
      <c r="G17" s="45" t="s">
        <v>30</v>
      </c>
      <c r="H17" s="53" t="s">
        <v>20</v>
      </c>
    </row>
    <row r="18" spans="1:8" x14ac:dyDescent="0.3">
      <c r="A18" s="54" t="s">
        <v>1</v>
      </c>
      <c r="B18" s="55" t="s">
        <v>31</v>
      </c>
      <c r="C18" s="56" t="s">
        <v>32</v>
      </c>
      <c r="D18" s="57"/>
      <c r="E18" s="57"/>
      <c r="F18" s="58" t="s">
        <v>33</v>
      </c>
      <c r="G18" s="58" t="s">
        <v>34</v>
      </c>
      <c r="H18" s="59" t="s">
        <v>35</v>
      </c>
    </row>
    <row r="19" spans="1:8" x14ac:dyDescent="0.3">
      <c r="A19" s="60"/>
      <c r="B19" s="60"/>
      <c r="C19" s="60"/>
      <c r="E19" s="60"/>
      <c r="F19" s="60"/>
      <c r="G19" s="60"/>
      <c r="H19" s="60"/>
    </row>
    <row r="21" spans="1:8" x14ac:dyDescent="0.3">
      <c r="A21" s="2" t="e">
        <f>H38</f>
        <v>#REF!</v>
      </c>
      <c r="B21" s="5" t="s">
        <v>36</v>
      </c>
      <c r="C21" t="s">
        <v>37</v>
      </c>
      <c r="E21" t="s">
        <v>19</v>
      </c>
      <c r="F21" s="21" t="e">
        <f>'CGE PROD not used'!F21</f>
        <v>#REF!</v>
      </c>
      <c r="G21" s="21" t="e">
        <f>'CGE PROD not used'!G21</f>
        <v>#REF!</v>
      </c>
      <c r="H21" s="2" t="e">
        <f>ROUND(F21*G21,4)</f>
        <v>#REF!</v>
      </c>
    </row>
    <row r="22" spans="1:8" x14ac:dyDescent="0.3">
      <c r="F22" s="62"/>
      <c r="G22" s="62"/>
    </row>
    <row r="23" spans="1:8" x14ac:dyDescent="0.3">
      <c r="A23" s="63">
        <v>0</v>
      </c>
      <c r="B23" s="5" t="s">
        <v>38</v>
      </c>
      <c r="C23" t="s">
        <v>39</v>
      </c>
      <c r="E23" t="s">
        <v>3</v>
      </c>
      <c r="F23" s="21" t="e">
        <f>'CGE PROD not used'!F25</f>
        <v>#REF!</v>
      </c>
      <c r="G23" s="21" t="e">
        <f>'CGE PROD not used'!G25</f>
        <v>#REF!</v>
      </c>
      <c r="H23" s="2" t="e">
        <f>ROUND(F23*G23,4)</f>
        <v>#REF!</v>
      </c>
    </row>
    <row r="24" spans="1:8" x14ac:dyDescent="0.3">
      <c r="A24" s="62"/>
      <c r="F24" s="62"/>
      <c r="G24" s="62"/>
    </row>
    <row r="25" spans="1:8" x14ac:dyDescent="0.3">
      <c r="A25" s="63">
        <v>0</v>
      </c>
      <c r="B25" s="5" t="s">
        <v>41</v>
      </c>
      <c r="C25" t="s">
        <v>42</v>
      </c>
      <c r="E25" t="s">
        <v>2</v>
      </c>
      <c r="F25" s="21" t="e">
        <f>'CGE PROD not used'!F27</f>
        <v>#REF!</v>
      </c>
      <c r="G25" s="21" t="e">
        <f>'CGE PROD not used'!G27</f>
        <v>#REF!</v>
      </c>
      <c r="H25" s="2" t="e">
        <f>ROUND(F25*G25,4)</f>
        <v>#REF!</v>
      </c>
    </row>
    <row r="26" spans="1:8" x14ac:dyDescent="0.3">
      <c r="A26" s="62"/>
      <c r="F26" s="62"/>
      <c r="G26" s="62"/>
    </row>
    <row r="27" spans="1:8" x14ac:dyDescent="0.3">
      <c r="A27" s="63">
        <v>0</v>
      </c>
      <c r="B27" s="5" t="s">
        <v>43</v>
      </c>
      <c r="C27" t="s">
        <v>44</v>
      </c>
      <c r="E27" t="s">
        <v>47</v>
      </c>
      <c r="F27" s="21">
        <f>'CGE PROD not used'!F29</f>
        <v>0</v>
      </c>
      <c r="G27" s="21" t="e">
        <f>'CGE PROD not used'!G29</f>
        <v>#REF!</v>
      </c>
      <c r="H27" s="2" t="s">
        <v>48</v>
      </c>
    </row>
    <row r="28" spans="1:8" x14ac:dyDescent="0.3">
      <c r="A28" s="62"/>
      <c r="F28" s="62"/>
      <c r="G28" s="62"/>
    </row>
    <row r="29" spans="1:8" x14ac:dyDescent="0.3">
      <c r="A29" s="78" t="e">
        <f>#REF!</f>
        <v>#REF!</v>
      </c>
      <c r="B29" s="5" t="s">
        <v>45</v>
      </c>
      <c r="C29" t="s">
        <v>46</v>
      </c>
      <c r="E29" t="s">
        <v>51</v>
      </c>
      <c r="F29" s="21">
        <f>'CGE PROD not used'!F31</f>
        <v>0</v>
      </c>
      <c r="G29" s="21">
        <f>'CGE PROD not used'!G31</f>
        <v>0</v>
      </c>
      <c r="H29" s="2" t="s">
        <v>48</v>
      </c>
    </row>
    <row r="30" spans="1:8" x14ac:dyDescent="0.3">
      <c r="A30" s="64"/>
      <c r="B30" s="5"/>
      <c r="F30" s="22"/>
      <c r="G30" s="61"/>
      <c r="H30" s="2"/>
    </row>
    <row r="31" spans="1:8" x14ac:dyDescent="0.3">
      <c r="A31" s="21" t="e">
        <f>H21</f>
        <v>#REF!</v>
      </c>
      <c r="B31" s="5" t="s">
        <v>49</v>
      </c>
      <c r="C31" t="s">
        <v>50</v>
      </c>
      <c r="E31" t="s">
        <v>54</v>
      </c>
      <c r="F31" s="62"/>
      <c r="G31" s="62"/>
    </row>
    <row r="32" spans="1:8" x14ac:dyDescent="0.3">
      <c r="E32" t="s">
        <v>55</v>
      </c>
      <c r="F32" s="21">
        <f>'CGE PROD not used'!F34</f>
        <v>0</v>
      </c>
      <c r="G32" s="21">
        <f>'CGE PROD not used'!G34</f>
        <v>0</v>
      </c>
      <c r="H32" s="2">
        <f>ROUND(F32*G32,4)</f>
        <v>0</v>
      </c>
    </row>
    <row r="33" spans="1:8" x14ac:dyDescent="0.3">
      <c r="A33" s="2">
        <v>0</v>
      </c>
      <c r="B33" s="5" t="s">
        <v>52</v>
      </c>
      <c r="C33" t="s">
        <v>53</v>
      </c>
      <c r="F33" s="62"/>
      <c r="G33" s="62"/>
    </row>
    <row r="34" spans="1:8" x14ac:dyDescent="0.3">
      <c r="A34" s="2" t="s">
        <v>48</v>
      </c>
      <c r="E34" t="s">
        <v>4</v>
      </c>
      <c r="F34" s="21">
        <f>'CGE PROD not used'!F36</f>
        <v>0</v>
      </c>
      <c r="G34" s="72">
        <f>'CGE PROD not used'!G36</f>
        <v>0</v>
      </c>
      <c r="H34" s="14">
        <f>ROUND(F34*G34,4)</f>
        <v>0</v>
      </c>
    </row>
    <row r="35" spans="1:8" x14ac:dyDescent="0.3">
      <c r="A35" s="64">
        <v>4.8750000000000002E-2</v>
      </c>
      <c r="B35" s="5" t="s">
        <v>56</v>
      </c>
      <c r="C35" t="s">
        <v>57</v>
      </c>
    </row>
    <row r="36" spans="1:8" x14ac:dyDescent="0.3">
      <c r="A36" s="62"/>
    </row>
    <row r="37" spans="1:8" x14ac:dyDescent="0.3">
      <c r="A37" s="67">
        <v>0</v>
      </c>
      <c r="B37" s="5" t="s">
        <v>58</v>
      </c>
      <c r="C37" t="s">
        <v>59</v>
      </c>
    </row>
    <row r="38" spans="1:8" x14ac:dyDescent="0.3">
      <c r="G38" s="10" t="e">
        <f>SUM(G21:G34)</f>
        <v>#REF!</v>
      </c>
      <c r="H38" s="10" t="e">
        <f>SUM(H21:H34)</f>
        <v>#REF!</v>
      </c>
    </row>
    <row r="44" spans="1:8" x14ac:dyDescent="0.3">
      <c r="C44" t="s">
        <v>70</v>
      </c>
    </row>
    <row r="45" spans="1:8" x14ac:dyDescent="0.3">
      <c r="C45" t="s">
        <v>69</v>
      </c>
    </row>
    <row r="46" spans="1:8" x14ac:dyDescent="0.3">
      <c r="D46" s="68"/>
      <c r="E46" s="68"/>
      <c r="F46" s="68"/>
    </row>
    <row r="47" spans="1:8" x14ac:dyDescent="0.3">
      <c r="D47" s="68"/>
      <c r="E47" s="68"/>
      <c r="F47" s="68"/>
    </row>
    <row r="48" spans="1:8" x14ac:dyDescent="0.3">
      <c r="D48" s="68"/>
      <c r="E48" s="68"/>
    </row>
    <row r="49" spans="3:5" x14ac:dyDescent="0.3">
      <c r="D49" s="68"/>
      <c r="E49" s="68"/>
    </row>
    <row r="50" spans="3:5" x14ac:dyDescent="0.3">
      <c r="C50" t="s">
        <v>60</v>
      </c>
      <c r="D50" s="39" t="e">
        <f>ROUND((C54)*((A21+A25+A27+A33)+(C55*C53*C56)),4)</f>
        <v>#REF!</v>
      </c>
    </row>
    <row r="53" spans="3:5" x14ac:dyDescent="0.3">
      <c r="C53" s="69" t="e">
        <f>(A21+A33)-A23</f>
        <v>#REF!</v>
      </c>
      <c r="D53" t="s">
        <v>61</v>
      </c>
    </row>
    <row r="54" spans="3:5" x14ac:dyDescent="0.3">
      <c r="C54">
        <f>1/(1-A35)</f>
        <v>1.0512483574244416</v>
      </c>
      <c r="D54" s="24" t="s">
        <v>62</v>
      </c>
    </row>
    <row r="55" spans="3:5" x14ac:dyDescent="0.3">
      <c r="C55" t="e">
        <f>A29/(1-A29)</f>
        <v>#REF!</v>
      </c>
      <c r="D55" t="s">
        <v>63</v>
      </c>
    </row>
    <row r="56" spans="3:5" x14ac:dyDescent="0.3">
      <c r="C56" t="e">
        <f>(A21-A31)/A21</f>
        <v>#REF!</v>
      </c>
      <c r="D56" s="24" t="s">
        <v>64</v>
      </c>
    </row>
    <row r="57" spans="3:5" x14ac:dyDescent="0.3">
      <c r="C57" s="70" t="e">
        <f>A21+A25+A27+A33</f>
        <v>#REF!</v>
      </c>
      <c r="D57" t="s">
        <v>65</v>
      </c>
    </row>
    <row r="58" spans="3:5" x14ac:dyDescent="0.3">
      <c r="C58" s="71" t="e">
        <f>ROUND(C54*((C57)+C53*C55*C56),4)</f>
        <v>#REF!</v>
      </c>
      <c r="D58" t="s">
        <v>66</v>
      </c>
    </row>
  </sheetData>
  <phoneticPr fontId="0" type="noConversion"/>
  <printOptions horizontalCentered="1"/>
  <pageMargins left="0.5" right="0.5" top="0.5" bottom="0.5" header="0.5" footer="0.5"/>
  <pageSetup scale="61" orientation="landscape" r:id="rId1"/>
  <headerFooter alignWithMargins="0">
    <oddFooter>&amp;L&amp;D&amp;RP:\LFCR\WEM\&amp;F&amp;A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 codeName="Sheet12">
    <tabColor rgb="FF00B0F0"/>
    <pageSetUpPr fitToPage="1"/>
  </sheetPr>
  <dimension ref="A1:H55"/>
  <sheetViews>
    <sheetView showGridLines="0" view="pageLayout" zoomScaleNormal="80" workbookViewId="0">
      <selection activeCell="G37" sqref="G37"/>
    </sheetView>
  </sheetViews>
  <sheetFormatPr defaultColWidth="2.54296875" defaultRowHeight="15.6" x14ac:dyDescent="0.3"/>
  <cols>
    <col min="1" max="1" width="10.26953125" style="82" customWidth="1"/>
    <col min="2" max="2" width="8.453125" style="82" bestFit="1" customWidth="1"/>
    <col min="3" max="3" width="41" style="82" bestFit="1" customWidth="1"/>
    <col min="4" max="4" width="9.81640625" style="82" bestFit="1" customWidth="1"/>
    <col min="5" max="5" width="16.81640625" style="82" customWidth="1"/>
    <col min="6" max="6" width="10.08984375" style="82" customWidth="1"/>
    <col min="7" max="7" width="17.81640625" style="82" customWidth="1"/>
    <col min="8" max="8" width="12.7265625" style="82" bestFit="1" customWidth="1"/>
    <col min="9" max="16384" width="2.54296875" style="82"/>
  </cols>
  <sheetData>
    <row r="1" spans="1:8" ht="25.8" x14ac:dyDescent="0.5">
      <c r="A1" s="80" t="s">
        <v>79</v>
      </c>
      <c r="B1" s="81"/>
      <c r="C1" s="81"/>
      <c r="D1" s="81"/>
      <c r="E1" s="81"/>
      <c r="F1" s="81"/>
      <c r="G1" s="81"/>
      <c r="H1" s="81"/>
    </row>
    <row r="2" spans="1:8" x14ac:dyDescent="0.3">
      <c r="A2" s="83" t="s">
        <v>80</v>
      </c>
      <c r="B2" s="81"/>
      <c r="C2" s="81"/>
      <c r="D2" s="81"/>
      <c r="E2" s="81"/>
      <c r="F2" s="81"/>
      <c r="G2" s="81"/>
      <c r="H2" s="81"/>
    </row>
    <row r="3" spans="1:8" x14ac:dyDescent="0.3">
      <c r="A3" s="81" t="s">
        <v>187</v>
      </c>
      <c r="B3" s="81"/>
      <c r="C3" s="81"/>
      <c r="D3" s="81"/>
      <c r="E3" s="81"/>
      <c r="F3" s="81"/>
      <c r="G3" s="81"/>
      <c r="H3" s="81"/>
    </row>
    <row r="4" spans="1:8" x14ac:dyDescent="0.3">
      <c r="A4" s="84"/>
      <c r="B4" s="81"/>
      <c r="C4" s="81"/>
      <c r="D4" s="81"/>
      <c r="E4" s="81"/>
      <c r="F4" s="81"/>
      <c r="G4" s="81"/>
      <c r="H4" s="81"/>
    </row>
    <row r="5" spans="1:8" x14ac:dyDescent="0.3">
      <c r="A5" s="134" t="str">
        <f>"For Lighting Plant With A "&amp;TEXT(A17,"0")&amp;" Year Life"</f>
        <v>For Lighting Plant With A 10 Year Life</v>
      </c>
      <c r="B5" s="135"/>
      <c r="C5" s="136"/>
      <c r="D5" s="137"/>
      <c r="E5" s="131" t="s">
        <v>78</v>
      </c>
      <c r="F5" s="106"/>
      <c r="G5" s="106"/>
      <c r="H5" s="107"/>
    </row>
    <row r="6" spans="1:8" x14ac:dyDescent="0.3">
      <c r="A6" s="109"/>
      <c r="B6" s="85"/>
      <c r="C6" s="85" t="s">
        <v>29</v>
      </c>
      <c r="D6" s="110"/>
      <c r="E6" s="86" t="s">
        <v>28</v>
      </c>
      <c r="F6" s="86"/>
      <c r="G6" s="86"/>
      <c r="H6" s="108"/>
    </row>
    <row r="7" spans="1:8" x14ac:dyDescent="0.3">
      <c r="A7" s="138" t="s">
        <v>1</v>
      </c>
      <c r="B7" s="87" t="s">
        <v>31</v>
      </c>
      <c r="C7" s="85" t="s">
        <v>32</v>
      </c>
      <c r="D7" s="110"/>
      <c r="E7" s="85"/>
      <c r="F7" s="85"/>
      <c r="G7" s="87" t="s">
        <v>30</v>
      </c>
      <c r="H7" s="110" t="s">
        <v>20</v>
      </c>
    </row>
    <row r="8" spans="1:8" x14ac:dyDescent="0.3">
      <c r="A8" s="139">
        <f>H17</f>
        <v>6.7110000000000003E-2</v>
      </c>
      <c r="B8" s="140" t="s">
        <v>36</v>
      </c>
      <c r="C8" s="115" t="s">
        <v>37</v>
      </c>
      <c r="D8" s="116"/>
      <c r="E8" s="85"/>
      <c r="F8" s="88" t="s">
        <v>33</v>
      </c>
      <c r="G8" s="89" t="s">
        <v>34</v>
      </c>
      <c r="H8" s="111" t="s">
        <v>35</v>
      </c>
    </row>
    <row r="9" spans="1:8" x14ac:dyDescent="0.3">
      <c r="A9" s="141">
        <f>1/A17</f>
        <v>0.1</v>
      </c>
      <c r="B9" s="140" t="s">
        <v>38</v>
      </c>
      <c r="C9" s="115" t="s">
        <v>39</v>
      </c>
      <c r="D9" s="116"/>
      <c r="E9" s="112"/>
      <c r="F9" s="112"/>
      <c r="G9" s="112"/>
      <c r="H9" s="113"/>
    </row>
    <row r="10" spans="1:8" x14ac:dyDescent="0.3">
      <c r="A10" s="142">
        <v>4.7778694753031394E-3</v>
      </c>
      <c r="B10" s="140" t="s">
        <v>41</v>
      </c>
      <c r="C10" s="115" t="s">
        <v>42</v>
      </c>
      <c r="D10" s="116"/>
      <c r="E10" s="115"/>
      <c r="F10" s="115"/>
      <c r="G10" s="115"/>
      <c r="H10" s="116"/>
    </row>
    <row r="11" spans="1:8" x14ac:dyDescent="0.3">
      <c r="A11" s="142">
        <v>8.7600000000000002E-5</v>
      </c>
      <c r="B11" s="140" t="s">
        <v>43</v>
      </c>
      <c r="C11" s="115" t="s">
        <v>44</v>
      </c>
      <c r="D11" s="116"/>
      <c r="E11" s="115" t="s">
        <v>81</v>
      </c>
      <c r="F11" s="117">
        <v>4.0730000000000002E-2</v>
      </c>
      <c r="G11" s="117">
        <v>0.45931</v>
      </c>
      <c r="H11" s="118">
        <f>ROUND(F11*G11,5)</f>
        <v>1.8710000000000001E-2</v>
      </c>
    </row>
    <row r="12" spans="1:8" x14ac:dyDescent="0.3">
      <c r="A12" s="143">
        <v>0.21390100000000001</v>
      </c>
      <c r="B12" s="140" t="s">
        <v>45</v>
      </c>
      <c r="C12" s="115" t="s">
        <v>46</v>
      </c>
      <c r="D12" s="116"/>
      <c r="E12" s="132" t="s">
        <v>82</v>
      </c>
      <c r="F12" s="119">
        <v>1.9369999999999998E-2</v>
      </c>
      <c r="G12" s="119">
        <v>5.8349999999999999E-2</v>
      </c>
      <c r="H12" s="120">
        <f>ROUND(F12*G12,5)</f>
        <v>1.1299999999999999E-3</v>
      </c>
    </row>
    <row r="13" spans="1:8" x14ac:dyDescent="0.3">
      <c r="A13" s="139">
        <v>1.677E-2</v>
      </c>
      <c r="B13" s="140" t="s">
        <v>49</v>
      </c>
      <c r="C13" s="115" t="s">
        <v>50</v>
      </c>
      <c r="D13" s="116"/>
      <c r="E13" s="115" t="s">
        <v>3</v>
      </c>
      <c r="F13" s="121">
        <v>0</v>
      </c>
      <c r="G13" s="121">
        <v>0</v>
      </c>
      <c r="H13" s="118">
        <f>ROUND(F13*G13,5)</f>
        <v>0</v>
      </c>
    </row>
    <row r="14" spans="1:8" x14ac:dyDescent="0.3">
      <c r="A14" s="139">
        <f>ROUND((A8/(((1+A8)^A17)-1)),4)</f>
        <v>7.3400000000000007E-2</v>
      </c>
      <c r="B14" s="140" t="s">
        <v>52</v>
      </c>
      <c r="C14" s="115" t="s">
        <v>53</v>
      </c>
      <c r="D14" s="116"/>
      <c r="E14" s="115" t="s">
        <v>2</v>
      </c>
      <c r="F14" s="117">
        <v>9.8000000000000004E-2</v>
      </c>
      <c r="G14" s="117">
        <v>0.48233999999999999</v>
      </c>
      <c r="H14" s="122">
        <f>ROUND(F14*G14,5)</f>
        <v>4.727E-2</v>
      </c>
    </row>
    <row r="15" spans="1:8" x14ac:dyDescent="0.3">
      <c r="A15" s="144">
        <v>2.5999999999999999E-3</v>
      </c>
      <c r="B15" s="140" t="s">
        <v>56</v>
      </c>
      <c r="C15" s="115" t="s">
        <v>77</v>
      </c>
      <c r="D15" s="116"/>
      <c r="E15" s="115" t="s">
        <v>73</v>
      </c>
      <c r="F15" s="123">
        <v>0</v>
      </c>
      <c r="G15" s="123">
        <v>0</v>
      </c>
      <c r="H15" s="124"/>
    </row>
    <row r="16" spans="1:8" x14ac:dyDescent="0.3">
      <c r="A16" s="145"/>
      <c r="B16" s="115"/>
      <c r="C16" s="115"/>
      <c r="D16" s="116"/>
      <c r="E16" s="115" t="s">
        <v>47</v>
      </c>
      <c r="F16" s="117">
        <v>0</v>
      </c>
      <c r="G16" s="125">
        <v>0</v>
      </c>
      <c r="H16" s="118" t="s">
        <v>48</v>
      </c>
    </row>
    <row r="17" spans="1:8" x14ac:dyDescent="0.3">
      <c r="A17" s="146">
        <v>10</v>
      </c>
      <c r="B17" s="140" t="s">
        <v>58</v>
      </c>
      <c r="C17" s="115" t="s">
        <v>59</v>
      </c>
      <c r="D17" s="116"/>
      <c r="E17" s="115"/>
      <c r="F17" s="117"/>
      <c r="G17" s="126">
        <f>ROUND(SUM(G11:G16),1)</f>
        <v>1</v>
      </c>
      <c r="H17" s="127">
        <f>SUM(H11:H16)</f>
        <v>6.7110000000000003E-2</v>
      </c>
    </row>
    <row r="18" spans="1:8" x14ac:dyDescent="0.3">
      <c r="A18" s="114"/>
      <c r="B18" s="115"/>
      <c r="C18" s="115"/>
      <c r="D18" s="116"/>
      <c r="E18" s="133"/>
      <c r="F18" s="129"/>
      <c r="G18" s="129"/>
      <c r="H18" s="130"/>
    </row>
    <row r="19" spans="1:8" x14ac:dyDescent="0.3">
      <c r="A19" s="114"/>
      <c r="B19" s="115"/>
      <c r="C19" s="115" t="s">
        <v>84</v>
      </c>
      <c r="D19" s="116"/>
      <c r="E19" s="177"/>
      <c r="F19" s="106"/>
      <c r="G19" s="106"/>
      <c r="H19" s="106"/>
    </row>
    <row r="20" spans="1:8" x14ac:dyDescent="0.3">
      <c r="A20" s="114"/>
      <c r="B20" s="115"/>
      <c r="C20" s="115" t="s">
        <v>69</v>
      </c>
      <c r="D20" s="116"/>
      <c r="E20" s="178"/>
      <c r="F20" s="86"/>
      <c r="G20" s="86"/>
      <c r="H20" s="86"/>
    </row>
    <row r="21" spans="1:8" x14ac:dyDescent="0.3">
      <c r="A21" s="114"/>
      <c r="B21" s="115"/>
      <c r="C21" s="115"/>
      <c r="D21" s="147"/>
      <c r="E21" s="109"/>
      <c r="F21" s="85"/>
      <c r="G21" s="87"/>
      <c r="H21" s="85"/>
    </row>
    <row r="22" spans="1:8" x14ac:dyDescent="0.3">
      <c r="A22" s="114"/>
      <c r="B22" s="115"/>
      <c r="C22" s="115" t="s">
        <v>60</v>
      </c>
      <c r="D22" s="148">
        <f>ROUND((C25)*((A8+A10+A11+A14)+(C26*C24*C27)),4)</f>
        <v>0.154</v>
      </c>
      <c r="E22" s="109"/>
      <c r="F22" s="88"/>
      <c r="G22" s="89"/>
      <c r="H22" s="88"/>
    </row>
    <row r="23" spans="1:8" x14ac:dyDescent="0.3">
      <c r="A23" s="114"/>
      <c r="B23" s="115"/>
      <c r="C23" s="115"/>
      <c r="D23" s="116"/>
      <c r="E23" s="179"/>
      <c r="F23" s="112"/>
      <c r="G23" s="112"/>
      <c r="H23" s="112"/>
    </row>
    <row r="24" spans="1:8" x14ac:dyDescent="0.3">
      <c r="A24" s="114"/>
      <c r="B24" s="115"/>
      <c r="C24" s="149">
        <f>(A8+A14)-A9</f>
        <v>4.0510000000000018E-2</v>
      </c>
      <c r="D24" s="116" t="s">
        <v>61</v>
      </c>
      <c r="E24" s="114"/>
      <c r="F24" s="115"/>
      <c r="G24" s="115"/>
      <c r="H24" s="115"/>
    </row>
    <row r="25" spans="1:8" x14ac:dyDescent="0.3">
      <c r="A25" s="114"/>
      <c r="B25" s="115"/>
      <c r="C25" s="115">
        <f>1/(1-A15)</f>
        <v>1.0026067776218168</v>
      </c>
      <c r="D25" s="150" t="s">
        <v>62</v>
      </c>
      <c r="E25" s="114"/>
      <c r="F25" s="117"/>
      <c r="G25" s="117"/>
      <c r="H25" s="180"/>
    </row>
    <row r="26" spans="1:8" x14ac:dyDescent="0.3">
      <c r="A26" s="114"/>
      <c r="B26" s="115"/>
      <c r="C26" s="115">
        <f>A12/(1-A12)</f>
        <v>0.27210440415265763</v>
      </c>
      <c r="D26" s="116" t="s">
        <v>63</v>
      </c>
      <c r="E26" s="181"/>
      <c r="F26" s="119"/>
      <c r="G26" s="119"/>
      <c r="H26" s="182"/>
    </row>
    <row r="27" spans="1:8" x14ac:dyDescent="0.3">
      <c r="A27" s="114"/>
      <c r="B27" s="115"/>
      <c r="C27" s="115">
        <f>(A8-A13)/A8</f>
        <v>0.75011175681716591</v>
      </c>
      <c r="D27" s="150" t="s">
        <v>64</v>
      </c>
      <c r="E27" s="114"/>
      <c r="F27" s="121"/>
      <c r="G27" s="121"/>
      <c r="H27" s="180"/>
    </row>
    <row r="28" spans="1:8" x14ac:dyDescent="0.3">
      <c r="A28" s="114"/>
      <c r="B28" s="115"/>
      <c r="C28" s="151">
        <f>A8+A10+A11+A14</f>
        <v>0.14537546947530314</v>
      </c>
      <c r="D28" s="116" t="s">
        <v>65</v>
      </c>
      <c r="E28" s="114"/>
      <c r="F28" s="117"/>
      <c r="G28" s="117"/>
      <c r="H28" s="183"/>
    </row>
    <row r="29" spans="1:8" x14ac:dyDescent="0.3">
      <c r="A29" s="128"/>
      <c r="B29" s="133"/>
      <c r="C29" s="152">
        <f>ROUND(C25*((C28)+C24*C26*C27),4)-D22</f>
        <v>0</v>
      </c>
      <c r="D29" s="130" t="s">
        <v>66</v>
      </c>
      <c r="E29" s="114"/>
      <c r="F29" s="123"/>
      <c r="G29" s="123"/>
      <c r="H29" s="123"/>
    </row>
    <row r="30" spans="1:8" x14ac:dyDescent="0.3">
      <c r="A30" s="153"/>
      <c r="B30" s="154"/>
      <c r="C30" s="154"/>
      <c r="D30" s="155"/>
      <c r="E30" s="114"/>
      <c r="F30" s="117"/>
      <c r="G30" s="125"/>
      <c r="H30" s="180"/>
    </row>
    <row r="31" spans="1:8" x14ac:dyDescent="0.3">
      <c r="A31" s="156" t="str">
        <f>"For Lighting Plant With A "&amp;TEXT(A43,"0")&amp;" Year Life"</f>
        <v>For Lighting Plant With A 15 Year Life</v>
      </c>
      <c r="B31" s="115"/>
      <c r="C31" s="115"/>
      <c r="D31" s="116"/>
      <c r="E31" s="114"/>
      <c r="F31" s="117"/>
      <c r="G31" s="126"/>
      <c r="H31" s="126"/>
    </row>
    <row r="32" spans="1:8" x14ac:dyDescent="0.3">
      <c r="A32" s="109"/>
      <c r="B32" s="85"/>
      <c r="C32" s="85" t="s">
        <v>29</v>
      </c>
      <c r="D32" s="110"/>
      <c r="E32" s="114"/>
      <c r="F32" s="184"/>
      <c r="G32" s="184"/>
      <c r="H32" s="115"/>
    </row>
    <row r="33" spans="1:8" x14ac:dyDescent="0.3">
      <c r="A33" s="138" t="s">
        <v>1</v>
      </c>
      <c r="B33" s="87" t="s">
        <v>31</v>
      </c>
      <c r="C33" s="85" t="s">
        <v>32</v>
      </c>
      <c r="D33" s="110"/>
    </row>
    <row r="34" spans="1:8" x14ac:dyDescent="0.3">
      <c r="A34" s="139">
        <f>A8</f>
        <v>6.7110000000000003E-2</v>
      </c>
      <c r="B34" s="140" t="s">
        <v>36</v>
      </c>
      <c r="C34" s="115" t="s">
        <v>37</v>
      </c>
      <c r="D34" s="116"/>
      <c r="F34" s="91"/>
      <c r="G34" s="91"/>
      <c r="H34" s="92"/>
    </row>
    <row r="35" spans="1:8" x14ac:dyDescent="0.3">
      <c r="A35" s="141">
        <f>1/A43</f>
        <v>6.6666666666666666E-2</v>
      </c>
      <c r="B35" s="140" t="s">
        <v>38</v>
      </c>
      <c r="C35" s="115" t="s">
        <v>39</v>
      </c>
      <c r="D35" s="116"/>
      <c r="E35" s="93"/>
      <c r="F35" s="94"/>
      <c r="G35" s="94"/>
      <c r="H35" s="95"/>
    </row>
    <row r="36" spans="1:8" x14ac:dyDescent="0.3">
      <c r="A36" s="142">
        <v>4.7778694753031394E-3</v>
      </c>
      <c r="B36" s="140" t="s">
        <v>41</v>
      </c>
      <c r="C36" s="115" t="s">
        <v>42</v>
      </c>
      <c r="D36" s="116"/>
      <c r="F36" s="96"/>
      <c r="G36" s="96"/>
      <c r="H36" s="92"/>
    </row>
    <row r="37" spans="1:8" x14ac:dyDescent="0.3">
      <c r="A37" s="142">
        <v>8.7600000000000002E-5</v>
      </c>
      <c r="B37" s="140" t="s">
        <v>43</v>
      </c>
      <c r="C37" s="115" t="s">
        <v>44</v>
      </c>
      <c r="D37" s="116"/>
      <c r="F37" s="91"/>
      <c r="G37" s="91"/>
      <c r="H37" s="97"/>
    </row>
    <row r="38" spans="1:8" x14ac:dyDescent="0.3">
      <c r="A38" s="143">
        <v>0.21390100000000001</v>
      </c>
      <c r="B38" s="140" t="s">
        <v>45</v>
      </c>
      <c r="C38" s="115" t="s">
        <v>46</v>
      </c>
      <c r="D38" s="116"/>
      <c r="F38" s="98"/>
      <c r="G38" s="98"/>
      <c r="H38" s="98"/>
    </row>
    <row r="39" spans="1:8" x14ac:dyDescent="0.3">
      <c r="A39" s="139">
        <v>1.677E-2</v>
      </c>
      <c r="B39" s="140" t="s">
        <v>49</v>
      </c>
      <c r="C39" s="115" t="s">
        <v>50</v>
      </c>
      <c r="D39" s="116"/>
      <c r="F39" s="91"/>
      <c r="G39" s="99"/>
      <c r="H39" s="92"/>
    </row>
    <row r="40" spans="1:8" x14ac:dyDescent="0.3">
      <c r="A40" s="139">
        <f>ROUND((A34/(((1+A34)^A43)-1)),4)</f>
        <v>4.07E-2</v>
      </c>
      <c r="B40" s="140" t="s">
        <v>52</v>
      </c>
      <c r="C40" s="115" t="s">
        <v>53</v>
      </c>
      <c r="D40" s="116"/>
      <c r="F40" s="91"/>
      <c r="G40" s="100"/>
      <c r="H40" s="100"/>
    </row>
    <row r="41" spans="1:8" x14ac:dyDescent="0.3">
      <c r="A41" s="144">
        <v>2.5999999999999999E-3</v>
      </c>
      <c r="B41" s="140" t="s">
        <v>56</v>
      </c>
      <c r="C41" s="115" t="s">
        <v>77</v>
      </c>
      <c r="D41" s="116"/>
      <c r="F41" s="101"/>
      <c r="G41" s="101"/>
    </row>
    <row r="42" spans="1:8" x14ac:dyDescent="0.3">
      <c r="A42" s="145"/>
      <c r="B42" s="115"/>
      <c r="C42" s="115"/>
      <c r="D42" s="116"/>
      <c r="F42" s="102"/>
      <c r="G42" s="103"/>
      <c r="H42" s="104"/>
    </row>
    <row r="43" spans="1:8" x14ac:dyDescent="0.3">
      <c r="A43" s="146">
        <v>15</v>
      </c>
      <c r="B43" s="140" t="s">
        <v>58</v>
      </c>
      <c r="C43" s="115" t="s">
        <v>59</v>
      </c>
      <c r="D43" s="116"/>
    </row>
    <row r="44" spans="1:8" x14ac:dyDescent="0.3">
      <c r="A44" s="114"/>
      <c r="B44" s="115"/>
      <c r="C44" s="115"/>
      <c r="D44" s="116"/>
    </row>
    <row r="45" spans="1:8" x14ac:dyDescent="0.3">
      <c r="A45" s="114"/>
      <c r="B45" s="115"/>
      <c r="C45" s="115" t="s">
        <v>84</v>
      </c>
      <c r="D45" s="116"/>
    </row>
    <row r="46" spans="1:8" x14ac:dyDescent="0.3">
      <c r="A46" s="114"/>
      <c r="B46" s="115"/>
      <c r="C46" s="115" t="s">
        <v>69</v>
      </c>
      <c r="D46" s="116"/>
    </row>
    <row r="47" spans="1:8" x14ac:dyDescent="0.3">
      <c r="A47" s="114"/>
      <c r="B47" s="115"/>
      <c r="C47" s="115"/>
      <c r="D47" s="147"/>
      <c r="E47" s="105"/>
    </row>
    <row r="48" spans="1:8" x14ac:dyDescent="0.3">
      <c r="A48" s="114"/>
      <c r="B48" s="115"/>
      <c r="C48" s="115" t="s">
        <v>60</v>
      </c>
      <c r="D48" s="148">
        <f>ROUND((C51)*((A34+A36+A37+A40)+(C52*C50*C53)),4)</f>
        <v>0.12139999999999999</v>
      </c>
      <c r="E48" s="157">
        <f>D48/12</f>
        <v>1.0116666666666666E-2</v>
      </c>
      <c r="F48" s="82" t="s">
        <v>83</v>
      </c>
    </row>
    <row r="49" spans="1:4" x14ac:dyDescent="0.3">
      <c r="A49" s="114"/>
      <c r="B49" s="115"/>
      <c r="C49" s="115"/>
      <c r="D49" s="116"/>
    </row>
    <row r="50" spans="1:4" x14ac:dyDescent="0.3">
      <c r="A50" s="114"/>
      <c r="B50" s="115"/>
      <c r="C50" s="149">
        <f>(A34+A40)-A35</f>
        <v>4.1143333333333337E-2</v>
      </c>
      <c r="D50" s="116" t="s">
        <v>61</v>
      </c>
    </row>
    <row r="51" spans="1:4" x14ac:dyDescent="0.3">
      <c r="A51" s="114"/>
      <c r="B51" s="115"/>
      <c r="C51" s="115">
        <f>1/(1-A41)</f>
        <v>1.0026067776218168</v>
      </c>
      <c r="D51" s="150" t="s">
        <v>62</v>
      </c>
    </row>
    <row r="52" spans="1:4" x14ac:dyDescent="0.3">
      <c r="A52" s="114"/>
      <c r="B52" s="115"/>
      <c r="C52" s="115">
        <f>A38/(1-A38)</f>
        <v>0.27210440415265763</v>
      </c>
      <c r="D52" s="116" t="s">
        <v>63</v>
      </c>
    </row>
    <row r="53" spans="1:4" x14ac:dyDescent="0.3">
      <c r="A53" s="114"/>
      <c r="B53" s="115"/>
      <c r="C53" s="115">
        <f>(A34-A39)/A34</f>
        <v>0.75011175681716591</v>
      </c>
      <c r="D53" s="150" t="s">
        <v>64</v>
      </c>
    </row>
    <row r="54" spans="1:4" x14ac:dyDescent="0.3">
      <c r="A54" s="114"/>
      <c r="B54" s="115"/>
      <c r="C54" s="151">
        <f>A34+A36+A37+A40</f>
        <v>0.11267546947530313</v>
      </c>
      <c r="D54" s="116" t="s">
        <v>65</v>
      </c>
    </row>
    <row r="55" spans="1:4" x14ac:dyDescent="0.3">
      <c r="A55" s="128"/>
      <c r="B55" s="133"/>
      <c r="C55" s="152">
        <f>ROUND(C51*((C54)+C50*C52*C53),4)-D48</f>
        <v>0</v>
      </c>
      <c r="D55" s="130" t="s">
        <v>66</v>
      </c>
    </row>
  </sheetData>
  <printOptions horizontalCentered="1"/>
  <pageMargins left="0.5" right="0.5" top="1.5" bottom="0.5" header="0.5" footer="0.5"/>
  <pageSetup scale="63" orientation="portrait" r:id="rId1"/>
  <headerFooter alignWithMargins="0">
    <oddHeader>&amp;R&amp;"Times New Roman,Bold"KyPSC Case No. 2019-00271
STAFF-RHDR-01-014 Attachment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44D65-FD2A-4E6D-8454-FCDC4FB35399}">
  <sheetPr>
    <pageSetUpPr fitToPage="1"/>
  </sheetPr>
  <dimension ref="A1:Q81"/>
  <sheetViews>
    <sheetView view="pageLayout" zoomScaleNormal="100" workbookViewId="0">
      <selection activeCell="B14" sqref="B14"/>
    </sheetView>
  </sheetViews>
  <sheetFormatPr defaultColWidth="9.26953125" defaultRowHeight="15.6" x14ac:dyDescent="0.3"/>
  <cols>
    <col min="1" max="1" width="3.08984375" style="82" customWidth="1"/>
    <col min="2" max="2" width="47.7265625" style="82" customWidth="1"/>
    <col min="3" max="3" width="7.54296875" style="82" customWidth="1"/>
    <col min="4" max="4" width="6.54296875" style="82" customWidth="1"/>
    <col min="5" max="5" width="9.26953125" style="82"/>
    <col min="6" max="6" width="7.54296875" style="82" customWidth="1"/>
    <col min="7" max="16384" width="9.26953125" style="82"/>
  </cols>
  <sheetData>
    <row r="1" spans="1:17" x14ac:dyDescent="0.3">
      <c r="A1" s="172" t="s">
        <v>86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x14ac:dyDescent="0.3">
      <c r="A2" s="173" t="s">
        <v>87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x14ac:dyDescent="0.3">
      <c r="A3" s="173" t="s">
        <v>187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x14ac:dyDescent="0.3">
      <c r="A4" s="158"/>
    </row>
    <row r="5" spans="1:17" x14ac:dyDescent="0.3">
      <c r="A5" s="158"/>
      <c r="I5" s="90" t="s">
        <v>101</v>
      </c>
      <c r="L5" s="90"/>
      <c r="M5" s="90" t="s">
        <v>119</v>
      </c>
      <c r="N5" s="90"/>
      <c r="P5" s="171" t="s">
        <v>111</v>
      </c>
    </row>
    <row r="6" spans="1:17" x14ac:dyDescent="0.3">
      <c r="F6" s="90" t="s">
        <v>105</v>
      </c>
      <c r="G6" s="90" t="s">
        <v>108</v>
      </c>
      <c r="H6" s="167" t="s">
        <v>111</v>
      </c>
      <c r="I6" s="90" t="s">
        <v>102</v>
      </c>
      <c r="L6" s="90" t="s">
        <v>117</v>
      </c>
      <c r="M6" s="90" t="s">
        <v>120</v>
      </c>
      <c r="N6" s="165" t="s">
        <v>122</v>
      </c>
      <c r="P6" s="167" t="s">
        <v>124</v>
      </c>
    </row>
    <row r="7" spans="1:17" x14ac:dyDescent="0.3">
      <c r="F7" s="90" t="s">
        <v>106</v>
      </c>
      <c r="G7" s="90" t="s">
        <v>109</v>
      </c>
      <c r="H7" s="167" t="s">
        <v>112</v>
      </c>
      <c r="I7" s="90" t="s">
        <v>103</v>
      </c>
      <c r="K7" s="165" t="s">
        <v>115</v>
      </c>
      <c r="L7" s="90" t="s">
        <v>118</v>
      </c>
      <c r="M7" s="90" t="s">
        <v>121</v>
      </c>
      <c r="N7" s="90" t="s">
        <v>123</v>
      </c>
      <c r="O7" s="171" t="s">
        <v>111</v>
      </c>
      <c r="P7" s="167" t="s">
        <v>125</v>
      </c>
      <c r="Q7" s="165" t="s">
        <v>127</v>
      </c>
    </row>
    <row r="8" spans="1:17" x14ac:dyDescent="0.3">
      <c r="C8" s="160" t="s">
        <v>99</v>
      </c>
      <c r="D8" s="160" t="s">
        <v>100</v>
      </c>
      <c r="E8" s="160" t="s">
        <v>98</v>
      </c>
      <c r="F8" s="160" t="s">
        <v>107</v>
      </c>
      <c r="G8" s="160" t="s">
        <v>110</v>
      </c>
      <c r="H8" s="168" t="s">
        <v>113</v>
      </c>
      <c r="I8" s="160" t="s">
        <v>104</v>
      </c>
      <c r="J8" s="166" t="s">
        <v>114</v>
      </c>
      <c r="K8" s="166" t="s">
        <v>116</v>
      </c>
      <c r="L8" s="160" t="s">
        <v>107</v>
      </c>
      <c r="M8" s="160" t="s">
        <v>107</v>
      </c>
      <c r="N8" s="160" t="s">
        <v>107</v>
      </c>
      <c r="O8" s="168" t="s">
        <v>114</v>
      </c>
      <c r="P8" s="168" t="s">
        <v>126</v>
      </c>
      <c r="Q8" s="166" t="s">
        <v>1</v>
      </c>
    </row>
    <row r="9" spans="1:17" x14ac:dyDescent="0.3">
      <c r="A9" s="174" t="s">
        <v>129</v>
      </c>
      <c r="F9" s="163">
        <v>3.73E-2</v>
      </c>
      <c r="G9" s="164">
        <v>0.11</v>
      </c>
      <c r="H9" s="169"/>
      <c r="J9" s="90">
        <v>0.3</v>
      </c>
      <c r="K9" s="90">
        <v>0.4</v>
      </c>
      <c r="L9" s="163">
        <v>0.2414</v>
      </c>
      <c r="M9" s="163">
        <v>0.15709999999999999</v>
      </c>
      <c r="N9" s="163">
        <v>0.34610000000000002</v>
      </c>
      <c r="O9" s="169"/>
      <c r="P9" s="169"/>
      <c r="Q9" s="176">
        <f>+'LFCR as Filed'!D22</f>
        <v>0.154</v>
      </c>
    </row>
    <row r="10" spans="1:17" x14ac:dyDescent="0.3">
      <c r="B10" s="82" t="s">
        <v>88</v>
      </c>
      <c r="C10" s="162">
        <v>57000</v>
      </c>
      <c r="D10" s="162">
        <v>530</v>
      </c>
      <c r="E10" s="161">
        <v>1728.7205092368345</v>
      </c>
      <c r="F10" s="161">
        <f t="shared" ref="F10:G19" si="0">+$E10*F$9</f>
        <v>64.481274994533919</v>
      </c>
      <c r="G10" s="161">
        <f t="shared" si="0"/>
        <v>190.15925601605178</v>
      </c>
      <c r="H10" s="170">
        <f>SUM(E10:G10)</f>
        <v>1983.3610402474203</v>
      </c>
      <c r="I10" s="161">
        <v>69.83</v>
      </c>
      <c r="J10" s="161">
        <f t="shared" ref="J10:K19" si="1">+$I10*J$9</f>
        <v>20.948999999999998</v>
      </c>
      <c r="K10" s="161">
        <f t="shared" si="1"/>
        <v>27.932000000000002</v>
      </c>
      <c r="L10" s="161">
        <f t="shared" ref="L10:L19" si="2">($J10+$K10)*L$9</f>
        <v>11.799873400000001</v>
      </c>
      <c r="M10" s="161">
        <f t="shared" ref="M10:N10" si="3">($J10+$K10)*M$9</f>
        <v>7.6792050999999999</v>
      </c>
      <c r="N10" s="161">
        <f t="shared" si="3"/>
        <v>16.917714100000001</v>
      </c>
      <c r="O10" s="170">
        <f>SUM(J10:N10)</f>
        <v>85.277792599999998</v>
      </c>
      <c r="P10" s="170">
        <f>+O10+H10</f>
        <v>2068.6388328474204</v>
      </c>
      <c r="Q10" s="161">
        <f t="shared" ref="Q10:Q19" si="4">+P10*$Q$9/12</f>
        <v>26.547531688208561</v>
      </c>
    </row>
    <row r="11" spans="1:17" x14ac:dyDescent="0.3">
      <c r="B11" s="82" t="s">
        <v>89</v>
      </c>
      <c r="C11" s="162">
        <v>12500</v>
      </c>
      <c r="D11" s="162">
        <v>150</v>
      </c>
      <c r="E11" s="161">
        <v>1636.8193935234344</v>
      </c>
      <c r="F11" s="161">
        <f t="shared" si="0"/>
        <v>61.053363378424102</v>
      </c>
      <c r="G11" s="161">
        <f t="shared" si="0"/>
        <v>180.05013328757778</v>
      </c>
      <c r="H11" s="170">
        <f t="shared" ref="H11:H19" si="5">SUM(E11:G11)</f>
        <v>1877.9228901894364</v>
      </c>
      <c r="I11" s="161">
        <f t="shared" ref="I11:I19" si="6">+$I$10</f>
        <v>69.83</v>
      </c>
      <c r="J11" s="161">
        <f t="shared" si="1"/>
        <v>20.948999999999998</v>
      </c>
      <c r="K11" s="161">
        <f t="shared" si="1"/>
        <v>27.932000000000002</v>
      </c>
      <c r="L11" s="161">
        <f t="shared" si="2"/>
        <v>11.799873400000001</v>
      </c>
      <c r="M11" s="161">
        <f t="shared" ref="M11:N19" si="7">($J11+$K11)*M$9</f>
        <v>7.6792050999999999</v>
      </c>
      <c r="N11" s="161">
        <f t="shared" si="7"/>
        <v>16.917714100000001</v>
      </c>
      <c r="O11" s="170">
        <f t="shared" ref="O11:O19" si="8">SUM(J11:N11)</f>
        <v>85.277792599999998</v>
      </c>
      <c r="P11" s="170">
        <f t="shared" ref="P11:P19" si="9">+O11+H11</f>
        <v>1963.2006827894365</v>
      </c>
      <c r="Q11" s="161">
        <f t="shared" si="4"/>
        <v>25.194408762464434</v>
      </c>
    </row>
    <row r="12" spans="1:17" x14ac:dyDescent="0.3">
      <c r="B12" s="82" t="s">
        <v>90</v>
      </c>
      <c r="C12" s="162">
        <v>14715</v>
      </c>
      <c r="D12" s="162">
        <v>130</v>
      </c>
      <c r="E12" s="161">
        <v>512.91890646044021</v>
      </c>
      <c r="F12" s="161">
        <f t="shared" si="0"/>
        <v>19.131875210974421</v>
      </c>
      <c r="G12" s="161">
        <f t="shared" si="0"/>
        <v>56.421079710648421</v>
      </c>
      <c r="H12" s="170">
        <f t="shared" si="5"/>
        <v>588.47186138206303</v>
      </c>
      <c r="I12" s="161">
        <f t="shared" si="6"/>
        <v>69.83</v>
      </c>
      <c r="J12" s="161">
        <f t="shared" si="1"/>
        <v>20.948999999999998</v>
      </c>
      <c r="K12" s="161">
        <f t="shared" si="1"/>
        <v>27.932000000000002</v>
      </c>
      <c r="L12" s="161">
        <f t="shared" si="2"/>
        <v>11.799873400000001</v>
      </c>
      <c r="M12" s="161">
        <f t="shared" si="7"/>
        <v>7.6792050999999999</v>
      </c>
      <c r="N12" s="161">
        <f t="shared" si="7"/>
        <v>16.917714100000001</v>
      </c>
      <c r="O12" s="170">
        <f t="shared" si="8"/>
        <v>85.277792599999998</v>
      </c>
      <c r="P12" s="170">
        <f t="shared" si="9"/>
        <v>673.74965398206302</v>
      </c>
      <c r="Q12" s="161">
        <f t="shared" si="4"/>
        <v>8.6464538927698076</v>
      </c>
    </row>
    <row r="13" spans="1:17" x14ac:dyDescent="0.3">
      <c r="B13" s="82" t="s">
        <v>91</v>
      </c>
      <c r="C13" s="162">
        <v>32779</v>
      </c>
      <c r="D13" s="162">
        <v>260</v>
      </c>
      <c r="E13" s="161">
        <v>849.99829262701724</v>
      </c>
      <c r="F13" s="161">
        <f t="shared" si="0"/>
        <v>31.704936314987744</v>
      </c>
      <c r="G13" s="161">
        <f t="shared" si="0"/>
        <v>93.499812188971902</v>
      </c>
      <c r="H13" s="170">
        <f t="shared" si="5"/>
        <v>975.20304113097689</v>
      </c>
      <c r="I13" s="161">
        <f t="shared" si="6"/>
        <v>69.83</v>
      </c>
      <c r="J13" s="161">
        <f t="shared" si="1"/>
        <v>20.948999999999998</v>
      </c>
      <c r="K13" s="161">
        <f t="shared" si="1"/>
        <v>27.932000000000002</v>
      </c>
      <c r="L13" s="161">
        <f t="shared" si="2"/>
        <v>11.799873400000001</v>
      </c>
      <c r="M13" s="161">
        <f t="shared" si="7"/>
        <v>7.6792050999999999</v>
      </c>
      <c r="N13" s="161">
        <f t="shared" si="7"/>
        <v>16.917714100000001</v>
      </c>
      <c r="O13" s="170">
        <f t="shared" si="8"/>
        <v>85.277792599999998</v>
      </c>
      <c r="P13" s="170">
        <f t="shared" si="9"/>
        <v>1060.4808337309769</v>
      </c>
      <c r="Q13" s="161">
        <f t="shared" si="4"/>
        <v>13.609504032880871</v>
      </c>
    </row>
    <row r="14" spans="1:17" x14ac:dyDescent="0.3">
      <c r="B14" s="82" t="s">
        <v>92</v>
      </c>
      <c r="C14" s="162">
        <v>4157</v>
      </c>
      <c r="D14" s="162">
        <v>50</v>
      </c>
      <c r="E14" s="161">
        <v>1068.3734995496966</v>
      </c>
      <c r="F14" s="161">
        <f t="shared" si="0"/>
        <v>39.850331533203679</v>
      </c>
      <c r="G14" s="161">
        <f t="shared" si="0"/>
        <v>117.52108495046663</v>
      </c>
      <c r="H14" s="170">
        <f t="shared" si="5"/>
        <v>1225.744916033367</v>
      </c>
      <c r="I14" s="161">
        <f t="shared" si="6"/>
        <v>69.83</v>
      </c>
      <c r="J14" s="161">
        <f t="shared" si="1"/>
        <v>20.948999999999998</v>
      </c>
      <c r="K14" s="161">
        <f t="shared" si="1"/>
        <v>27.932000000000002</v>
      </c>
      <c r="L14" s="161">
        <f t="shared" si="2"/>
        <v>11.799873400000001</v>
      </c>
      <c r="M14" s="161">
        <f t="shared" si="7"/>
        <v>7.6792050999999999</v>
      </c>
      <c r="N14" s="161">
        <f t="shared" si="7"/>
        <v>16.917714100000001</v>
      </c>
      <c r="O14" s="170">
        <f t="shared" si="8"/>
        <v>85.277792599999998</v>
      </c>
      <c r="P14" s="170">
        <f t="shared" si="9"/>
        <v>1311.0227086333671</v>
      </c>
      <c r="Q14" s="161">
        <f t="shared" si="4"/>
        <v>16.824791427461545</v>
      </c>
    </row>
    <row r="15" spans="1:17" x14ac:dyDescent="0.3">
      <c r="B15" s="82" t="s">
        <v>93</v>
      </c>
      <c r="C15" s="162">
        <v>5678</v>
      </c>
      <c r="D15" s="162">
        <v>50</v>
      </c>
      <c r="E15" s="161">
        <v>1008.9281773040771</v>
      </c>
      <c r="F15" s="161">
        <f t="shared" si="0"/>
        <v>37.633021013442075</v>
      </c>
      <c r="G15" s="161">
        <f t="shared" si="0"/>
        <v>110.98209950344848</v>
      </c>
      <c r="H15" s="170">
        <f t="shared" si="5"/>
        <v>1157.5432978209676</v>
      </c>
      <c r="I15" s="161">
        <f t="shared" si="6"/>
        <v>69.83</v>
      </c>
      <c r="J15" s="161">
        <f t="shared" si="1"/>
        <v>20.948999999999998</v>
      </c>
      <c r="K15" s="161">
        <f t="shared" si="1"/>
        <v>27.932000000000002</v>
      </c>
      <c r="L15" s="161">
        <f t="shared" si="2"/>
        <v>11.799873400000001</v>
      </c>
      <c r="M15" s="161">
        <f t="shared" si="7"/>
        <v>7.6792050999999999</v>
      </c>
      <c r="N15" s="161">
        <f t="shared" si="7"/>
        <v>16.917714100000001</v>
      </c>
      <c r="O15" s="170">
        <f t="shared" si="8"/>
        <v>85.277792599999998</v>
      </c>
      <c r="P15" s="170">
        <f t="shared" si="9"/>
        <v>1242.8210904209677</v>
      </c>
      <c r="Q15" s="161">
        <f t="shared" si="4"/>
        <v>15.949537327069086</v>
      </c>
    </row>
    <row r="16" spans="1:17" x14ac:dyDescent="0.3">
      <c r="B16" s="82" t="s">
        <v>94</v>
      </c>
      <c r="C16" s="162">
        <v>5678</v>
      </c>
      <c r="D16" s="162">
        <v>50</v>
      </c>
      <c r="E16" s="161">
        <v>1119.1497123011634</v>
      </c>
      <c r="F16" s="161">
        <f t="shared" si="0"/>
        <v>41.744284268833397</v>
      </c>
      <c r="G16" s="161">
        <f t="shared" si="0"/>
        <v>123.10646835312798</v>
      </c>
      <c r="H16" s="170">
        <f t="shared" si="5"/>
        <v>1284.0004649231246</v>
      </c>
      <c r="I16" s="161">
        <f t="shared" si="6"/>
        <v>69.83</v>
      </c>
      <c r="J16" s="161">
        <f t="shared" si="1"/>
        <v>20.948999999999998</v>
      </c>
      <c r="K16" s="161">
        <f t="shared" si="1"/>
        <v>27.932000000000002</v>
      </c>
      <c r="L16" s="161">
        <f t="shared" si="2"/>
        <v>11.799873400000001</v>
      </c>
      <c r="M16" s="161">
        <f t="shared" si="7"/>
        <v>7.6792050999999999</v>
      </c>
      <c r="N16" s="161">
        <f t="shared" si="7"/>
        <v>16.917714100000001</v>
      </c>
      <c r="O16" s="170">
        <f t="shared" si="8"/>
        <v>85.277792599999998</v>
      </c>
      <c r="P16" s="170">
        <f t="shared" si="9"/>
        <v>1369.2782575231245</v>
      </c>
      <c r="Q16" s="161">
        <f t="shared" si="4"/>
        <v>17.572404304880099</v>
      </c>
    </row>
    <row r="17" spans="1:17" x14ac:dyDescent="0.3">
      <c r="B17" s="82" t="s">
        <v>95</v>
      </c>
      <c r="C17" s="162">
        <v>5678</v>
      </c>
      <c r="D17" s="162">
        <v>50</v>
      </c>
      <c r="E17" s="161">
        <v>1008.9281773040771</v>
      </c>
      <c r="F17" s="161">
        <f t="shared" si="0"/>
        <v>37.633021013442075</v>
      </c>
      <c r="G17" s="161">
        <f t="shared" si="0"/>
        <v>110.98209950344848</v>
      </c>
      <c r="H17" s="170">
        <f t="shared" si="5"/>
        <v>1157.5432978209676</v>
      </c>
      <c r="I17" s="161">
        <f t="shared" si="6"/>
        <v>69.83</v>
      </c>
      <c r="J17" s="161">
        <f t="shared" si="1"/>
        <v>20.948999999999998</v>
      </c>
      <c r="K17" s="161">
        <f t="shared" si="1"/>
        <v>27.932000000000002</v>
      </c>
      <c r="L17" s="161">
        <f t="shared" si="2"/>
        <v>11.799873400000001</v>
      </c>
      <c r="M17" s="161">
        <f t="shared" si="7"/>
        <v>7.6792050999999999</v>
      </c>
      <c r="N17" s="161">
        <f t="shared" si="7"/>
        <v>16.917714100000001</v>
      </c>
      <c r="O17" s="170">
        <f t="shared" si="8"/>
        <v>85.277792599999998</v>
      </c>
      <c r="P17" s="170">
        <f t="shared" si="9"/>
        <v>1242.8210904209677</v>
      </c>
      <c r="Q17" s="161">
        <f t="shared" si="4"/>
        <v>15.949537327069086</v>
      </c>
    </row>
    <row r="18" spans="1:17" x14ac:dyDescent="0.3">
      <c r="B18" s="82" t="s">
        <v>96</v>
      </c>
      <c r="C18" s="162">
        <v>5678</v>
      </c>
      <c r="D18" s="162">
        <v>50</v>
      </c>
      <c r="E18" s="161">
        <v>1119.1497123011634</v>
      </c>
      <c r="F18" s="161">
        <f t="shared" si="0"/>
        <v>41.744284268833397</v>
      </c>
      <c r="G18" s="161">
        <f t="shared" si="0"/>
        <v>123.10646835312798</v>
      </c>
      <c r="H18" s="170">
        <f t="shared" si="5"/>
        <v>1284.0004649231246</v>
      </c>
      <c r="I18" s="161">
        <f t="shared" si="6"/>
        <v>69.83</v>
      </c>
      <c r="J18" s="161">
        <f t="shared" si="1"/>
        <v>20.948999999999998</v>
      </c>
      <c r="K18" s="161">
        <f t="shared" si="1"/>
        <v>27.932000000000002</v>
      </c>
      <c r="L18" s="161">
        <f t="shared" si="2"/>
        <v>11.799873400000001</v>
      </c>
      <c r="M18" s="161">
        <f t="shared" si="7"/>
        <v>7.6792050999999999</v>
      </c>
      <c r="N18" s="161">
        <f t="shared" si="7"/>
        <v>16.917714100000001</v>
      </c>
      <c r="O18" s="170">
        <f t="shared" si="8"/>
        <v>85.277792599999998</v>
      </c>
      <c r="P18" s="170">
        <f t="shared" si="9"/>
        <v>1369.2782575231245</v>
      </c>
      <c r="Q18" s="161">
        <f t="shared" si="4"/>
        <v>17.572404304880099</v>
      </c>
    </row>
    <row r="19" spans="1:17" x14ac:dyDescent="0.3">
      <c r="B19" s="82" t="s">
        <v>97</v>
      </c>
      <c r="C19" s="162">
        <v>4157</v>
      </c>
      <c r="D19" s="162">
        <v>50</v>
      </c>
      <c r="E19" s="161">
        <v>1063.419722695895</v>
      </c>
      <c r="F19" s="161">
        <f t="shared" si="0"/>
        <v>39.665555656556883</v>
      </c>
      <c r="G19" s="161">
        <f t="shared" si="0"/>
        <v>116.97616949654845</v>
      </c>
      <c r="H19" s="170">
        <f t="shared" si="5"/>
        <v>1220.0614478490004</v>
      </c>
      <c r="I19" s="161">
        <f t="shared" si="6"/>
        <v>69.83</v>
      </c>
      <c r="J19" s="161">
        <f t="shared" si="1"/>
        <v>20.948999999999998</v>
      </c>
      <c r="K19" s="161">
        <f t="shared" si="1"/>
        <v>27.932000000000002</v>
      </c>
      <c r="L19" s="161">
        <f t="shared" si="2"/>
        <v>11.799873400000001</v>
      </c>
      <c r="M19" s="161">
        <f t="shared" si="7"/>
        <v>7.6792050999999999</v>
      </c>
      <c r="N19" s="161">
        <f t="shared" si="7"/>
        <v>16.917714100000001</v>
      </c>
      <c r="O19" s="170">
        <f t="shared" si="8"/>
        <v>85.277792599999998</v>
      </c>
      <c r="P19" s="170">
        <f t="shared" si="9"/>
        <v>1305.3392404490005</v>
      </c>
      <c r="Q19" s="161">
        <f t="shared" si="4"/>
        <v>16.751853585762174</v>
      </c>
    </row>
    <row r="20" spans="1:17" x14ac:dyDescent="0.3">
      <c r="E20" s="161"/>
      <c r="F20" s="161"/>
      <c r="G20" s="161"/>
      <c r="H20" s="170"/>
      <c r="I20" s="161"/>
      <c r="J20" s="161"/>
      <c r="K20" s="161"/>
      <c r="L20" s="161"/>
      <c r="M20" s="161"/>
      <c r="N20" s="161"/>
      <c r="O20" s="170"/>
      <c r="P20" s="170"/>
      <c r="Q20" s="161"/>
    </row>
    <row r="21" spans="1:17" x14ac:dyDescent="0.3">
      <c r="A21" s="159" t="s">
        <v>128</v>
      </c>
      <c r="E21" s="161"/>
      <c r="F21" s="161"/>
      <c r="G21" s="161"/>
      <c r="H21" s="170"/>
      <c r="I21" s="161"/>
      <c r="J21" s="161"/>
      <c r="K21" s="161"/>
      <c r="L21" s="161"/>
      <c r="M21" s="161"/>
      <c r="N21" s="161"/>
      <c r="O21" s="170"/>
      <c r="P21" s="170"/>
      <c r="Q21" s="175">
        <f>+'LFCR as Filed'!$D$48</f>
        <v>0.12139999999999999</v>
      </c>
    </row>
    <row r="22" spans="1:17" x14ac:dyDescent="0.3">
      <c r="B22" s="82" t="s">
        <v>130</v>
      </c>
      <c r="E22" s="161">
        <v>363.05827733465378</v>
      </c>
      <c r="F22" s="161">
        <f t="shared" ref="F22:G26" si="10">+$E22*F$9</f>
        <v>13.542073744582586</v>
      </c>
      <c r="G22" s="161">
        <f t="shared" si="10"/>
        <v>39.936410506811917</v>
      </c>
      <c r="H22" s="170">
        <f t="shared" ref="H22:H29" si="11">SUM(E22:G22)</f>
        <v>416.53676158604827</v>
      </c>
      <c r="I22" s="161">
        <f t="shared" ref="I22:I29" si="12">+$I$10</f>
        <v>69.83</v>
      </c>
      <c r="J22" s="161">
        <f t="shared" ref="J22:K26" si="13">+$I22*J$9</f>
        <v>20.948999999999998</v>
      </c>
      <c r="K22" s="161">
        <f t="shared" si="13"/>
        <v>27.932000000000002</v>
      </c>
      <c r="L22" s="161">
        <f t="shared" ref="L22:N26" si="14">($J22+$K22)*L$9</f>
        <v>11.799873400000001</v>
      </c>
      <c r="M22" s="161">
        <f t="shared" si="14"/>
        <v>7.6792050999999999</v>
      </c>
      <c r="N22" s="161">
        <f t="shared" si="14"/>
        <v>16.917714100000001</v>
      </c>
      <c r="O22" s="170">
        <f t="shared" ref="O22:O29" si="15">SUM(J22:N22)</f>
        <v>85.277792599999998</v>
      </c>
      <c r="P22" s="170">
        <f t="shared" ref="P22:P29" si="16">+O22+H22</f>
        <v>501.81455418604827</v>
      </c>
      <c r="Q22" s="161">
        <f>+P22*$Q$21/12</f>
        <v>5.0766905731821881</v>
      </c>
    </row>
    <row r="23" spans="1:17" x14ac:dyDescent="0.3">
      <c r="B23" s="82" t="s">
        <v>131</v>
      </c>
      <c r="E23" s="161">
        <v>413.558864783459</v>
      </c>
      <c r="F23" s="161">
        <f t="shared" si="10"/>
        <v>15.42574565642302</v>
      </c>
      <c r="G23" s="161">
        <f t="shared" si="10"/>
        <v>45.491475126180489</v>
      </c>
      <c r="H23" s="170">
        <f t="shared" si="11"/>
        <v>474.47608556606252</v>
      </c>
      <c r="I23" s="161">
        <f t="shared" si="12"/>
        <v>69.83</v>
      </c>
      <c r="J23" s="161">
        <f t="shared" si="13"/>
        <v>20.948999999999998</v>
      </c>
      <c r="K23" s="161">
        <f t="shared" si="13"/>
        <v>27.932000000000002</v>
      </c>
      <c r="L23" s="161">
        <f t="shared" si="14"/>
        <v>11.799873400000001</v>
      </c>
      <c r="M23" s="161">
        <f t="shared" si="14"/>
        <v>7.6792050999999999</v>
      </c>
      <c r="N23" s="161">
        <f t="shared" si="14"/>
        <v>16.917714100000001</v>
      </c>
      <c r="O23" s="170">
        <f t="shared" si="15"/>
        <v>85.277792599999998</v>
      </c>
      <c r="P23" s="170">
        <f t="shared" si="16"/>
        <v>559.75387816606258</v>
      </c>
      <c r="Q23" s="161">
        <f t="shared" ref="Q23:Q29" si="17">+P23*$Q$21/12</f>
        <v>5.662843400779999</v>
      </c>
    </row>
    <row r="24" spans="1:17" x14ac:dyDescent="0.3">
      <c r="B24" s="82" t="s">
        <v>132</v>
      </c>
      <c r="E24" s="161">
        <v>214.66844307967798</v>
      </c>
      <c r="F24" s="161">
        <f t="shared" si="10"/>
        <v>8.0071329268719893</v>
      </c>
      <c r="G24" s="161">
        <f t="shared" si="10"/>
        <v>23.613528738764579</v>
      </c>
      <c r="H24" s="170">
        <f t="shared" si="11"/>
        <v>246.28910474531457</v>
      </c>
      <c r="I24" s="161">
        <f t="shared" si="12"/>
        <v>69.83</v>
      </c>
      <c r="J24" s="161">
        <f t="shared" si="13"/>
        <v>20.948999999999998</v>
      </c>
      <c r="K24" s="161">
        <f t="shared" si="13"/>
        <v>27.932000000000002</v>
      </c>
      <c r="L24" s="161">
        <f t="shared" si="14"/>
        <v>11.799873400000001</v>
      </c>
      <c r="M24" s="161">
        <f t="shared" si="14"/>
        <v>7.6792050999999999</v>
      </c>
      <c r="N24" s="161">
        <f t="shared" si="14"/>
        <v>16.917714100000001</v>
      </c>
      <c r="O24" s="170">
        <f t="shared" si="15"/>
        <v>85.277792599999998</v>
      </c>
      <c r="P24" s="170">
        <f t="shared" si="16"/>
        <v>331.5668973453146</v>
      </c>
      <c r="Q24" s="161">
        <f t="shared" si="17"/>
        <v>3.3543517781434322</v>
      </c>
    </row>
    <row r="25" spans="1:17" x14ac:dyDescent="0.3">
      <c r="B25" s="82" t="s">
        <v>133</v>
      </c>
      <c r="E25" s="161">
        <v>375.34220401139015</v>
      </c>
      <c r="F25" s="161">
        <f t="shared" si="10"/>
        <v>14.000264209624852</v>
      </c>
      <c r="G25" s="161">
        <f t="shared" si="10"/>
        <v>41.28764244125292</v>
      </c>
      <c r="H25" s="170">
        <f t="shared" si="11"/>
        <v>430.6301106622679</v>
      </c>
      <c r="I25" s="161">
        <f t="shared" si="12"/>
        <v>69.83</v>
      </c>
      <c r="J25" s="161">
        <f t="shared" si="13"/>
        <v>20.948999999999998</v>
      </c>
      <c r="K25" s="161">
        <f t="shared" si="13"/>
        <v>27.932000000000002</v>
      </c>
      <c r="L25" s="161">
        <f t="shared" si="14"/>
        <v>11.799873400000001</v>
      </c>
      <c r="M25" s="161">
        <f t="shared" si="14"/>
        <v>7.6792050999999999</v>
      </c>
      <c r="N25" s="161">
        <f t="shared" si="14"/>
        <v>16.917714100000001</v>
      </c>
      <c r="O25" s="170">
        <f t="shared" si="15"/>
        <v>85.277792599999998</v>
      </c>
      <c r="P25" s="170">
        <f t="shared" si="16"/>
        <v>515.90790326226784</v>
      </c>
      <c r="Q25" s="161">
        <f t="shared" si="17"/>
        <v>5.2192682880032759</v>
      </c>
    </row>
    <row r="26" spans="1:17" x14ac:dyDescent="0.3">
      <c r="B26" s="82" t="s">
        <v>134</v>
      </c>
      <c r="E26" s="161">
        <v>136.48807418596004</v>
      </c>
      <c r="F26" s="161">
        <f t="shared" si="10"/>
        <v>5.0910051671363092</v>
      </c>
      <c r="G26" s="161">
        <f t="shared" si="10"/>
        <v>15.013688160455605</v>
      </c>
      <c r="H26" s="170">
        <f t="shared" si="11"/>
        <v>156.59276751355196</v>
      </c>
      <c r="I26" s="161">
        <f t="shared" si="12"/>
        <v>69.83</v>
      </c>
      <c r="J26" s="161">
        <f t="shared" si="13"/>
        <v>20.948999999999998</v>
      </c>
      <c r="K26" s="161">
        <f t="shared" si="13"/>
        <v>27.932000000000002</v>
      </c>
      <c r="L26" s="161">
        <f t="shared" si="14"/>
        <v>11.799873400000001</v>
      </c>
      <c r="M26" s="161">
        <f t="shared" si="14"/>
        <v>7.6792050999999999</v>
      </c>
      <c r="N26" s="161">
        <f t="shared" si="14"/>
        <v>16.917714100000001</v>
      </c>
      <c r="O26" s="170">
        <f t="shared" si="15"/>
        <v>85.277792599999998</v>
      </c>
      <c r="P26" s="170">
        <f t="shared" si="16"/>
        <v>241.87056011355196</v>
      </c>
      <c r="Q26" s="161">
        <f t="shared" si="17"/>
        <v>2.4469238331487673</v>
      </c>
    </row>
    <row r="27" spans="1:17" x14ac:dyDescent="0.3">
      <c r="B27" s="82" t="s">
        <v>135</v>
      </c>
      <c r="E27" s="161">
        <v>124.0870183984272</v>
      </c>
      <c r="F27" s="161">
        <f t="shared" ref="F27:G29" si="18">+$E27*F$9</f>
        <v>4.6284457862613344</v>
      </c>
      <c r="G27" s="161">
        <f t="shared" si="18"/>
        <v>13.649572023826993</v>
      </c>
      <c r="H27" s="170">
        <f t="shared" si="11"/>
        <v>142.36503620851553</v>
      </c>
      <c r="I27" s="161">
        <f t="shared" si="12"/>
        <v>69.83</v>
      </c>
      <c r="J27" s="161">
        <f t="shared" ref="J27:K29" si="19">+$I27*J$9</f>
        <v>20.948999999999998</v>
      </c>
      <c r="K27" s="161">
        <f t="shared" si="19"/>
        <v>27.932000000000002</v>
      </c>
      <c r="L27" s="161">
        <f t="shared" ref="L27:N29" si="20">($J27+$K27)*L$9</f>
        <v>11.799873400000001</v>
      </c>
      <c r="M27" s="161">
        <f t="shared" si="20"/>
        <v>7.6792050999999999</v>
      </c>
      <c r="N27" s="161">
        <f t="shared" si="20"/>
        <v>16.917714100000001</v>
      </c>
      <c r="O27" s="170">
        <f t="shared" si="15"/>
        <v>85.277792599999998</v>
      </c>
      <c r="P27" s="170">
        <f t="shared" si="16"/>
        <v>227.64282880851553</v>
      </c>
      <c r="Q27" s="161">
        <f t="shared" si="17"/>
        <v>2.3029866181128154</v>
      </c>
    </row>
    <row r="28" spans="1:17" x14ac:dyDescent="0.3">
      <c r="B28" s="82" t="s">
        <v>136</v>
      </c>
      <c r="E28" s="161">
        <v>116.06200936842434</v>
      </c>
      <c r="F28" s="161">
        <f t="shared" si="18"/>
        <v>4.3291129494422282</v>
      </c>
      <c r="G28" s="161">
        <f t="shared" si="18"/>
        <v>12.766821030526678</v>
      </c>
      <c r="H28" s="170">
        <f t="shared" si="11"/>
        <v>133.15794334839325</v>
      </c>
      <c r="I28" s="161">
        <f t="shared" si="12"/>
        <v>69.83</v>
      </c>
      <c r="J28" s="161">
        <f t="shared" si="19"/>
        <v>20.948999999999998</v>
      </c>
      <c r="K28" s="161">
        <f t="shared" si="19"/>
        <v>27.932000000000002</v>
      </c>
      <c r="L28" s="161">
        <f t="shared" si="20"/>
        <v>11.799873400000001</v>
      </c>
      <c r="M28" s="161">
        <f t="shared" si="20"/>
        <v>7.6792050999999999</v>
      </c>
      <c r="N28" s="161">
        <f t="shared" si="20"/>
        <v>16.917714100000001</v>
      </c>
      <c r="O28" s="170">
        <f t="shared" si="15"/>
        <v>85.277792599999998</v>
      </c>
      <c r="P28" s="170">
        <f t="shared" si="16"/>
        <v>218.43573594839324</v>
      </c>
      <c r="Q28" s="161">
        <f t="shared" si="17"/>
        <v>2.2098415286779116</v>
      </c>
    </row>
    <row r="29" spans="1:17" x14ac:dyDescent="0.3">
      <c r="B29" s="82" t="s">
        <v>137</v>
      </c>
      <c r="E29" s="161">
        <v>130.31815989453264</v>
      </c>
      <c r="F29" s="161">
        <f t="shared" si="18"/>
        <v>4.8608673640660678</v>
      </c>
      <c r="G29" s="161">
        <f t="shared" si="18"/>
        <v>14.33499758839859</v>
      </c>
      <c r="H29" s="170">
        <f t="shared" si="11"/>
        <v>149.5140248469973</v>
      </c>
      <c r="I29" s="161">
        <f t="shared" si="12"/>
        <v>69.83</v>
      </c>
      <c r="J29" s="161">
        <f t="shared" si="19"/>
        <v>20.948999999999998</v>
      </c>
      <c r="K29" s="161">
        <f t="shared" si="19"/>
        <v>27.932000000000002</v>
      </c>
      <c r="L29" s="161">
        <f t="shared" si="20"/>
        <v>11.799873400000001</v>
      </c>
      <c r="M29" s="161">
        <f t="shared" si="20"/>
        <v>7.6792050999999999</v>
      </c>
      <c r="N29" s="161">
        <f t="shared" si="20"/>
        <v>16.917714100000001</v>
      </c>
      <c r="O29" s="170">
        <f t="shared" si="15"/>
        <v>85.277792599999998</v>
      </c>
      <c r="P29" s="170">
        <f t="shared" si="16"/>
        <v>234.7918174469973</v>
      </c>
      <c r="Q29" s="161">
        <f t="shared" si="17"/>
        <v>2.3753105531721226</v>
      </c>
    </row>
    <row r="31" spans="1:17" x14ac:dyDescent="0.3">
      <c r="A31" s="159" t="s">
        <v>138</v>
      </c>
      <c r="Q31" s="175">
        <f>+'LFCR as Filed'!$D$48</f>
        <v>0.12139999999999999</v>
      </c>
    </row>
    <row r="32" spans="1:17" x14ac:dyDescent="0.3">
      <c r="B32" s="82" t="s">
        <v>139</v>
      </c>
      <c r="E32" s="161">
        <v>815.66024083733635</v>
      </c>
      <c r="F32" s="161">
        <f t="shared" ref="F32:G44" si="21">+$E32*F$9</f>
        <v>30.424126983232647</v>
      </c>
      <c r="G32" s="161">
        <f t="shared" si="21"/>
        <v>89.722626492106997</v>
      </c>
      <c r="H32" s="170">
        <f t="shared" ref="H32:H39" si="22">SUM(E32:G32)</f>
        <v>935.80699431267601</v>
      </c>
      <c r="I32" s="161">
        <f t="shared" ref="I32:I44" si="23">+$I$10</f>
        <v>69.83</v>
      </c>
      <c r="J32" s="161">
        <f t="shared" ref="J32:K44" si="24">+$I32*J$9</f>
        <v>20.948999999999998</v>
      </c>
      <c r="K32" s="161">
        <f t="shared" si="24"/>
        <v>27.932000000000002</v>
      </c>
      <c r="L32" s="161">
        <f t="shared" ref="L32:N44" si="25">($J32+$K32)*L$9</f>
        <v>11.799873400000001</v>
      </c>
      <c r="M32" s="161">
        <f t="shared" si="25"/>
        <v>7.6792050999999999</v>
      </c>
      <c r="N32" s="161">
        <f t="shared" si="25"/>
        <v>16.917714100000001</v>
      </c>
      <c r="O32" s="170">
        <f t="shared" ref="O32:O39" si="26">SUM(J32:N32)</f>
        <v>85.277792599999998</v>
      </c>
      <c r="P32" s="170">
        <f t="shared" ref="P32:P39" si="27">+O32+H32</f>
        <v>1021.084786912676</v>
      </c>
      <c r="Q32" s="161">
        <f>+P32*$Q$31/12</f>
        <v>10.329974427599906</v>
      </c>
    </row>
    <row r="33" spans="1:17" x14ac:dyDescent="0.3">
      <c r="B33" s="82" t="s">
        <v>140</v>
      </c>
      <c r="E33" s="161">
        <v>728.19649322862813</v>
      </c>
      <c r="F33" s="161">
        <f t="shared" si="21"/>
        <v>27.161729197427828</v>
      </c>
      <c r="G33" s="161">
        <f t="shared" si="21"/>
        <v>80.101614255149101</v>
      </c>
      <c r="H33" s="170">
        <f t="shared" si="22"/>
        <v>835.45983668120505</v>
      </c>
      <c r="I33" s="161">
        <f t="shared" si="23"/>
        <v>69.83</v>
      </c>
      <c r="J33" s="161">
        <f t="shared" si="24"/>
        <v>20.948999999999998</v>
      </c>
      <c r="K33" s="161">
        <f t="shared" si="24"/>
        <v>27.932000000000002</v>
      </c>
      <c r="L33" s="161">
        <f t="shared" si="25"/>
        <v>11.799873400000001</v>
      </c>
      <c r="M33" s="161">
        <f t="shared" si="25"/>
        <v>7.6792050999999999</v>
      </c>
      <c r="N33" s="161">
        <f t="shared" si="25"/>
        <v>16.917714100000001</v>
      </c>
      <c r="O33" s="170">
        <f t="shared" si="26"/>
        <v>85.277792599999998</v>
      </c>
      <c r="P33" s="170">
        <f t="shared" si="27"/>
        <v>920.73762928120505</v>
      </c>
      <c r="Q33" s="161">
        <f t="shared" ref="Q33:Q44" si="28">+P33*$Q$31/12</f>
        <v>9.3147956828948573</v>
      </c>
    </row>
    <row r="34" spans="1:17" x14ac:dyDescent="0.3">
      <c r="B34" s="82" t="s">
        <v>141</v>
      </c>
      <c r="E34" s="161">
        <v>868.49123045616193</v>
      </c>
      <c r="F34" s="161">
        <f t="shared" si="21"/>
        <v>32.394722896014841</v>
      </c>
      <c r="G34" s="161">
        <f t="shared" si="21"/>
        <v>95.534035350177817</v>
      </c>
      <c r="H34" s="170">
        <f t="shared" si="22"/>
        <v>996.41998870235466</v>
      </c>
      <c r="I34" s="161">
        <f t="shared" si="23"/>
        <v>69.83</v>
      </c>
      <c r="J34" s="161">
        <f t="shared" si="24"/>
        <v>20.948999999999998</v>
      </c>
      <c r="K34" s="161">
        <f t="shared" si="24"/>
        <v>27.932000000000002</v>
      </c>
      <c r="L34" s="161">
        <f t="shared" si="25"/>
        <v>11.799873400000001</v>
      </c>
      <c r="M34" s="161">
        <f t="shared" si="25"/>
        <v>7.6792050999999999</v>
      </c>
      <c r="N34" s="161">
        <f t="shared" si="25"/>
        <v>16.917714100000001</v>
      </c>
      <c r="O34" s="170">
        <f t="shared" si="26"/>
        <v>85.277792599999998</v>
      </c>
      <c r="P34" s="170">
        <f t="shared" si="27"/>
        <v>1081.6977813023545</v>
      </c>
      <c r="Q34" s="161">
        <f t="shared" si="28"/>
        <v>10.94317588750882</v>
      </c>
    </row>
    <row r="35" spans="1:17" x14ac:dyDescent="0.3">
      <c r="B35" s="82" t="s">
        <v>142</v>
      </c>
      <c r="E35" s="161">
        <v>815.66024083733635</v>
      </c>
      <c r="F35" s="161">
        <f t="shared" si="21"/>
        <v>30.424126983232647</v>
      </c>
      <c r="G35" s="161">
        <f t="shared" si="21"/>
        <v>89.722626492106997</v>
      </c>
      <c r="H35" s="170">
        <f t="shared" si="22"/>
        <v>935.80699431267601</v>
      </c>
      <c r="I35" s="161">
        <f t="shared" si="23"/>
        <v>69.83</v>
      </c>
      <c r="J35" s="161">
        <f t="shared" si="24"/>
        <v>20.948999999999998</v>
      </c>
      <c r="K35" s="161">
        <f t="shared" si="24"/>
        <v>27.932000000000002</v>
      </c>
      <c r="L35" s="161">
        <f t="shared" si="25"/>
        <v>11.799873400000001</v>
      </c>
      <c r="M35" s="161">
        <f t="shared" si="25"/>
        <v>7.6792050999999999</v>
      </c>
      <c r="N35" s="161">
        <f t="shared" si="25"/>
        <v>16.917714100000001</v>
      </c>
      <c r="O35" s="170">
        <f t="shared" si="26"/>
        <v>85.277792599999998</v>
      </c>
      <c r="P35" s="170">
        <f t="shared" si="27"/>
        <v>1021.084786912676</v>
      </c>
      <c r="Q35" s="161">
        <f t="shared" si="28"/>
        <v>10.329974427599906</v>
      </c>
    </row>
    <row r="36" spans="1:17" x14ac:dyDescent="0.3">
      <c r="B36" s="82" t="s">
        <v>143</v>
      </c>
      <c r="E36" s="161">
        <v>728.19649322862813</v>
      </c>
      <c r="F36" s="161">
        <f t="shared" si="21"/>
        <v>27.161729197427828</v>
      </c>
      <c r="G36" s="161">
        <f t="shared" si="21"/>
        <v>80.101614255149101</v>
      </c>
      <c r="H36" s="170">
        <f t="shared" si="22"/>
        <v>835.45983668120505</v>
      </c>
      <c r="I36" s="161">
        <f t="shared" si="23"/>
        <v>69.83</v>
      </c>
      <c r="J36" s="161">
        <f t="shared" si="24"/>
        <v>20.948999999999998</v>
      </c>
      <c r="K36" s="161">
        <f t="shared" si="24"/>
        <v>27.932000000000002</v>
      </c>
      <c r="L36" s="161">
        <f t="shared" si="25"/>
        <v>11.799873400000001</v>
      </c>
      <c r="M36" s="161">
        <f t="shared" si="25"/>
        <v>7.6792050999999999</v>
      </c>
      <c r="N36" s="161">
        <f t="shared" si="25"/>
        <v>16.917714100000001</v>
      </c>
      <c r="O36" s="170">
        <f t="shared" si="26"/>
        <v>85.277792599999998</v>
      </c>
      <c r="P36" s="170">
        <f t="shared" si="27"/>
        <v>920.73762928120505</v>
      </c>
      <c r="Q36" s="161">
        <f t="shared" si="28"/>
        <v>9.3147956828948573</v>
      </c>
    </row>
    <row r="37" spans="1:17" x14ac:dyDescent="0.3">
      <c r="B37" s="82" t="s">
        <v>144</v>
      </c>
      <c r="E37" s="161">
        <v>706.81824755586103</v>
      </c>
      <c r="F37" s="161">
        <f t="shared" si="21"/>
        <v>26.364320633833618</v>
      </c>
      <c r="G37" s="161">
        <f t="shared" si="21"/>
        <v>77.750007231144721</v>
      </c>
      <c r="H37" s="170">
        <f t="shared" si="22"/>
        <v>810.93257542083938</v>
      </c>
      <c r="I37" s="161">
        <f t="shared" si="23"/>
        <v>69.83</v>
      </c>
      <c r="J37" s="161">
        <f t="shared" si="24"/>
        <v>20.948999999999998</v>
      </c>
      <c r="K37" s="161">
        <f t="shared" si="24"/>
        <v>27.932000000000002</v>
      </c>
      <c r="L37" s="161">
        <f t="shared" si="25"/>
        <v>11.799873400000001</v>
      </c>
      <c r="M37" s="161">
        <f t="shared" si="25"/>
        <v>7.6792050999999999</v>
      </c>
      <c r="N37" s="161">
        <f t="shared" si="25"/>
        <v>16.917714100000001</v>
      </c>
      <c r="O37" s="170">
        <f t="shared" si="26"/>
        <v>85.277792599999998</v>
      </c>
      <c r="P37" s="170">
        <f t="shared" si="27"/>
        <v>896.21036802083938</v>
      </c>
      <c r="Q37" s="161">
        <f t="shared" si="28"/>
        <v>9.0666615564774915</v>
      </c>
    </row>
    <row r="38" spans="1:17" x14ac:dyDescent="0.3">
      <c r="B38" s="82" t="s">
        <v>145</v>
      </c>
      <c r="E38" s="161">
        <v>871.16351116525789</v>
      </c>
      <c r="F38" s="161">
        <f t="shared" si="21"/>
        <v>32.494398966464118</v>
      </c>
      <c r="G38" s="161">
        <f t="shared" si="21"/>
        <v>95.827986228178375</v>
      </c>
      <c r="H38" s="170">
        <f t="shared" si="22"/>
        <v>999.48589635990038</v>
      </c>
      <c r="I38" s="161">
        <f t="shared" si="23"/>
        <v>69.83</v>
      </c>
      <c r="J38" s="161">
        <f t="shared" si="24"/>
        <v>20.948999999999998</v>
      </c>
      <c r="K38" s="161">
        <f t="shared" si="24"/>
        <v>27.932000000000002</v>
      </c>
      <c r="L38" s="161">
        <f t="shared" si="25"/>
        <v>11.799873400000001</v>
      </c>
      <c r="M38" s="161">
        <f t="shared" si="25"/>
        <v>7.6792050999999999</v>
      </c>
      <c r="N38" s="161">
        <f t="shared" si="25"/>
        <v>16.917714100000001</v>
      </c>
      <c r="O38" s="170">
        <f t="shared" si="26"/>
        <v>85.277792599999998</v>
      </c>
      <c r="P38" s="170">
        <f t="shared" si="27"/>
        <v>1084.7636889599003</v>
      </c>
      <c r="Q38" s="161">
        <f t="shared" si="28"/>
        <v>10.974192653310991</v>
      </c>
    </row>
    <row r="39" spans="1:17" x14ac:dyDescent="0.3">
      <c r="B39" s="82" t="s">
        <v>146</v>
      </c>
      <c r="E39" s="161">
        <v>935.91287274665115</v>
      </c>
      <c r="F39" s="161">
        <f t="shared" si="21"/>
        <v>34.909550153450084</v>
      </c>
      <c r="G39" s="161">
        <f t="shared" si="21"/>
        <v>102.95041600213163</v>
      </c>
      <c r="H39" s="170">
        <f t="shared" si="22"/>
        <v>1073.7728389022327</v>
      </c>
      <c r="I39" s="161">
        <f t="shared" si="23"/>
        <v>69.83</v>
      </c>
      <c r="J39" s="161">
        <f t="shared" si="24"/>
        <v>20.948999999999998</v>
      </c>
      <c r="K39" s="161">
        <f t="shared" si="24"/>
        <v>27.932000000000002</v>
      </c>
      <c r="L39" s="161">
        <f t="shared" si="25"/>
        <v>11.799873400000001</v>
      </c>
      <c r="M39" s="161">
        <f t="shared" si="25"/>
        <v>7.6792050999999999</v>
      </c>
      <c r="N39" s="161">
        <f t="shared" si="25"/>
        <v>16.917714100000001</v>
      </c>
      <c r="O39" s="170">
        <f t="shared" si="26"/>
        <v>85.277792599999998</v>
      </c>
      <c r="P39" s="170">
        <f t="shared" si="27"/>
        <v>1159.0506315022326</v>
      </c>
      <c r="Q39" s="161">
        <f t="shared" si="28"/>
        <v>11.725728888697587</v>
      </c>
    </row>
    <row r="40" spans="1:17" x14ac:dyDescent="0.3">
      <c r="B40" s="82" t="s">
        <v>147</v>
      </c>
      <c r="E40" s="161">
        <v>935.64564467574144</v>
      </c>
      <c r="F40" s="161">
        <f t="shared" si="21"/>
        <v>34.899582546405156</v>
      </c>
      <c r="G40" s="161">
        <f t="shared" si="21"/>
        <v>102.92102091433156</v>
      </c>
      <c r="H40" s="170">
        <f t="shared" ref="H40:H44" si="29">SUM(E40:G40)</f>
        <v>1073.4662481364783</v>
      </c>
      <c r="I40" s="161">
        <f t="shared" si="23"/>
        <v>69.83</v>
      </c>
      <c r="J40" s="161">
        <f t="shared" si="24"/>
        <v>20.948999999999998</v>
      </c>
      <c r="K40" s="161">
        <f t="shared" si="24"/>
        <v>27.932000000000002</v>
      </c>
      <c r="L40" s="161">
        <f t="shared" si="25"/>
        <v>11.799873400000001</v>
      </c>
      <c r="M40" s="161">
        <f t="shared" si="25"/>
        <v>7.6792050999999999</v>
      </c>
      <c r="N40" s="161">
        <f t="shared" si="25"/>
        <v>16.917714100000001</v>
      </c>
      <c r="O40" s="170">
        <f t="shared" ref="O40:O44" si="30">SUM(J40:N40)</f>
        <v>85.277792599999998</v>
      </c>
      <c r="P40" s="170">
        <f t="shared" ref="P40:P44" si="31">+O40+H40</f>
        <v>1158.7440407364784</v>
      </c>
      <c r="Q40" s="161">
        <f t="shared" si="28"/>
        <v>11.722627212117374</v>
      </c>
    </row>
    <row r="41" spans="1:17" x14ac:dyDescent="0.3">
      <c r="B41" s="82" t="s">
        <v>148</v>
      </c>
      <c r="E41" s="161">
        <v>935.64564467574144</v>
      </c>
      <c r="F41" s="161">
        <f t="shared" si="21"/>
        <v>34.899582546405156</v>
      </c>
      <c r="G41" s="161">
        <f t="shared" si="21"/>
        <v>102.92102091433156</v>
      </c>
      <c r="H41" s="170">
        <f t="shared" si="29"/>
        <v>1073.4662481364783</v>
      </c>
      <c r="I41" s="161">
        <f t="shared" si="23"/>
        <v>69.83</v>
      </c>
      <c r="J41" s="161">
        <f t="shared" si="24"/>
        <v>20.948999999999998</v>
      </c>
      <c r="K41" s="161">
        <f t="shared" si="24"/>
        <v>27.932000000000002</v>
      </c>
      <c r="L41" s="161">
        <f t="shared" si="25"/>
        <v>11.799873400000001</v>
      </c>
      <c r="M41" s="161">
        <f t="shared" si="25"/>
        <v>7.6792050999999999</v>
      </c>
      <c r="N41" s="161">
        <f t="shared" si="25"/>
        <v>16.917714100000001</v>
      </c>
      <c r="O41" s="170">
        <f t="shared" si="30"/>
        <v>85.277792599999998</v>
      </c>
      <c r="P41" s="170">
        <f t="shared" si="31"/>
        <v>1158.7440407364784</v>
      </c>
      <c r="Q41" s="161">
        <f t="shared" si="28"/>
        <v>11.722627212117374</v>
      </c>
    </row>
    <row r="42" spans="1:17" x14ac:dyDescent="0.3">
      <c r="B42" s="82" t="s">
        <v>149</v>
      </c>
      <c r="E42" s="161">
        <v>935.64564467574144</v>
      </c>
      <c r="F42" s="161">
        <f t="shared" si="21"/>
        <v>34.899582546405156</v>
      </c>
      <c r="G42" s="161">
        <f t="shared" si="21"/>
        <v>102.92102091433156</v>
      </c>
      <c r="H42" s="170">
        <f t="shared" si="29"/>
        <v>1073.4662481364783</v>
      </c>
      <c r="I42" s="161">
        <f t="shared" si="23"/>
        <v>69.83</v>
      </c>
      <c r="J42" s="161">
        <f t="shared" si="24"/>
        <v>20.948999999999998</v>
      </c>
      <c r="K42" s="161">
        <f t="shared" si="24"/>
        <v>27.932000000000002</v>
      </c>
      <c r="L42" s="161">
        <f t="shared" si="25"/>
        <v>11.799873400000001</v>
      </c>
      <c r="M42" s="161">
        <f t="shared" si="25"/>
        <v>7.6792050999999999</v>
      </c>
      <c r="N42" s="161">
        <f t="shared" si="25"/>
        <v>16.917714100000001</v>
      </c>
      <c r="O42" s="170">
        <f t="shared" si="30"/>
        <v>85.277792599999998</v>
      </c>
      <c r="P42" s="170">
        <f t="shared" si="31"/>
        <v>1158.7440407364784</v>
      </c>
      <c r="Q42" s="161">
        <f t="shared" si="28"/>
        <v>11.722627212117374</v>
      </c>
    </row>
    <row r="43" spans="1:17" x14ac:dyDescent="0.3">
      <c r="B43" s="82" t="s">
        <v>150</v>
      </c>
      <c r="E43" s="161">
        <v>808.36491450150459</v>
      </c>
      <c r="F43" s="161">
        <f t="shared" si="21"/>
        <v>30.152011310906122</v>
      </c>
      <c r="G43" s="161">
        <f t="shared" si="21"/>
        <v>88.920140595165506</v>
      </c>
      <c r="H43" s="170">
        <f t="shared" si="29"/>
        <v>927.43706640757625</v>
      </c>
      <c r="I43" s="161">
        <f t="shared" si="23"/>
        <v>69.83</v>
      </c>
      <c r="J43" s="161">
        <f t="shared" si="24"/>
        <v>20.948999999999998</v>
      </c>
      <c r="K43" s="161">
        <f t="shared" si="24"/>
        <v>27.932000000000002</v>
      </c>
      <c r="L43" s="161">
        <f t="shared" si="25"/>
        <v>11.799873400000001</v>
      </c>
      <c r="M43" s="161">
        <f t="shared" si="25"/>
        <v>7.6792050999999999</v>
      </c>
      <c r="N43" s="161">
        <f t="shared" si="25"/>
        <v>16.917714100000001</v>
      </c>
      <c r="O43" s="170">
        <f t="shared" si="30"/>
        <v>85.277792599999998</v>
      </c>
      <c r="P43" s="170">
        <f t="shared" si="31"/>
        <v>1012.7148590075763</v>
      </c>
      <c r="Q43" s="161">
        <f t="shared" si="28"/>
        <v>10.24529865695998</v>
      </c>
    </row>
    <row r="44" spans="1:17" x14ac:dyDescent="0.3">
      <c r="B44" s="82" t="s">
        <v>151</v>
      </c>
      <c r="E44" s="161">
        <v>421.85010754490423</v>
      </c>
      <c r="F44" s="161">
        <f t="shared" si="21"/>
        <v>15.735009011424928</v>
      </c>
      <c r="G44" s="161">
        <f t="shared" si="21"/>
        <v>46.403511829939468</v>
      </c>
      <c r="H44" s="170">
        <f t="shared" si="29"/>
        <v>483.98862838626866</v>
      </c>
      <c r="I44" s="161">
        <f t="shared" si="23"/>
        <v>69.83</v>
      </c>
      <c r="J44" s="161">
        <f t="shared" si="24"/>
        <v>20.948999999999998</v>
      </c>
      <c r="K44" s="161">
        <f t="shared" si="24"/>
        <v>27.932000000000002</v>
      </c>
      <c r="L44" s="161">
        <f t="shared" si="25"/>
        <v>11.799873400000001</v>
      </c>
      <c r="M44" s="161">
        <f t="shared" si="25"/>
        <v>7.6792050999999999</v>
      </c>
      <c r="N44" s="161">
        <f t="shared" si="25"/>
        <v>16.917714100000001</v>
      </c>
      <c r="O44" s="170">
        <f t="shared" si="30"/>
        <v>85.277792599999998</v>
      </c>
      <c r="P44" s="170">
        <f t="shared" si="31"/>
        <v>569.26642098626871</v>
      </c>
      <c r="Q44" s="161">
        <f t="shared" si="28"/>
        <v>5.7590786256444177</v>
      </c>
    </row>
    <row r="46" spans="1:17" x14ac:dyDescent="0.3">
      <c r="A46" s="159" t="s">
        <v>152</v>
      </c>
      <c r="Q46" s="175">
        <f>+'LFCR as Filed'!$D$48</f>
        <v>0.12139999999999999</v>
      </c>
    </row>
    <row r="47" spans="1:17" x14ac:dyDescent="0.3">
      <c r="B47" s="82" t="s">
        <v>153</v>
      </c>
      <c r="E47" s="161">
        <v>44.07646440179203</v>
      </c>
      <c r="F47" s="161">
        <f t="shared" ref="F47:G62" si="32">+$E47*F$9</f>
        <v>1.6440521221868427</v>
      </c>
      <c r="G47" s="161">
        <f t="shared" si="32"/>
        <v>4.8484110841971235</v>
      </c>
      <c r="H47" s="170">
        <f t="shared" ref="H47:H59" si="33">SUM(E47:G47)</f>
        <v>50.568927608175997</v>
      </c>
      <c r="I47" s="161">
        <f t="shared" ref="I47:I72" si="34">+$I$10</f>
        <v>69.83</v>
      </c>
      <c r="J47" s="161">
        <f t="shared" ref="J47:K62" si="35">+$I47*J$9</f>
        <v>20.948999999999998</v>
      </c>
      <c r="K47" s="161">
        <f t="shared" si="35"/>
        <v>27.932000000000002</v>
      </c>
      <c r="L47" s="161">
        <f t="shared" ref="L47:N62" si="36">($J47+$K47)*L$9</f>
        <v>11.799873400000001</v>
      </c>
      <c r="M47" s="161">
        <f t="shared" si="36"/>
        <v>7.6792050999999999</v>
      </c>
      <c r="N47" s="161">
        <f t="shared" si="36"/>
        <v>16.917714100000001</v>
      </c>
      <c r="O47" s="170">
        <f t="shared" ref="O47:O59" si="37">SUM(J47:N47)</f>
        <v>85.277792599999998</v>
      </c>
      <c r="P47" s="170">
        <f t="shared" ref="P47:P59" si="38">+O47+H47</f>
        <v>135.84672020817601</v>
      </c>
      <c r="Q47" s="161">
        <f>+P47*$Q$46/12</f>
        <v>1.3743159861060474</v>
      </c>
    </row>
    <row r="48" spans="1:17" x14ac:dyDescent="0.3">
      <c r="B48" s="82" t="s">
        <v>154</v>
      </c>
      <c r="E48" s="161">
        <v>53.19762653211356</v>
      </c>
      <c r="F48" s="161">
        <f t="shared" si="32"/>
        <v>1.9842714696478359</v>
      </c>
      <c r="G48" s="161">
        <f t="shared" si="32"/>
        <v>5.851738918532492</v>
      </c>
      <c r="H48" s="170">
        <f t="shared" si="33"/>
        <v>61.033636920293887</v>
      </c>
      <c r="I48" s="161">
        <f t="shared" si="34"/>
        <v>69.83</v>
      </c>
      <c r="J48" s="161">
        <f t="shared" si="35"/>
        <v>20.948999999999998</v>
      </c>
      <c r="K48" s="161">
        <f t="shared" si="35"/>
        <v>27.932000000000002</v>
      </c>
      <c r="L48" s="161">
        <f t="shared" si="36"/>
        <v>11.799873400000001</v>
      </c>
      <c r="M48" s="161">
        <f t="shared" si="36"/>
        <v>7.6792050999999999</v>
      </c>
      <c r="N48" s="161">
        <f t="shared" si="36"/>
        <v>16.917714100000001</v>
      </c>
      <c r="O48" s="170">
        <f t="shared" si="37"/>
        <v>85.277792599999998</v>
      </c>
      <c r="P48" s="170">
        <f t="shared" si="38"/>
        <v>146.31142952029387</v>
      </c>
      <c r="Q48" s="161">
        <f t="shared" ref="Q48:Q72" si="39">+P48*$Q$46/12</f>
        <v>1.4801839619803063</v>
      </c>
    </row>
    <row r="49" spans="2:17" x14ac:dyDescent="0.3">
      <c r="B49" s="82" t="s">
        <v>155</v>
      </c>
      <c r="E49" s="161">
        <v>42.539234923884635</v>
      </c>
      <c r="F49" s="161">
        <f t="shared" si="32"/>
        <v>1.586713462660897</v>
      </c>
      <c r="G49" s="161">
        <f t="shared" si="32"/>
        <v>4.67931584162731</v>
      </c>
      <c r="H49" s="170">
        <f t="shared" si="33"/>
        <v>48.805264228172838</v>
      </c>
      <c r="I49" s="161">
        <f t="shared" si="34"/>
        <v>69.83</v>
      </c>
      <c r="J49" s="161">
        <f t="shared" si="35"/>
        <v>20.948999999999998</v>
      </c>
      <c r="K49" s="161">
        <f t="shared" si="35"/>
        <v>27.932000000000002</v>
      </c>
      <c r="L49" s="161">
        <f t="shared" si="36"/>
        <v>11.799873400000001</v>
      </c>
      <c r="M49" s="161">
        <f t="shared" si="36"/>
        <v>7.6792050999999999</v>
      </c>
      <c r="N49" s="161">
        <f t="shared" si="36"/>
        <v>16.917714100000001</v>
      </c>
      <c r="O49" s="170">
        <f t="shared" si="37"/>
        <v>85.277792599999998</v>
      </c>
      <c r="P49" s="170">
        <f t="shared" si="38"/>
        <v>134.08305682817283</v>
      </c>
      <c r="Q49" s="161">
        <f t="shared" si="39"/>
        <v>1.3564735915783483</v>
      </c>
    </row>
    <row r="50" spans="2:17" x14ac:dyDescent="0.3">
      <c r="B50" s="82" t="s">
        <v>156</v>
      </c>
      <c r="E50" s="161">
        <v>114.30894515614368</v>
      </c>
      <c r="F50" s="161">
        <f t="shared" si="32"/>
        <v>4.263723654324159</v>
      </c>
      <c r="G50" s="161">
        <f t="shared" si="32"/>
        <v>12.573983967175804</v>
      </c>
      <c r="H50" s="170">
        <f t="shared" si="33"/>
        <v>131.14665277764362</v>
      </c>
      <c r="I50" s="161">
        <f t="shared" si="34"/>
        <v>69.83</v>
      </c>
      <c r="J50" s="161">
        <f t="shared" si="35"/>
        <v>20.948999999999998</v>
      </c>
      <c r="K50" s="161">
        <f t="shared" si="35"/>
        <v>27.932000000000002</v>
      </c>
      <c r="L50" s="161">
        <f t="shared" si="36"/>
        <v>11.799873400000001</v>
      </c>
      <c r="M50" s="161">
        <f t="shared" si="36"/>
        <v>7.6792050999999999</v>
      </c>
      <c r="N50" s="161">
        <f t="shared" si="36"/>
        <v>16.917714100000001</v>
      </c>
      <c r="O50" s="170">
        <f t="shared" si="37"/>
        <v>85.277792599999998</v>
      </c>
      <c r="P50" s="170">
        <f t="shared" si="38"/>
        <v>216.42444537764362</v>
      </c>
      <c r="Q50" s="161">
        <f t="shared" si="39"/>
        <v>2.1894939724038278</v>
      </c>
    </row>
    <row r="51" spans="2:17" x14ac:dyDescent="0.3">
      <c r="B51" s="82" t="s">
        <v>157</v>
      </c>
      <c r="E51" s="161">
        <v>316.07148325430103</v>
      </c>
      <c r="F51" s="161">
        <f t="shared" si="32"/>
        <v>11.789466325385428</v>
      </c>
      <c r="G51" s="161">
        <f t="shared" si="32"/>
        <v>34.76786315797311</v>
      </c>
      <c r="H51" s="170">
        <f t="shared" si="33"/>
        <v>362.62881273765959</v>
      </c>
      <c r="I51" s="161">
        <f t="shared" si="34"/>
        <v>69.83</v>
      </c>
      <c r="J51" s="161">
        <f t="shared" si="35"/>
        <v>20.948999999999998</v>
      </c>
      <c r="K51" s="161">
        <f t="shared" si="35"/>
        <v>27.932000000000002</v>
      </c>
      <c r="L51" s="161">
        <f t="shared" si="36"/>
        <v>11.799873400000001</v>
      </c>
      <c r="M51" s="161">
        <f t="shared" si="36"/>
        <v>7.6792050999999999</v>
      </c>
      <c r="N51" s="161">
        <f t="shared" si="36"/>
        <v>16.917714100000001</v>
      </c>
      <c r="O51" s="170">
        <f t="shared" si="37"/>
        <v>85.277792599999998</v>
      </c>
      <c r="P51" s="170">
        <f t="shared" si="38"/>
        <v>447.90660533765958</v>
      </c>
      <c r="Q51" s="161">
        <f t="shared" si="39"/>
        <v>4.5313218239993232</v>
      </c>
    </row>
    <row r="52" spans="2:17" x14ac:dyDescent="0.3">
      <c r="B52" s="82" t="s">
        <v>158</v>
      </c>
      <c r="E52" s="161">
        <v>235.21120850583961</v>
      </c>
      <c r="F52" s="161">
        <f t="shared" si="32"/>
        <v>8.773378077267818</v>
      </c>
      <c r="G52" s="161">
        <f t="shared" si="32"/>
        <v>25.873232935642356</v>
      </c>
      <c r="H52" s="170">
        <f t="shared" si="33"/>
        <v>269.85781951874975</v>
      </c>
      <c r="I52" s="161">
        <f t="shared" si="34"/>
        <v>69.83</v>
      </c>
      <c r="J52" s="161">
        <f t="shared" si="35"/>
        <v>20.948999999999998</v>
      </c>
      <c r="K52" s="161">
        <f t="shared" si="35"/>
        <v>27.932000000000002</v>
      </c>
      <c r="L52" s="161">
        <f t="shared" si="36"/>
        <v>11.799873400000001</v>
      </c>
      <c r="M52" s="161">
        <f t="shared" si="36"/>
        <v>7.6792050999999999</v>
      </c>
      <c r="N52" s="161">
        <f t="shared" si="36"/>
        <v>16.917714100000001</v>
      </c>
      <c r="O52" s="170">
        <f t="shared" si="37"/>
        <v>85.277792599999998</v>
      </c>
      <c r="P52" s="170">
        <f t="shared" si="38"/>
        <v>355.13561211874975</v>
      </c>
      <c r="Q52" s="161">
        <f t="shared" si="39"/>
        <v>3.5927886092680179</v>
      </c>
    </row>
    <row r="53" spans="2:17" x14ac:dyDescent="0.3">
      <c r="B53" s="82" t="s">
        <v>159</v>
      </c>
      <c r="E53" s="161">
        <v>302.10454090014048</v>
      </c>
      <c r="F53" s="161">
        <f t="shared" si="32"/>
        <v>11.268499375575241</v>
      </c>
      <c r="G53" s="161">
        <f t="shared" si="32"/>
        <v>33.231499499015456</v>
      </c>
      <c r="H53" s="170">
        <f t="shared" si="33"/>
        <v>346.60453977473117</v>
      </c>
      <c r="I53" s="161">
        <f t="shared" si="34"/>
        <v>69.83</v>
      </c>
      <c r="J53" s="161">
        <f t="shared" si="35"/>
        <v>20.948999999999998</v>
      </c>
      <c r="K53" s="161">
        <f t="shared" si="35"/>
        <v>27.932000000000002</v>
      </c>
      <c r="L53" s="161">
        <f t="shared" si="36"/>
        <v>11.799873400000001</v>
      </c>
      <c r="M53" s="161">
        <f t="shared" si="36"/>
        <v>7.6792050999999999</v>
      </c>
      <c r="N53" s="161">
        <f t="shared" si="36"/>
        <v>16.917714100000001</v>
      </c>
      <c r="O53" s="170">
        <f t="shared" si="37"/>
        <v>85.277792599999998</v>
      </c>
      <c r="P53" s="170">
        <f t="shared" si="38"/>
        <v>431.88233237473116</v>
      </c>
      <c r="Q53" s="161">
        <f t="shared" si="39"/>
        <v>4.3692095958576962</v>
      </c>
    </row>
    <row r="54" spans="2:17" x14ac:dyDescent="0.3">
      <c r="B54" s="82" t="s">
        <v>160</v>
      </c>
      <c r="E54" s="161">
        <v>380.20541858838948</v>
      </c>
      <c r="F54" s="161">
        <f t="shared" si="32"/>
        <v>14.181662113346928</v>
      </c>
      <c r="G54" s="161">
        <f t="shared" si="32"/>
        <v>41.822596044722843</v>
      </c>
      <c r="H54" s="170">
        <f t="shared" si="33"/>
        <v>436.20967674645925</v>
      </c>
      <c r="I54" s="161">
        <f t="shared" si="34"/>
        <v>69.83</v>
      </c>
      <c r="J54" s="161">
        <f t="shared" si="35"/>
        <v>20.948999999999998</v>
      </c>
      <c r="K54" s="161">
        <f t="shared" si="35"/>
        <v>27.932000000000002</v>
      </c>
      <c r="L54" s="161">
        <f t="shared" si="36"/>
        <v>11.799873400000001</v>
      </c>
      <c r="M54" s="161">
        <f t="shared" si="36"/>
        <v>7.6792050999999999</v>
      </c>
      <c r="N54" s="161">
        <f t="shared" si="36"/>
        <v>16.917714100000001</v>
      </c>
      <c r="O54" s="170">
        <f t="shared" si="37"/>
        <v>85.277792599999998</v>
      </c>
      <c r="P54" s="170">
        <f t="shared" si="38"/>
        <v>521.48746934645919</v>
      </c>
      <c r="Q54" s="161">
        <f t="shared" si="39"/>
        <v>5.2757148982216782</v>
      </c>
    </row>
    <row r="55" spans="2:17" x14ac:dyDescent="0.3">
      <c r="B55" s="82" t="s">
        <v>161</v>
      </c>
      <c r="E55" s="161">
        <v>411.53122920076595</v>
      </c>
      <c r="F55" s="161">
        <f t="shared" si="32"/>
        <v>15.35011484918857</v>
      </c>
      <c r="G55" s="161">
        <f t="shared" si="32"/>
        <v>45.268435212084256</v>
      </c>
      <c r="H55" s="170">
        <f t="shared" si="33"/>
        <v>472.14977926203881</v>
      </c>
      <c r="I55" s="161">
        <f t="shared" si="34"/>
        <v>69.83</v>
      </c>
      <c r="J55" s="161">
        <f t="shared" si="35"/>
        <v>20.948999999999998</v>
      </c>
      <c r="K55" s="161">
        <f t="shared" si="35"/>
        <v>27.932000000000002</v>
      </c>
      <c r="L55" s="161">
        <f t="shared" si="36"/>
        <v>11.799873400000001</v>
      </c>
      <c r="M55" s="161">
        <f t="shared" si="36"/>
        <v>7.6792050999999999</v>
      </c>
      <c r="N55" s="161">
        <f t="shared" si="36"/>
        <v>16.917714100000001</v>
      </c>
      <c r="O55" s="170">
        <f t="shared" si="37"/>
        <v>85.277792599999998</v>
      </c>
      <c r="P55" s="170">
        <f t="shared" si="38"/>
        <v>557.4275718620388</v>
      </c>
      <c r="Q55" s="161">
        <f t="shared" si="39"/>
        <v>5.6393089353376249</v>
      </c>
    </row>
    <row r="56" spans="2:17" x14ac:dyDescent="0.3">
      <c r="B56" s="82" t="s">
        <v>162</v>
      </c>
      <c r="E56" s="161">
        <v>414.39163847178224</v>
      </c>
      <c r="F56" s="161">
        <f t="shared" si="32"/>
        <v>15.456808114997477</v>
      </c>
      <c r="G56" s="161">
        <f t="shared" si="32"/>
        <v>45.583080231896048</v>
      </c>
      <c r="H56" s="170">
        <f t="shared" si="33"/>
        <v>475.43152681867582</v>
      </c>
      <c r="I56" s="161">
        <f t="shared" si="34"/>
        <v>69.83</v>
      </c>
      <c r="J56" s="161">
        <f t="shared" si="35"/>
        <v>20.948999999999998</v>
      </c>
      <c r="K56" s="161">
        <f t="shared" si="35"/>
        <v>27.932000000000002</v>
      </c>
      <c r="L56" s="161">
        <f t="shared" si="36"/>
        <v>11.799873400000001</v>
      </c>
      <c r="M56" s="161">
        <f t="shared" si="36"/>
        <v>7.6792050999999999</v>
      </c>
      <c r="N56" s="161">
        <f t="shared" si="36"/>
        <v>16.917714100000001</v>
      </c>
      <c r="O56" s="170">
        <f t="shared" si="37"/>
        <v>85.277792599999998</v>
      </c>
      <c r="P56" s="170">
        <f t="shared" si="38"/>
        <v>560.70931941867582</v>
      </c>
      <c r="Q56" s="161">
        <f t="shared" si="39"/>
        <v>5.6725092814522702</v>
      </c>
    </row>
    <row r="57" spans="2:17" x14ac:dyDescent="0.3">
      <c r="B57" s="82" t="s">
        <v>163</v>
      </c>
      <c r="E57" s="161">
        <v>441.22307377356577</v>
      </c>
      <c r="F57" s="161">
        <f t="shared" si="32"/>
        <v>16.457620651754002</v>
      </c>
      <c r="G57" s="161">
        <f t="shared" si="32"/>
        <v>48.534538115092232</v>
      </c>
      <c r="H57" s="170">
        <f t="shared" si="33"/>
        <v>506.21523254041199</v>
      </c>
      <c r="I57" s="161">
        <f t="shared" si="34"/>
        <v>69.83</v>
      </c>
      <c r="J57" s="161">
        <f t="shared" si="35"/>
        <v>20.948999999999998</v>
      </c>
      <c r="K57" s="161">
        <f t="shared" si="35"/>
        <v>27.932000000000002</v>
      </c>
      <c r="L57" s="161">
        <f t="shared" si="36"/>
        <v>11.799873400000001</v>
      </c>
      <c r="M57" s="161">
        <f t="shared" si="36"/>
        <v>7.6792050999999999</v>
      </c>
      <c r="N57" s="161">
        <f t="shared" si="36"/>
        <v>16.917714100000001</v>
      </c>
      <c r="O57" s="170">
        <f t="shared" si="37"/>
        <v>85.277792599999998</v>
      </c>
      <c r="P57" s="170">
        <f t="shared" si="38"/>
        <v>591.49302514041199</v>
      </c>
      <c r="Q57" s="161">
        <f t="shared" si="39"/>
        <v>5.9839377710038342</v>
      </c>
    </row>
    <row r="58" spans="2:17" x14ac:dyDescent="0.3">
      <c r="B58" s="82" t="s">
        <v>164</v>
      </c>
      <c r="E58" s="161">
        <v>511.62030063363318</v>
      </c>
      <c r="F58" s="161">
        <f t="shared" si="32"/>
        <v>19.083437213634518</v>
      </c>
      <c r="G58" s="161">
        <f t="shared" si="32"/>
        <v>56.278233069699652</v>
      </c>
      <c r="H58" s="170">
        <f t="shared" si="33"/>
        <v>586.98197091696738</v>
      </c>
      <c r="I58" s="161">
        <f t="shared" si="34"/>
        <v>69.83</v>
      </c>
      <c r="J58" s="161">
        <f t="shared" si="35"/>
        <v>20.948999999999998</v>
      </c>
      <c r="K58" s="161">
        <f t="shared" si="35"/>
        <v>27.932000000000002</v>
      </c>
      <c r="L58" s="161">
        <f t="shared" si="36"/>
        <v>11.799873400000001</v>
      </c>
      <c r="M58" s="161">
        <f t="shared" si="36"/>
        <v>7.6792050999999999</v>
      </c>
      <c r="N58" s="161">
        <f t="shared" si="36"/>
        <v>16.917714100000001</v>
      </c>
      <c r="O58" s="170">
        <f t="shared" si="37"/>
        <v>85.277792599999998</v>
      </c>
      <c r="P58" s="170">
        <f t="shared" si="38"/>
        <v>672.25976351696738</v>
      </c>
      <c r="Q58" s="161">
        <f t="shared" si="39"/>
        <v>6.8010279409133192</v>
      </c>
    </row>
    <row r="59" spans="2:17" x14ac:dyDescent="0.3">
      <c r="B59" s="82" t="s">
        <v>165</v>
      </c>
      <c r="E59" s="161">
        <v>524.33781814225597</v>
      </c>
      <c r="F59" s="161">
        <f t="shared" si="32"/>
        <v>19.557800616706146</v>
      </c>
      <c r="G59" s="161">
        <f t="shared" si="32"/>
        <v>57.677159995648154</v>
      </c>
      <c r="H59" s="170">
        <f t="shared" si="33"/>
        <v>601.57277875461023</v>
      </c>
      <c r="I59" s="161">
        <f t="shared" si="34"/>
        <v>69.83</v>
      </c>
      <c r="J59" s="161">
        <f t="shared" si="35"/>
        <v>20.948999999999998</v>
      </c>
      <c r="K59" s="161">
        <f t="shared" si="35"/>
        <v>27.932000000000002</v>
      </c>
      <c r="L59" s="161">
        <f t="shared" si="36"/>
        <v>11.799873400000001</v>
      </c>
      <c r="M59" s="161">
        <f t="shared" si="36"/>
        <v>7.6792050999999999</v>
      </c>
      <c r="N59" s="161">
        <f t="shared" si="36"/>
        <v>16.917714100000001</v>
      </c>
      <c r="O59" s="170">
        <f t="shared" si="37"/>
        <v>85.277792599999998</v>
      </c>
      <c r="P59" s="170">
        <f t="shared" si="38"/>
        <v>686.85057135461022</v>
      </c>
      <c r="Q59" s="161">
        <f t="shared" si="39"/>
        <v>6.9486382802041398</v>
      </c>
    </row>
    <row r="60" spans="2:17" x14ac:dyDescent="0.3">
      <c r="B60" s="82" t="s">
        <v>166</v>
      </c>
      <c r="E60" s="161">
        <v>120.21441829517467</v>
      </c>
      <c r="F60" s="161">
        <f t="shared" si="32"/>
        <v>4.4839978024100153</v>
      </c>
      <c r="G60" s="161">
        <f t="shared" si="32"/>
        <v>13.223586012469214</v>
      </c>
      <c r="H60" s="170">
        <f t="shared" ref="H60:H72" si="40">SUM(E60:G60)</f>
        <v>137.92200211005391</v>
      </c>
      <c r="I60" s="161">
        <f t="shared" si="34"/>
        <v>69.83</v>
      </c>
      <c r="J60" s="161">
        <f t="shared" si="35"/>
        <v>20.948999999999998</v>
      </c>
      <c r="K60" s="161">
        <f t="shared" si="35"/>
        <v>27.932000000000002</v>
      </c>
      <c r="L60" s="161">
        <f t="shared" si="36"/>
        <v>11.799873400000001</v>
      </c>
      <c r="M60" s="161">
        <f t="shared" si="36"/>
        <v>7.6792050999999999</v>
      </c>
      <c r="N60" s="161">
        <f t="shared" si="36"/>
        <v>16.917714100000001</v>
      </c>
      <c r="O60" s="170">
        <f t="shared" ref="O60:O72" si="41">SUM(J60:N60)</f>
        <v>85.277792599999998</v>
      </c>
      <c r="P60" s="170">
        <f t="shared" ref="P60:P72" si="42">+O60+H60</f>
        <v>223.19979471005391</v>
      </c>
      <c r="Q60" s="161">
        <f t="shared" si="39"/>
        <v>2.2580379231500451</v>
      </c>
    </row>
    <row r="61" spans="2:17" x14ac:dyDescent="0.3">
      <c r="B61" s="82" t="s">
        <v>167</v>
      </c>
      <c r="E61" s="161">
        <v>65.510961583485567</v>
      </c>
      <c r="F61" s="161">
        <f t="shared" si="32"/>
        <v>2.4435588670640116</v>
      </c>
      <c r="G61" s="161">
        <f t="shared" si="32"/>
        <v>7.2062057741834122</v>
      </c>
      <c r="H61" s="170">
        <f t="shared" si="40"/>
        <v>75.160726224732997</v>
      </c>
      <c r="I61" s="161">
        <f t="shared" si="34"/>
        <v>69.83</v>
      </c>
      <c r="J61" s="161">
        <f t="shared" si="35"/>
        <v>20.948999999999998</v>
      </c>
      <c r="K61" s="161">
        <f t="shared" si="35"/>
        <v>27.932000000000002</v>
      </c>
      <c r="L61" s="161">
        <f t="shared" si="36"/>
        <v>11.799873400000001</v>
      </c>
      <c r="M61" s="161">
        <f t="shared" si="36"/>
        <v>7.6792050999999999</v>
      </c>
      <c r="N61" s="161">
        <f t="shared" si="36"/>
        <v>16.917714100000001</v>
      </c>
      <c r="O61" s="170">
        <f t="shared" si="41"/>
        <v>85.277792599999998</v>
      </c>
      <c r="P61" s="170">
        <f t="shared" si="42"/>
        <v>160.43851882473299</v>
      </c>
      <c r="Q61" s="161">
        <f t="shared" si="39"/>
        <v>1.6231030154435488</v>
      </c>
    </row>
    <row r="62" spans="2:17" x14ac:dyDescent="0.3">
      <c r="B62" s="82" t="s">
        <v>168</v>
      </c>
      <c r="E62" s="161">
        <v>99.128252903911772</v>
      </c>
      <c r="F62" s="161">
        <f t="shared" si="32"/>
        <v>3.6974838333159092</v>
      </c>
      <c r="G62" s="161">
        <f t="shared" si="32"/>
        <v>10.904107819430296</v>
      </c>
      <c r="H62" s="170">
        <f t="shared" si="40"/>
        <v>113.72984455665798</v>
      </c>
      <c r="I62" s="161">
        <f t="shared" si="34"/>
        <v>69.83</v>
      </c>
      <c r="J62" s="161">
        <f t="shared" si="35"/>
        <v>20.948999999999998</v>
      </c>
      <c r="K62" s="161">
        <f t="shared" si="35"/>
        <v>27.932000000000002</v>
      </c>
      <c r="L62" s="161">
        <f t="shared" si="36"/>
        <v>11.799873400000001</v>
      </c>
      <c r="M62" s="161">
        <f t="shared" si="36"/>
        <v>7.6792050999999999</v>
      </c>
      <c r="N62" s="161">
        <f t="shared" si="36"/>
        <v>16.917714100000001</v>
      </c>
      <c r="O62" s="170">
        <f t="shared" si="41"/>
        <v>85.277792599999998</v>
      </c>
      <c r="P62" s="170">
        <f t="shared" si="42"/>
        <v>199.00763715665798</v>
      </c>
      <c r="Q62" s="161">
        <f t="shared" si="39"/>
        <v>2.0132939292348566</v>
      </c>
    </row>
    <row r="63" spans="2:17" x14ac:dyDescent="0.3">
      <c r="B63" s="82" t="s">
        <v>169</v>
      </c>
      <c r="E63" s="161">
        <v>139.57322143607797</v>
      </c>
      <c r="F63" s="161">
        <f t="shared" ref="F63:G72" si="43">+$E63*F$9</f>
        <v>5.2060811595657084</v>
      </c>
      <c r="G63" s="161">
        <f t="shared" si="43"/>
        <v>15.353054357968578</v>
      </c>
      <c r="H63" s="170">
        <f t="shared" si="40"/>
        <v>160.13235695361226</v>
      </c>
      <c r="I63" s="161">
        <f t="shared" si="34"/>
        <v>69.83</v>
      </c>
      <c r="J63" s="161">
        <f t="shared" ref="J63:K72" si="44">+$I63*J$9</f>
        <v>20.948999999999998</v>
      </c>
      <c r="K63" s="161">
        <f t="shared" si="44"/>
        <v>27.932000000000002</v>
      </c>
      <c r="L63" s="161">
        <f t="shared" ref="L63:N72" si="45">($J63+$K63)*L$9</f>
        <v>11.799873400000001</v>
      </c>
      <c r="M63" s="161">
        <f t="shared" si="45"/>
        <v>7.6792050999999999</v>
      </c>
      <c r="N63" s="161">
        <f t="shared" si="45"/>
        <v>16.917714100000001</v>
      </c>
      <c r="O63" s="170">
        <f t="shared" si="41"/>
        <v>85.277792599999998</v>
      </c>
      <c r="P63" s="170">
        <f t="shared" si="42"/>
        <v>245.41014955361226</v>
      </c>
      <c r="Q63" s="161">
        <f t="shared" si="39"/>
        <v>2.4827326796507108</v>
      </c>
    </row>
    <row r="64" spans="2:17" x14ac:dyDescent="0.3">
      <c r="B64" s="82" t="s">
        <v>170</v>
      </c>
      <c r="E64" s="161">
        <v>125.20276469484395</v>
      </c>
      <c r="F64" s="161">
        <f t="shared" si="43"/>
        <v>4.6700631231176795</v>
      </c>
      <c r="G64" s="161">
        <f t="shared" si="43"/>
        <v>13.772304116432835</v>
      </c>
      <c r="H64" s="170">
        <f t="shared" si="40"/>
        <v>143.64513193439444</v>
      </c>
      <c r="I64" s="161">
        <f t="shared" si="34"/>
        <v>69.83</v>
      </c>
      <c r="J64" s="161">
        <f t="shared" si="44"/>
        <v>20.948999999999998</v>
      </c>
      <c r="K64" s="161">
        <f t="shared" si="44"/>
        <v>27.932000000000002</v>
      </c>
      <c r="L64" s="161">
        <f t="shared" si="45"/>
        <v>11.799873400000001</v>
      </c>
      <c r="M64" s="161">
        <f t="shared" si="45"/>
        <v>7.6792050999999999</v>
      </c>
      <c r="N64" s="161">
        <f t="shared" si="45"/>
        <v>16.917714100000001</v>
      </c>
      <c r="O64" s="170">
        <f t="shared" si="41"/>
        <v>85.277792599999998</v>
      </c>
      <c r="P64" s="170">
        <f t="shared" si="42"/>
        <v>228.92292453439444</v>
      </c>
      <c r="Q64" s="161">
        <f t="shared" si="39"/>
        <v>2.3159369198729567</v>
      </c>
    </row>
    <row r="65" spans="1:17" x14ac:dyDescent="0.3">
      <c r="B65" s="82" t="s">
        <v>171</v>
      </c>
      <c r="E65" s="161">
        <v>136.25932612872816</v>
      </c>
      <c r="F65" s="161">
        <f t="shared" si="43"/>
        <v>5.0824728646015602</v>
      </c>
      <c r="G65" s="161">
        <f t="shared" si="43"/>
        <v>14.988525874160098</v>
      </c>
      <c r="H65" s="170">
        <f t="shared" si="40"/>
        <v>156.33032486748982</v>
      </c>
      <c r="I65" s="161">
        <f t="shared" si="34"/>
        <v>69.83</v>
      </c>
      <c r="J65" s="161">
        <f t="shared" si="44"/>
        <v>20.948999999999998</v>
      </c>
      <c r="K65" s="161">
        <f t="shared" si="44"/>
        <v>27.932000000000002</v>
      </c>
      <c r="L65" s="161">
        <f t="shared" si="45"/>
        <v>11.799873400000001</v>
      </c>
      <c r="M65" s="161">
        <f t="shared" si="45"/>
        <v>7.6792050999999999</v>
      </c>
      <c r="N65" s="161">
        <f t="shared" si="45"/>
        <v>16.917714100000001</v>
      </c>
      <c r="O65" s="170">
        <f t="shared" si="41"/>
        <v>85.277792599999998</v>
      </c>
      <c r="P65" s="170">
        <f t="shared" si="42"/>
        <v>241.60811746748982</v>
      </c>
      <c r="Q65" s="161">
        <f t="shared" si="39"/>
        <v>2.4442687883794387</v>
      </c>
    </row>
    <row r="66" spans="1:17" x14ac:dyDescent="0.3">
      <c r="B66" s="82" t="s">
        <v>172</v>
      </c>
      <c r="E66" s="161">
        <v>261.72317264885078</v>
      </c>
      <c r="F66" s="161">
        <f t="shared" si="43"/>
        <v>9.7622743398021345</v>
      </c>
      <c r="G66" s="161">
        <f t="shared" si="43"/>
        <v>28.789548991373586</v>
      </c>
      <c r="H66" s="170">
        <f t="shared" si="40"/>
        <v>300.27499598002652</v>
      </c>
      <c r="I66" s="161">
        <f t="shared" si="34"/>
        <v>69.83</v>
      </c>
      <c r="J66" s="161">
        <f t="shared" si="44"/>
        <v>20.948999999999998</v>
      </c>
      <c r="K66" s="161">
        <f t="shared" si="44"/>
        <v>27.932000000000002</v>
      </c>
      <c r="L66" s="161">
        <f t="shared" si="45"/>
        <v>11.799873400000001</v>
      </c>
      <c r="M66" s="161">
        <f t="shared" si="45"/>
        <v>7.6792050999999999</v>
      </c>
      <c r="N66" s="161">
        <f t="shared" si="45"/>
        <v>16.917714100000001</v>
      </c>
      <c r="O66" s="170">
        <f t="shared" si="41"/>
        <v>85.277792599999998</v>
      </c>
      <c r="P66" s="170">
        <f t="shared" si="42"/>
        <v>385.55278858002652</v>
      </c>
      <c r="Q66" s="161">
        <f t="shared" si="39"/>
        <v>3.9005090444679347</v>
      </c>
    </row>
    <row r="67" spans="1:17" x14ac:dyDescent="0.3">
      <c r="B67" s="82" t="s">
        <v>173</v>
      </c>
      <c r="E67" s="161">
        <v>610.17521571140844</v>
      </c>
      <c r="F67" s="161">
        <f t="shared" si="43"/>
        <v>22.759535546035536</v>
      </c>
      <c r="G67" s="161">
        <f t="shared" si="43"/>
        <v>67.119273728254925</v>
      </c>
      <c r="H67" s="170">
        <f t="shared" si="40"/>
        <v>700.0540249856989</v>
      </c>
      <c r="I67" s="161">
        <f t="shared" si="34"/>
        <v>69.83</v>
      </c>
      <c r="J67" s="161">
        <f t="shared" si="44"/>
        <v>20.948999999999998</v>
      </c>
      <c r="K67" s="161">
        <f t="shared" si="44"/>
        <v>27.932000000000002</v>
      </c>
      <c r="L67" s="161">
        <f t="shared" si="45"/>
        <v>11.799873400000001</v>
      </c>
      <c r="M67" s="161">
        <f t="shared" si="45"/>
        <v>7.6792050999999999</v>
      </c>
      <c r="N67" s="161">
        <f t="shared" si="45"/>
        <v>16.917714100000001</v>
      </c>
      <c r="O67" s="170">
        <f t="shared" si="41"/>
        <v>85.277792599999998</v>
      </c>
      <c r="P67" s="170">
        <f t="shared" si="42"/>
        <v>785.3318175856989</v>
      </c>
      <c r="Q67" s="161">
        <f t="shared" si="39"/>
        <v>7.9449402212419864</v>
      </c>
    </row>
    <row r="68" spans="1:17" x14ac:dyDescent="0.3">
      <c r="B68" s="82" t="s">
        <v>174</v>
      </c>
      <c r="E68" s="161">
        <v>674.75087904671045</v>
      </c>
      <c r="F68" s="161">
        <f t="shared" si="43"/>
        <v>25.168207788442299</v>
      </c>
      <c r="G68" s="161">
        <f t="shared" si="43"/>
        <v>74.222596695138151</v>
      </c>
      <c r="H68" s="170">
        <f t="shared" si="40"/>
        <v>774.14168353029083</v>
      </c>
      <c r="I68" s="161">
        <f t="shared" si="34"/>
        <v>69.83</v>
      </c>
      <c r="J68" s="161">
        <f t="shared" si="44"/>
        <v>20.948999999999998</v>
      </c>
      <c r="K68" s="161">
        <f t="shared" si="44"/>
        <v>27.932000000000002</v>
      </c>
      <c r="L68" s="161">
        <f t="shared" si="45"/>
        <v>11.799873400000001</v>
      </c>
      <c r="M68" s="161">
        <f t="shared" si="45"/>
        <v>7.6792050999999999</v>
      </c>
      <c r="N68" s="161">
        <f t="shared" si="45"/>
        <v>16.917714100000001</v>
      </c>
      <c r="O68" s="170">
        <f t="shared" si="41"/>
        <v>85.277792599999998</v>
      </c>
      <c r="P68" s="170">
        <f t="shared" si="42"/>
        <v>859.41947613029083</v>
      </c>
      <c r="Q68" s="161">
        <f t="shared" si="39"/>
        <v>8.6944603668514429</v>
      </c>
    </row>
    <row r="69" spans="1:17" x14ac:dyDescent="0.3">
      <c r="B69" s="82" t="s">
        <v>175</v>
      </c>
      <c r="E69" s="161">
        <v>1274.9184035025546</v>
      </c>
      <c r="F69" s="161">
        <f t="shared" si="43"/>
        <v>47.55445645064529</v>
      </c>
      <c r="G69" s="161">
        <f t="shared" si="43"/>
        <v>140.24102438528101</v>
      </c>
      <c r="H69" s="170">
        <f t="shared" si="40"/>
        <v>1462.713884338481</v>
      </c>
      <c r="I69" s="161">
        <f t="shared" si="34"/>
        <v>69.83</v>
      </c>
      <c r="J69" s="161">
        <f t="shared" si="44"/>
        <v>20.948999999999998</v>
      </c>
      <c r="K69" s="161">
        <f t="shared" si="44"/>
        <v>27.932000000000002</v>
      </c>
      <c r="L69" s="161">
        <f t="shared" si="45"/>
        <v>11.799873400000001</v>
      </c>
      <c r="M69" s="161">
        <f t="shared" si="45"/>
        <v>7.6792050999999999</v>
      </c>
      <c r="N69" s="161">
        <f t="shared" si="45"/>
        <v>16.917714100000001</v>
      </c>
      <c r="O69" s="170">
        <f t="shared" si="41"/>
        <v>85.277792599999998</v>
      </c>
      <c r="P69" s="170">
        <f t="shared" si="42"/>
        <v>1547.9916769384809</v>
      </c>
      <c r="Q69" s="161">
        <f t="shared" si="39"/>
        <v>15.660515798360963</v>
      </c>
    </row>
    <row r="70" spans="1:17" x14ac:dyDescent="0.3">
      <c r="B70" s="82" t="s">
        <v>176</v>
      </c>
      <c r="E70" s="161">
        <v>652.69480937208118</v>
      </c>
      <c r="F70" s="161">
        <f t="shared" si="43"/>
        <v>24.345516389578627</v>
      </c>
      <c r="G70" s="161">
        <f t="shared" si="43"/>
        <v>71.796429030928934</v>
      </c>
      <c r="H70" s="170">
        <f t="shared" si="40"/>
        <v>748.83675479258875</v>
      </c>
      <c r="I70" s="161">
        <f t="shared" si="34"/>
        <v>69.83</v>
      </c>
      <c r="J70" s="161">
        <f t="shared" si="44"/>
        <v>20.948999999999998</v>
      </c>
      <c r="K70" s="161">
        <f t="shared" si="44"/>
        <v>27.932000000000002</v>
      </c>
      <c r="L70" s="161">
        <f t="shared" si="45"/>
        <v>11.799873400000001</v>
      </c>
      <c r="M70" s="161">
        <f t="shared" si="45"/>
        <v>7.6792050999999999</v>
      </c>
      <c r="N70" s="161">
        <f t="shared" si="45"/>
        <v>16.917714100000001</v>
      </c>
      <c r="O70" s="170">
        <f t="shared" si="41"/>
        <v>85.277792599999998</v>
      </c>
      <c r="P70" s="170">
        <f t="shared" si="42"/>
        <v>834.11454739258875</v>
      </c>
      <c r="Q70" s="161">
        <f t="shared" si="39"/>
        <v>8.4384588377883549</v>
      </c>
    </row>
    <row r="71" spans="1:17" x14ac:dyDescent="0.3">
      <c r="B71" s="82" t="s">
        <v>177</v>
      </c>
      <c r="E71" s="161">
        <v>29.319328641951845</v>
      </c>
      <c r="F71" s="161">
        <f t="shared" si="43"/>
        <v>1.0936109583448037</v>
      </c>
      <c r="G71" s="161">
        <f t="shared" si="43"/>
        <v>3.2251261506147029</v>
      </c>
      <c r="H71" s="170">
        <f t="shared" si="40"/>
        <v>33.638065750911352</v>
      </c>
      <c r="I71" s="161">
        <f t="shared" si="34"/>
        <v>69.83</v>
      </c>
      <c r="J71" s="161">
        <f t="shared" si="44"/>
        <v>20.948999999999998</v>
      </c>
      <c r="K71" s="161">
        <f t="shared" si="44"/>
        <v>27.932000000000002</v>
      </c>
      <c r="L71" s="161">
        <f t="shared" si="45"/>
        <v>11.799873400000001</v>
      </c>
      <c r="M71" s="161">
        <f t="shared" si="45"/>
        <v>7.6792050999999999</v>
      </c>
      <c r="N71" s="161">
        <f t="shared" si="45"/>
        <v>16.917714100000001</v>
      </c>
      <c r="O71" s="170">
        <f t="shared" si="41"/>
        <v>85.277792599999998</v>
      </c>
      <c r="P71" s="170">
        <f t="shared" si="42"/>
        <v>118.91585835091135</v>
      </c>
      <c r="Q71" s="161">
        <f t="shared" si="39"/>
        <v>1.2030321003167197</v>
      </c>
    </row>
    <row r="72" spans="1:17" x14ac:dyDescent="0.3">
      <c r="B72" s="82" t="s">
        <v>178</v>
      </c>
      <c r="E72" s="161">
        <v>41.906572466006182</v>
      </c>
      <c r="F72" s="161">
        <f t="shared" si="43"/>
        <v>1.5631151529820306</v>
      </c>
      <c r="G72" s="161">
        <f t="shared" si="43"/>
        <v>4.6097229712606804</v>
      </c>
      <c r="H72" s="170">
        <f t="shared" si="40"/>
        <v>48.079410590248891</v>
      </c>
      <c r="I72" s="161">
        <f t="shared" si="34"/>
        <v>69.83</v>
      </c>
      <c r="J72" s="161">
        <f t="shared" si="44"/>
        <v>20.948999999999998</v>
      </c>
      <c r="K72" s="161">
        <f t="shared" si="44"/>
        <v>27.932000000000002</v>
      </c>
      <c r="L72" s="161">
        <f t="shared" si="45"/>
        <v>11.799873400000001</v>
      </c>
      <c r="M72" s="161">
        <f t="shared" si="45"/>
        <v>7.6792050999999999</v>
      </c>
      <c r="N72" s="161">
        <f t="shared" si="45"/>
        <v>16.917714100000001</v>
      </c>
      <c r="O72" s="170">
        <f t="shared" si="41"/>
        <v>85.277792599999998</v>
      </c>
      <c r="P72" s="170">
        <f t="shared" si="42"/>
        <v>133.3572031902489</v>
      </c>
      <c r="Q72" s="161">
        <f t="shared" si="39"/>
        <v>1.3491303722746846</v>
      </c>
    </row>
    <row r="74" spans="1:17" x14ac:dyDescent="0.3">
      <c r="A74" s="159" t="s">
        <v>179</v>
      </c>
      <c r="Q74" s="175">
        <f>+'LFCR as Filed'!$D$48</f>
        <v>0.12139999999999999</v>
      </c>
    </row>
    <row r="75" spans="1:17" x14ac:dyDescent="0.3">
      <c r="B75" s="82" t="s">
        <v>180</v>
      </c>
      <c r="E75" s="161">
        <v>104.21894765473944</v>
      </c>
      <c r="F75" s="161">
        <f t="shared" ref="F75:G81" si="46">+$E75*F$9</f>
        <v>3.887366747521781</v>
      </c>
      <c r="G75" s="161">
        <f t="shared" si="46"/>
        <v>11.464084242021338</v>
      </c>
      <c r="H75" s="170">
        <f t="shared" ref="H75:H81" si="47">SUM(E75:G75)</f>
        <v>119.57039864428256</v>
      </c>
      <c r="I75" s="161">
        <f t="shared" ref="I75:I81" si="48">+$I$10</f>
        <v>69.83</v>
      </c>
      <c r="J75" s="161">
        <f t="shared" ref="J75:K81" si="49">+$I75*J$9</f>
        <v>20.948999999999998</v>
      </c>
      <c r="K75" s="161">
        <f t="shared" si="49"/>
        <v>27.932000000000002</v>
      </c>
      <c r="L75" s="161">
        <f t="shared" ref="L75:N81" si="50">($J75+$K75)*L$9</f>
        <v>11.799873400000001</v>
      </c>
      <c r="M75" s="161">
        <f t="shared" si="50"/>
        <v>7.6792050999999999</v>
      </c>
      <c r="N75" s="161">
        <f t="shared" si="50"/>
        <v>16.917714100000001</v>
      </c>
      <c r="O75" s="170">
        <f t="shared" ref="O75:O81" si="51">SUM(J75:N75)</f>
        <v>85.277792599999998</v>
      </c>
      <c r="P75" s="170">
        <f t="shared" ref="P75:P81" si="52">+O75+H75</f>
        <v>204.84819124428256</v>
      </c>
      <c r="Q75" s="161">
        <f>+P75*$Q$74/12</f>
        <v>2.072380868087992</v>
      </c>
    </row>
    <row r="76" spans="1:17" x14ac:dyDescent="0.3">
      <c r="B76" s="82" t="s">
        <v>181</v>
      </c>
      <c r="E76" s="161">
        <v>73.487719500136777</v>
      </c>
      <c r="F76" s="161">
        <f t="shared" si="46"/>
        <v>2.7410919373551019</v>
      </c>
      <c r="G76" s="161">
        <f t="shared" si="46"/>
        <v>8.0836491450150447</v>
      </c>
      <c r="H76" s="170">
        <f t="shared" si="47"/>
        <v>84.31246058250693</v>
      </c>
      <c r="I76" s="161">
        <f t="shared" si="48"/>
        <v>69.83</v>
      </c>
      <c r="J76" s="161">
        <f t="shared" si="49"/>
        <v>20.948999999999998</v>
      </c>
      <c r="K76" s="161">
        <f t="shared" si="49"/>
        <v>27.932000000000002</v>
      </c>
      <c r="L76" s="161">
        <f t="shared" si="50"/>
        <v>11.799873400000001</v>
      </c>
      <c r="M76" s="161">
        <f t="shared" si="50"/>
        <v>7.6792050999999999</v>
      </c>
      <c r="N76" s="161">
        <f t="shared" si="50"/>
        <v>16.917714100000001</v>
      </c>
      <c r="O76" s="170">
        <f t="shared" si="51"/>
        <v>85.277792599999998</v>
      </c>
      <c r="P76" s="170">
        <f t="shared" si="52"/>
        <v>169.59025318250693</v>
      </c>
      <c r="Q76" s="161">
        <f t="shared" ref="Q76:Q81" si="53">+P76*$Q$74/12</f>
        <v>1.7156880613630283</v>
      </c>
    </row>
    <row r="77" spans="1:17" x14ac:dyDescent="0.3">
      <c r="B77" s="82" t="s">
        <v>182</v>
      </c>
      <c r="E77" s="161">
        <v>4.75</v>
      </c>
      <c r="F77" s="161">
        <f t="shared" si="46"/>
        <v>0.177175</v>
      </c>
      <c r="G77" s="161">
        <f t="shared" si="46"/>
        <v>0.52249999999999996</v>
      </c>
      <c r="H77" s="170">
        <f t="shared" si="47"/>
        <v>5.449675</v>
      </c>
      <c r="I77" s="161">
        <f t="shared" si="48"/>
        <v>69.83</v>
      </c>
      <c r="J77" s="161">
        <f t="shared" si="49"/>
        <v>20.948999999999998</v>
      </c>
      <c r="K77" s="161">
        <f t="shared" si="49"/>
        <v>27.932000000000002</v>
      </c>
      <c r="L77" s="161">
        <f t="shared" si="50"/>
        <v>11.799873400000001</v>
      </c>
      <c r="M77" s="161">
        <f t="shared" si="50"/>
        <v>7.6792050999999999</v>
      </c>
      <c r="N77" s="161">
        <f t="shared" si="50"/>
        <v>16.917714100000001</v>
      </c>
      <c r="O77" s="170">
        <f t="shared" si="51"/>
        <v>85.277792599999998</v>
      </c>
      <c r="P77" s="170">
        <f t="shared" si="52"/>
        <v>90.727467599999997</v>
      </c>
      <c r="Q77" s="161">
        <f t="shared" si="53"/>
        <v>0.91785954721999996</v>
      </c>
    </row>
    <row r="78" spans="1:17" x14ac:dyDescent="0.3">
      <c r="B78" s="82" t="s">
        <v>183</v>
      </c>
      <c r="E78" s="161">
        <v>8.08</v>
      </c>
      <c r="F78" s="161">
        <f t="shared" si="46"/>
        <v>0.30138399999999999</v>
      </c>
      <c r="G78" s="161">
        <f t="shared" si="46"/>
        <v>0.88880000000000003</v>
      </c>
      <c r="H78" s="170">
        <f t="shared" si="47"/>
        <v>9.2701840000000004</v>
      </c>
      <c r="I78" s="161">
        <f t="shared" si="48"/>
        <v>69.83</v>
      </c>
      <c r="J78" s="161">
        <f t="shared" si="49"/>
        <v>20.948999999999998</v>
      </c>
      <c r="K78" s="161">
        <f t="shared" si="49"/>
        <v>27.932000000000002</v>
      </c>
      <c r="L78" s="161">
        <f t="shared" si="50"/>
        <v>11.799873400000001</v>
      </c>
      <c r="M78" s="161">
        <f t="shared" si="50"/>
        <v>7.6792050999999999</v>
      </c>
      <c r="N78" s="161">
        <f t="shared" si="50"/>
        <v>16.917714100000001</v>
      </c>
      <c r="O78" s="170">
        <f t="shared" si="51"/>
        <v>85.277792599999998</v>
      </c>
      <c r="P78" s="170">
        <f t="shared" si="52"/>
        <v>94.547976599999998</v>
      </c>
      <c r="Q78" s="161">
        <f t="shared" si="53"/>
        <v>0.95651036326999994</v>
      </c>
    </row>
    <row r="79" spans="1:17" x14ac:dyDescent="0.3">
      <c r="B79" s="82" t="s">
        <v>184</v>
      </c>
      <c r="E79" s="161">
        <v>2.11</v>
      </c>
      <c r="F79" s="161">
        <f t="shared" si="46"/>
        <v>7.8702999999999995E-2</v>
      </c>
      <c r="G79" s="161">
        <f t="shared" si="46"/>
        <v>0.2321</v>
      </c>
      <c r="H79" s="170">
        <f t="shared" si="47"/>
        <v>2.4208029999999998</v>
      </c>
      <c r="I79" s="161">
        <f t="shared" si="48"/>
        <v>69.83</v>
      </c>
      <c r="J79" s="161">
        <f t="shared" si="49"/>
        <v>20.948999999999998</v>
      </c>
      <c r="K79" s="161">
        <f t="shared" si="49"/>
        <v>27.932000000000002</v>
      </c>
      <c r="L79" s="161">
        <f t="shared" si="50"/>
        <v>11.799873400000001</v>
      </c>
      <c r="M79" s="161">
        <f t="shared" si="50"/>
        <v>7.6792050999999999</v>
      </c>
      <c r="N79" s="161">
        <f t="shared" si="50"/>
        <v>16.917714100000001</v>
      </c>
      <c r="O79" s="170">
        <f t="shared" si="51"/>
        <v>85.277792599999998</v>
      </c>
      <c r="P79" s="170">
        <f t="shared" si="52"/>
        <v>87.698595600000004</v>
      </c>
      <c r="Q79" s="161">
        <f t="shared" si="53"/>
        <v>0.88721745882000003</v>
      </c>
    </row>
    <row r="80" spans="1:17" x14ac:dyDescent="0.3">
      <c r="B80" s="82" t="s">
        <v>185</v>
      </c>
      <c r="E80" s="161">
        <v>20.84</v>
      </c>
      <c r="F80" s="161">
        <f t="shared" si="46"/>
        <v>0.77733200000000002</v>
      </c>
      <c r="G80" s="161">
        <f t="shared" si="46"/>
        <v>2.2924000000000002</v>
      </c>
      <c r="H80" s="170">
        <f t="shared" si="47"/>
        <v>23.909732000000002</v>
      </c>
      <c r="I80" s="161">
        <f t="shared" si="48"/>
        <v>69.83</v>
      </c>
      <c r="J80" s="161">
        <f t="shared" si="49"/>
        <v>20.948999999999998</v>
      </c>
      <c r="K80" s="161">
        <f t="shared" si="49"/>
        <v>27.932000000000002</v>
      </c>
      <c r="L80" s="161">
        <f t="shared" si="50"/>
        <v>11.799873400000001</v>
      </c>
      <c r="M80" s="161">
        <f t="shared" si="50"/>
        <v>7.6792050999999999</v>
      </c>
      <c r="N80" s="161">
        <f t="shared" si="50"/>
        <v>16.917714100000001</v>
      </c>
      <c r="O80" s="170">
        <f t="shared" si="51"/>
        <v>85.277792599999998</v>
      </c>
      <c r="P80" s="170">
        <f t="shared" si="52"/>
        <v>109.1875246</v>
      </c>
      <c r="Q80" s="161">
        <f t="shared" si="53"/>
        <v>1.1046137905366666</v>
      </c>
    </row>
    <row r="81" spans="2:17" x14ac:dyDescent="0.3">
      <c r="B81" s="82" t="s">
        <v>186</v>
      </c>
      <c r="E81" s="161">
        <v>1.45</v>
      </c>
      <c r="F81" s="161">
        <f t="shared" si="46"/>
        <v>5.4085000000000001E-2</v>
      </c>
      <c r="G81" s="161">
        <f t="shared" si="46"/>
        <v>0.1595</v>
      </c>
      <c r="H81" s="170">
        <f t="shared" si="47"/>
        <v>1.6635849999999999</v>
      </c>
      <c r="I81" s="161">
        <f t="shared" si="48"/>
        <v>69.83</v>
      </c>
      <c r="J81" s="161">
        <f t="shared" si="49"/>
        <v>20.948999999999998</v>
      </c>
      <c r="K81" s="161">
        <f t="shared" si="49"/>
        <v>27.932000000000002</v>
      </c>
      <c r="L81" s="161">
        <f t="shared" si="50"/>
        <v>11.799873400000001</v>
      </c>
      <c r="M81" s="161">
        <f t="shared" si="50"/>
        <v>7.6792050999999999</v>
      </c>
      <c r="N81" s="161">
        <f t="shared" si="50"/>
        <v>16.917714100000001</v>
      </c>
      <c r="O81" s="170">
        <f t="shared" si="51"/>
        <v>85.277792599999998</v>
      </c>
      <c r="P81" s="170">
        <f t="shared" si="52"/>
        <v>86.941377599999996</v>
      </c>
      <c r="Q81" s="161">
        <f t="shared" si="53"/>
        <v>0.8795569367199999</v>
      </c>
    </row>
  </sheetData>
  <pageMargins left="0.5" right="0.5" top="1.5" bottom="0.5" header="0.5" footer="0.5"/>
  <pageSetup scale="58" fitToHeight="0" orientation="landscape" r:id="rId1"/>
  <headerFooter alignWithMargins="0">
    <oddHeader>&amp;R&amp;"Times New Roman,Bold"KyPSC Case No. 2019-00271
STAFF-RHDR-01-014 Attachment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23AEC-0DBD-49E0-AD7A-C14967B751D1}">
  <sheetPr transitionEvaluation="1" transitionEntry="1">
    <tabColor rgb="FF00B0F0"/>
  </sheetPr>
  <dimension ref="A1:H55"/>
  <sheetViews>
    <sheetView showGridLines="0" view="pageLayout" zoomScaleNormal="80" workbookViewId="0">
      <selection activeCell="G37" sqref="G37"/>
    </sheetView>
  </sheetViews>
  <sheetFormatPr defaultColWidth="2.54296875" defaultRowHeight="15.6" x14ac:dyDescent="0.3"/>
  <cols>
    <col min="1" max="1" width="10.26953125" style="82" customWidth="1"/>
    <col min="2" max="2" width="8.453125" style="82" bestFit="1" customWidth="1"/>
    <col min="3" max="3" width="41" style="82" bestFit="1" customWidth="1"/>
    <col min="4" max="4" width="9.81640625" style="82" bestFit="1" customWidth="1"/>
    <col min="5" max="5" width="16.81640625" style="82" customWidth="1"/>
    <col min="6" max="6" width="10.08984375" style="82" customWidth="1"/>
    <col min="7" max="7" width="17.81640625" style="82" customWidth="1"/>
    <col min="8" max="8" width="12.7265625" style="82" bestFit="1" customWidth="1"/>
    <col min="9" max="16384" width="2.54296875" style="82"/>
  </cols>
  <sheetData>
    <row r="1" spans="1:8" ht="25.8" x14ac:dyDescent="0.5">
      <c r="A1" s="80" t="s">
        <v>79</v>
      </c>
      <c r="B1" s="81"/>
      <c r="C1" s="81"/>
      <c r="D1" s="81"/>
      <c r="E1" s="81"/>
      <c r="F1" s="81"/>
      <c r="G1" s="81"/>
      <c r="H1" s="81"/>
    </row>
    <row r="2" spans="1:8" x14ac:dyDescent="0.3">
      <c r="A2" s="83" t="s">
        <v>80</v>
      </c>
      <c r="B2" s="81"/>
      <c r="C2" s="81"/>
      <c r="D2" s="81"/>
      <c r="E2" s="81"/>
      <c r="F2" s="81"/>
      <c r="G2" s="81"/>
      <c r="H2" s="81"/>
    </row>
    <row r="3" spans="1:8" x14ac:dyDescent="0.3">
      <c r="A3" s="81" t="s">
        <v>188</v>
      </c>
      <c r="B3" s="81"/>
      <c r="C3" s="81"/>
      <c r="D3" s="81"/>
      <c r="E3" s="81"/>
      <c r="F3" s="81"/>
      <c r="G3" s="81"/>
      <c r="H3" s="81"/>
    </row>
    <row r="4" spans="1:8" x14ac:dyDescent="0.3">
      <c r="A4" s="84"/>
      <c r="B4" s="81"/>
      <c r="C4" s="81"/>
      <c r="D4" s="81"/>
      <c r="E4" s="81"/>
      <c r="F4" s="81"/>
      <c r="G4" s="81"/>
      <c r="H4" s="81"/>
    </row>
    <row r="5" spans="1:8" x14ac:dyDescent="0.3">
      <c r="A5" s="134" t="str">
        <f>"For Lighting Plant With A "&amp;TEXT(A17,"0")&amp;" Year Life"</f>
        <v>For Lighting Plant With A 10 Year Life</v>
      </c>
      <c r="B5" s="135"/>
      <c r="C5" s="136"/>
      <c r="D5" s="137"/>
      <c r="E5" s="131" t="s">
        <v>85</v>
      </c>
      <c r="F5" s="106"/>
      <c r="G5" s="106"/>
      <c r="H5" s="107"/>
    </row>
    <row r="6" spans="1:8" x14ac:dyDescent="0.3">
      <c r="A6" s="109"/>
      <c r="B6" s="85"/>
      <c r="C6" s="85" t="s">
        <v>29</v>
      </c>
      <c r="D6" s="110"/>
      <c r="E6" s="86" t="s">
        <v>28</v>
      </c>
      <c r="F6" s="86"/>
      <c r="G6" s="86"/>
      <c r="H6" s="108"/>
    </row>
    <row r="7" spans="1:8" x14ac:dyDescent="0.3">
      <c r="A7" s="138" t="s">
        <v>1</v>
      </c>
      <c r="B7" s="87" t="s">
        <v>31</v>
      </c>
      <c r="C7" s="85" t="s">
        <v>32</v>
      </c>
      <c r="D7" s="110"/>
      <c r="E7" s="85"/>
      <c r="F7" s="85"/>
      <c r="G7" s="87" t="s">
        <v>30</v>
      </c>
      <c r="H7" s="110" t="s">
        <v>20</v>
      </c>
    </row>
    <row r="8" spans="1:8" x14ac:dyDescent="0.3">
      <c r="A8" s="139">
        <f>H17</f>
        <v>6.4129999999999993E-2</v>
      </c>
      <c r="B8" s="140" t="s">
        <v>36</v>
      </c>
      <c r="C8" s="115" t="s">
        <v>37</v>
      </c>
      <c r="D8" s="116"/>
      <c r="E8" s="85"/>
      <c r="F8" s="88" t="s">
        <v>33</v>
      </c>
      <c r="G8" s="89" t="s">
        <v>34</v>
      </c>
      <c r="H8" s="111" t="s">
        <v>35</v>
      </c>
    </row>
    <row r="9" spans="1:8" x14ac:dyDescent="0.3">
      <c r="A9" s="141">
        <f>1/A17</f>
        <v>0.1</v>
      </c>
      <c r="B9" s="140" t="s">
        <v>38</v>
      </c>
      <c r="C9" s="115" t="s">
        <v>39</v>
      </c>
      <c r="D9" s="116"/>
      <c r="E9" s="112"/>
      <c r="F9" s="112"/>
      <c r="G9" s="112"/>
      <c r="H9" s="113"/>
    </row>
    <row r="10" spans="1:8" x14ac:dyDescent="0.3">
      <c r="A10" s="142">
        <v>4.7778694753031394E-3</v>
      </c>
      <c r="B10" s="140" t="s">
        <v>41</v>
      </c>
      <c r="C10" s="115" t="s">
        <v>42</v>
      </c>
      <c r="D10" s="116"/>
      <c r="E10" s="115"/>
      <c r="F10" s="115"/>
      <c r="G10" s="115"/>
      <c r="H10" s="116"/>
    </row>
    <row r="11" spans="1:8" x14ac:dyDescent="0.3">
      <c r="A11" s="142">
        <v>8.7600000000000002E-5</v>
      </c>
      <c r="B11" s="140" t="s">
        <v>43</v>
      </c>
      <c r="C11" s="115" t="s">
        <v>44</v>
      </c>
      <c r="D11" s="116"/>
      <c r="E11" s="115" t="s">
        <v>81</v>
      </c>
      <c r="F11" s="117">
        <v>4.0300000000000002E-2</v>
      </c>
      <c r="G11" s="117">
        <v>0.45931</v>
      </c>
      <c r="H11" s="118">
        <f>ROUND(F11*G11,5)</f>
        <v>1.8509999999999999E-2</v>
      </c>
    </row>
    <row r="12" spans="1:8" x14ac:dyDescent="0.3">
      <c r="A12" s="143">
        <v>0.21390100000000001</v>
      </c>
      <c r="B12" s="140" t="s">
        <v>45</v>
      </c>
      <c r="C12" s="115" t="s">
        <v>46</v>
      </c>
      <c r="D12" s="116"/>
      <c r="E12" s="132" t="s">
        <v>82</v>
      </c>
      <c r="F12" s="119">
        <v>1.7100000000000001E-2</v>
      </c>
      <c r="G12" s="119">
        <v>5.8349999999999999E-2</v>
      </c>
      <c r="H12" s="120">
        <f>ROUND(F12*G12,5)</f>
        <v>1E-3</v>
      </c>
    </row>
    <row r="13" spans="1:8" x14ac:dyDescent="0.3">
      <c r="A13" s="139">
        <v>1.677E-2</v>
      </c>
      <c r="B13" s="140" t="s">
        <v>49</v>
      </c>
      <c r="C13" s="115" t="s">
        <v>50</v>
      </c>
      <c r="D13" s="116"/>
      <c r="E13" s="115" t="s">
        <v>3</v>
      </c>
      <c r="F13" s="121">
        <v>0</v>
      </c>
      <c r="G13" s="121">
        <v>0</v>
      </c>
      <c r="H13" s="118">
        <f>ROUND(F13*G13,5)</f>
        <v>0</v>
      </c>
    </row>
    <row r="14" spans="1:8" x14ac:dyDescent="0.3">
      <c r="A14" s="139">
        <f>ROUND((A8/(((1+A8)^A17)-1)),4)</f>
        <v>7.4399999999999994E-2</v>
      </c>
      <c r="B14" s="140" t="s">
        <v>52</v>
      </c>
      <c r="C14" s="115" t="s">
        <v>53</v>
      </c>
      <c r="D14" s="116"/>
      <c r="E14" s="115" t="s">
        <v>2</v>
      </c>
      <c r="F14" s="117">
        <v>9.2499999999999999E-2</v>
      </c>
      <c r="G14" s="117">
        <v>0.48233999999999999</v>
      </c>
      <c r="H14" s="122">
        <f>ROUND(F14*G14,5)</f>
        <v>4.462E-2</v>
      </c>
    </row>
    <row r="15" spans="1:8" x14ac:dyDescent="0.3">
      <c r="A15" s="144">
        <v>2.5999999999999999E-3</v>
      </c>
      <c r="B15" s="140" t="s">
        <v>56</v>
      </c>
      <c r="C15" s="115" t="s">
        <v>77</v>
      </c>
      <c r="D15" s="116"/>
      <c r="E15" s="115" t="s">
        <v>73</v>
      </c>
      <c r="F15" s="123">
        <v>0</v>
      </c>
      <c r="G15" s="123">
        <v>0</v>
      </c>
      <c r="H15" s="124"/>
    </row>
    <row r="16" spans="1:8" x14ac:dyDescent="0.3">
      <c r="A16" s="145"/>
      <c r="B16" s="115"/>
      <c r="C16" s="115"/>
      <c r="D16" s="116"/>
      <c r="E16" s="115" t="s">
        <v>47</v>
      </c>
      <c r="F16" s="117">
        <v>0</v>
      </c>
      <c r="G16" s="125">
        <v>0</v>
      </c>
      <c r="H16" s="118" t="s">
        <v>48</v>
      </c>
    </row>
    <row r="17" spans="1:8" x14ac:dyDescent="0.3">
      <c r="A17" s="146">
        <v>10</v>
      </c>
      <c r="B17" s="140" t="s">
        <v>58</v>
      </c>
      <c r="C17" s="115" t="s">
        <v>59</v>
      </c>
      <c r="D17" s="116"/>
      <c r="E17" s="115"/>
      <c r="F17" s="117"/>
      <c r="G17" s="126">
        <f>ROUND(SUM(G11:G16),1)</f>
        <v>1</v>
      </c>
      <c r="H17" s="127">
        <f>SUM(H11:H16)</f>
        <v>6.4129999999999993E-2</v>
      </c>
    </row>
    <row r="18" spans="1:8" x14ac:dyDescent="0.3">
      <c r="A18" s="114"/>
      <c r="B18" s="115"/>
      <c r="C18" s="115"/>
      <c r="D18" s="116"/>
      <c r="E18" s="133"/>
      <c r="F18" s="129"/>
      <c r="G18" s="129"/>
      <c r="H18" s="130"/>
    </row>
    <row r="19" spans="1:8" x14ac:dyDescent="0.3">
      <c r="A19" s="114"/>
      <c r="B19" s="115"/>
      <c r="C19" s="115" t="s">
        <v>84</v>
      </c>
      <c r="D19" s="116"/>
      <c r="E19" s="177"/>
      <c r="F19" s="106"/>
      <c r="G19" s="106"/>
      <c r="H19" s="106"/>
    </row>
    <row r="20" spans="1:8" x14ac:dyDescent="0.3">
      <c r="A20" s="114"/>
      <c r="B20" s="115"/>
      <c r="C20" s="115" t="s">
        <v>69</v>
      </c>
      <c r="D20" s="116"/>
      <c r="E20" s="178"/>
      <c r="F20" s="86"/>
      <c r="G20" s="86"/>
      <c r="H20" s="86"/>
    </row>
    <row r="21" spans="1:8" x14ac:dyDescent="0.3">
      <c r="A21" s="114"/>
      <c r="B21" s="115"/>
      <c r="C21" s="115"/>
      <c r="D21" s="147"/>
      <c r="E21" s="109"/>
      <c r="F21" s="85"/>
      <c r="G21" s="87"/>
      <c r="H21" s="85"/>
    </row>
    <row r="22" spans="1:8" x14ac:dyDescent="0.3">
      <c r="A22" s="114"/>
      <c r="B22" s="115"/>
      <c r="C22" s="115" t="s">
        <v>60</v>
      </c>
      <c r="D22" s="148">
        <f>ROUND((C25)*((A8+A10+A11+A14)+(C26*C24*C27)),4)</f>
        <v>0.1515</v>
      </c>
      <c r="E22" s="109"/>
      <c r="F22" s="88"/>
      <c r="G22" s="89"/>
      <c r="H22" s="88"/>
    </row>
    <row r="23" spans="1:8" x14ac:dyDescent="0.3">
      <c r="A23" s="114"/>
      <c r="B23" s="115"/>
      <c r="C23" s="115"/>
      <c r="D23" s="116"/>
      <c r="E23" s="179"/>
      <c r="F23" s="112"/>
      <c r="G23" s="112"/>
      <c r="H23" s="112"/>
    </row>
    <row r="24" spans="1:8" x14ac:dyDescent="0.3">
      <c r="A24" s="114"/>
      <c r="B24" s="115"/>
      <c r="C24" s="149">
        <f>(A8+A14)-A9</f>
        <v>3.8529999999999981E-2</v>
      </c>
      <c r="D24" s="116" t="s">
        <v>61</v>
      </c>
      <c r="E24" s="114"/>
      <c r="F24" s="115"/>
      <c r="G24" s="115"/>
      <c r="H24" s="115"/>
    </row>
    <row r="25" spans="1:8" x14ac:dyDescent="0.3">
      <c r="A25" s="114"/>
      <c r="B25" s="115"/>
      <c r="C25" s="115">
        <f>1/(1-A15)</f>
        <v>1.0026067776218168</v>
      </c>
      <c r="D25" s="150" t="s">
        <v>62</v>
      </c>
      <c r="E25" s="114"/>
      <c r="F25" s="117"/>
      <c r="G25" s="117"/>
      <c r="H25" s="180"/>
    </row>
    <row r="26" spans="1:8" x14ac:dyDescent="0.3">
      <c r="A26" s="114"/>
      <c r="B26" s="115"/>
      <c r="C26" s="115">
        <f>A12/(1-A12)</f>
        <v>0.27210440415265763</v>
      </c>
      <c r="D26" s="116" t="s">
        <v>63</v>
      </c>
      <c r="E26" s="181"/>
      <c r="F26" s="119"/>
      <c r="G26" s="119"/>
      <c r="H26" s="182"/>
    </row>
    <row r="27" spans="1:8" x14ac:dyDescent="0.3">
      <c r="A27" s="114"/>
      <c r="B27" s="115"/>
      <c r="C27" s="115">
        <f>(A8-A13)/A8</f>
        <v>0.73849992203336967</v>
      </c>
      <c r="D27" s="150" t="s">
        <v>64</v>
      </c>
      <c r="E27" s="114"/>
      <c r="F27" s="121"/>
      <c r="G27" s="121"/>
      <c r="H27" s="180"/>
    </row>
    <row r="28" spans="1:8" x14ac:dyDescent="0.3">
      <c r="A28" s="114"/>
      <c r="B28" s="115"/>
      <c r="C28" s="151">
        <f>A8+A10+A11+A14</f>
        <v>0.14339546947530313</v>
      </c>
      <c r="D28" s="116" t="s">
        <v>65</v>
      </c>
      <c r="E28" s="114"/>
      <c r="F28" s="117"/>
      <c r="G28" s="117"/>
      <c r="H28" s="183"/>
    </row>
    <row r="29" spans="1:8" x14ac:dyDescent="0.3">
      <c r="A29" s="128"/>
      <c r="B29" s="133"/>
      <c r="C29" s="152">
        <f>ROUND(C25*((C28)+C24*C26*C27),4)-D22</f>
        <v>0</v>
      </c>
      <c r="D29" s="130" t="s">
        <v>66</v>
      </c>
      <c r="E29" s="114"/>
      <c r="F29" s="123"/>
      <c r="G29" s="123"/>
      <c r="H29" s="123"/>
    </row>
    <row r="30" spans="1:8" x14ac:dyDescent="0.3">
      <c r="A30" s="153"/>
      <c r="B30" s="154"/>
      <c r="C30" s="154"/>
      <c r="D30" s="155"/>
      <c r="E30" s="114"/>
      <c r="F30" s="117"/>
      <c r="G30" s="125"/>
      <c r="H30" s="180"/>
    </row>
    <row r="31" spans="1:8" x14ac:dyDescent="0.3">
      <c r="A31" s="156" t="str">
        <f>"For Lighting Plant With A "&amp;TEXT(A43,"0")&amp;" Year Life"</f>
        <v>For Lighting Plant With A 15 Year Life</v>
      </c>
      <c r="B31" s="115"/>
      <c r="C31" s="115"/>
      <c r="D31" s="116"/>
      <c r="E31" s="114"/>
      <c r="F31" s="117"/>
      <c r="G31" s="126"/>
      <c r="H31" s="126"/>
    </row>
    <row r="32" spans="1:8" x14ac:dyDescent="0.3">
      <c r="A32" s="109"/>
      <c r="B32" s="85"/>
      <c r="C32" s="85" t="s">
        <v>29</v>
      </c>
      <c r="D32" s="110"/>
      <c r="E32" s="114"/>
      <c r="F32" s="184"/>
      <c r="G32" s="184"/>
      <c r="H32" s="115"/>
    </row>
    <row r="33" spans="1:8" x14ac:dyDescent="0.3">
      <c r="A33" s="138" t="s">
        <v>1</v>
      </c>
      <c r="B33" s="87" t="s">
        <v>31</v>
      </c>
      <c r="C33" s="85" t="s">
        <v>32</v>
      </c>
      <c r="D33" s="110"/>
    </row>
    <row r="34" spans="1:8" x14ac:dyDescent="0.3">
      <c r="A34" s="139">
        <f>A8</f>
        <v>6.4129999999999993E-2</v>
      </c>
      <c r="B34" s="140" t="s">
        <v>36</v>
      </c>
      <c r="C34" s="115" t="s">
        <v>37</v>
      </c>
      <c r="D34" s="116"/>
      <c r="F34" s="91"/>
      <c r="G34" s="91"/>
      <c r="H34" s="92"/>
    </row>
    <row r="35" spans="1:8" x14ac:dyDescent="0.3">
      <c r="A35" s="141">
        <f>1/A43</f>
        <v>6.6666666666666666E-2</v>
      </c>
      <c r="B35" s="140" t="s">
        <v>38</v>
      </c>
      <c r="C35" s="115" t="s">
        <v>39</v>
      </c>
      <c r="D35" s="116"/>
      <c r="E35" s="93"/>
      <c r="F35" s="94"/>
      <c r="G35" s="94"/>
      <c r="H35" s="95"/>
    </row>
    <row r="36" spans="1:8" x14ac:dyDescent="0.3">
      <c r="A36" s="142">
        <v>4.7778694753031394E-3</v>
      </c>
      <c r="B36" s="140" t="s">
        <v>41</v>
      </c>
      <c r="C36" s="115" t="s">
        <v>42</v>
      </c>
      <c r="D36" s="116"/>
      <c r="F36" s="96"/>
      <c r="G36" s="96"/>
      <c r="H36" s="92"/>
    </row>
    <row r="37" spans="1:8" x14ac:dyDescent="0.3">
      <c r="A37" s="142">
        <v>8.7600000000000002E-5</v>
      </c>
      <c r="B37" s="140" t="s">
        <v>43</v>
      </c>
      <c r="C37" s="115" t="s">
        <v>44</v>
      </c>
      <c r="D37" s="116"/>
      <c r="F37" s="91"/>
      <c r="G37" s="91"/>
      <c r="H37" s="97"/>
    </row>
    <row r="38" spans="1:8" x14ac:dyDescent="0.3">
      <c r="A38" s="143">
        <v>0.21390100000000001</v>
      </c>
      <c r="B38" s="140" t="s">
        <v>45</v>
      </c>
      <c r="C38" s="115" t="s">
        <v>46</v>
      </c>
      <c r="D38" s="116"/>
      <c r="F38" s="98"/>
      <c r="G38" s="98"/>
      <c r="H38" s="98"/>
    </row>
    <row r="39" spans="1:8" x14ac:dyDescent="0.3">
      <c r="A39" s="139">
        <v>1.677E-2</v>
      </c>
      <c r="B39" s="140" t="s">
        <v>49</v>
      </c>
      <c r="C39" s="115" t="s">
        <v>50</v>
      </c>
      <c r="D39" s="116"/>
      <c r="F39" s="91"/>
      <c r="G39" s="99"/>
      <c r="H39" s="92"/>
    </row>
    <row r="40" spans="1:8" x14ac:dyDescent="0.3">
      <c r="A40" s="139">
        <f>ROUND((A34/(((1+A34)^A43)-1)),4)</f>
        <v>4.1599999999999998E-2</v>
      </c>
      <c r="B40" s="140" t="s">
        <v>52</v>
      </c>
      <c r="C40" s="115" t="s">
        <v>53</v>
      </c>
      <c r="D40" s="116"/>
      <c r="F40" s="91"/>
      <c r="G40" s="100"/>
      <c r="H40" s="100"/>
    </row>
    <row r="41" spans="1:8" x14ac:dyDescent="0.3">
      <c r="A41" s="144">
        <v>2.5999999999999999E-3</v>
      </c>
      <c r="B41" s="140" t="s">
        <v>56</v>
      </c>
      <c r="C41" s="115" t="s">
        <v>77</v>
      </c>
      <c r="D41" s="116"/>
      <c r="F41" s="101"/>
      <c r="G41" s="101"/>
    </row>
    <row r="42" spans="1:8" x14ac:dyDescent="0.3">
      <c r="A42" s="145"/>
      <c r="B42" s="115"/>
      <c r="C42" s="115"/>
      <c r="D42" s="116"/>
      <c r="F42" s="102"/>
      <c r="G42" s="103"/>
      <c r="H42" s="104"/>
    </row>
    <row r="43" spans="1:8" x14ac:dyDescent="0.3">
      <c r="A43" s="146">
        <v>15</v>
      </c>
      <c r="B43" s="140" t="s">
        <v>58</v>
      </c>
      <c r="C43" s="115" t="s">
        <v>59</v>
      </c>
      <c r="D43" s="116"/>
    </row>
    <row r="44" spans="1:8" x14ac:dyDescent="0.3">
      <c r="A44" s="114"/>
      <c r="B44" s="115"/>
      <c r="C44" s="115"/>
      <c r="D44" s="116"/>
    </row>
    <row r="45" spans="1:8" x14ac:dyDescent="0.3">
      <c r="A45" s="114"/>
      <c r="B45" s="115"/>
      <c r="C45" s="115" t="s">
        <v>84</v>
      </c>
      <c r="D45" s="116"/>
    </row>
    <row r="46" spans="1:8" x14ac:dyDescent="0.3">
      <c r="A46" s="114"/>
      <c r="B46" s="115"/>
      <c r="C46" s="115" t="s">
        <v>69</v>
      </c>
      <c r="D46" s="116"/>
    </row>
    <row r="47" spans="1:8" x14ac:dyDescent="0.3">
      <c r="A47" s="114"/>
      <c r="B47" s="115"/>
      <c r="C47" s="115"/>
      <c r="D47" s="147"/>
      <c r="E47" s="105"/>
    </row>
    <row r="48" spans="1:8" x14ac:dyDescent="0.3">
      <c r="A48" s="114"/>
      <c r="B48" s="115"/>
      <c r="C48" s="115" t="s">
        <v>60</v>
      </c>
      <c r="D48" s="148">
        <f>ROUND((C51)*((A34+A36+A37+A40)+(C52*C50*C53)),4)</f>
        <v>0.1188</v>
      </c>
      <c r="E48" s="157">
        <f>D48/12</f>
        <v>9.9000000000000008E-3</v>
      </c>
      <c r="F48" s="82" t="s">
        <v>83</v>
      </c>
    </row>
    <row r="49" spans="1:4" x14ac:dyDescent="0.3">
      <c r="A49" s="114"/>
      <c r="B49" s="115"/>
      <c r="C49" s="115"/>
      <c r="D49" s="116"/>
    </row>
    <row r="50" spans="1:4" x14ac:dyDescent="0.3">
      <c r="A50" s="114"/>
      <c r="B50" s="115"/>
      <c r="C50" s="149">
        <f>(A34+A40)-A35</f>
        <v>3.9063333333333325E-2</v>
      </c>
      <c r="D50" s="116" t="s">
        <v>61</v>
      </c>
    </row>
    <row r="51" spans="1:4" x14ac:dyDescent="0.3">
      <c r="A51" s="114"/>
      <c r="B51" s="115"/>
      <c r="C51" s="115">
        <f>1/(1-A41)</f>
        <v>1.0026067776218168</v>
      </c>
      <c r="D51" s="150" t="s">
        <v>62</v>
      </c>
    </row>
    <row r="52" spans="1:4" x14ac:dyDescent="0.3">
      <c r="A52" s="114"/>
      <c r="B52" s="115"/>
      <c r="C52" s="115">
        <f>A38/(1-A38)</f>
        <v>0.27210440415265763</v>
      </c>
      <c r="D52" s="116" t="s">
        <v>63</v>
      </c>
    </row>
    <row r="53" spans="1:4" x14ac:dyDescent="0.3">
      <c r="A53" s="114"/>
      <c r="B53" s="115"/>
      <c r="C53" s="115">
        <f>(A34-A39)/A34</f>
        <v>0.73849992203336967</v>
      </c>
      <c r="D53" s="150" t="s">
        <v>64</v>
      </c>
    </row>
    <row r="54" spans="1:4" x14ac:dyDescent="0.3">
      <c r="A54" s="114"/>
      <c r="B54" s="115"/>
      <c r="C54" s="151">
        <f>A34+A36+A37+A40</f>
        <v>0.11059546947530312</v>
      </c>
      <c r="D54" s="116" t="s">
        <v>65</v>
      </c>
    </row>
    <row r="55" spans="1:4" x14ac:dyDescent="0.3">
      <c r="A55" s="128"/>
      <c r="B55" s="133"/>
      <c r="C55" s="152">
        <f>ROUND(C51*((C54)+C50*C52*C53),4)-D48</f>
        <v>0</v>
      </c>
      <c r="D55" s="130" t="s">
        <v>66</v>
      </c>
    </row>
  </sheetData>
  <printOptions horizontalCentered="1"/>
  <pageMargins left="0.5" right="0.5" top="1.5" bottom="0.5" header="0.5" footer="0.5"/>
  <pageSetup scale="63" orientation="portrait" r:id="rId1"/>
  <headerFooter alignWithMargins="0">
    <oddHeader>&amp;R&amp;"Times New Roman,Bold"KyPSC Case No. 2019-00271
STAFF-RHDR-01-014 Attachment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F89BA-79E3-444D-B7C5-C71A392EFF38}">
  <sheetPr>
    <pageSetUpPr fitToPage="1"/>
  </sheetPr>
  <dimension ref="A1:Q81"/>
  <sheetViews>
    <sheetView tabSelected="1" view="pageLayout" zoomScaleNormal="100" workbookViewId="0">
      <selection activeCell="B2" sqref="B2"/>
    </sheetView>
  </sheetViews>
  <sheetFormatPr defaultColWidth="9.26953125" defaultRowHeight="15.6" x14ac:dyDescent="0.3"/>
  <cols>
    <col min="1" max="1" width="3.08984375" style="82" customWidth="1"/>
    <col min="2" max="2" width="47.7265625" style="82" customWidth="1"/>
    <col min="3" max="3" width="7.7265625" style="82" customWidth="1"/>
    <col min="4" max="4" width="6.54296875" style="82" customWidth="1"/>
    <col min="5" max="5" width="9.26953125" style="82"/>
    <col min="6" max="6" width="7.54296875" style="82" customWidth="1"/>
    <col min="7" max="16384" width="9.26953125" style="82"/>
  </cols>
  <sheetData>
    <row r="1" spans="1:17" x14ac:dyDescent="0.3">
      <c r="A1" s="172" t="s">
        <v>86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x14ac:dyDescent="0.3">
      <c r="A2" s="173" t="s">
        <v>87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x14ac:dyDescent="0.3">
      <c r="A3" s="173" t="s">
        <v>189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x14ac:dyDescent="0.3">
      <c r="A4" s="158"/>
    </row>
    <row r="5" spans="1:17" x14ac:dyDescent="0.3">
      <c r="A5" s="158"/>
      <c r="I5" s="90" t="s">
        <v>101</v>
      </c>
      <c r="L5" s="90"/>
      <c r="M5" s="90" t="s">
        <v>119</v>
      </c>
      <c r="N5" s="90"/>
      <c r="P5" s="171" t="s">
        <v>111</v>
      </c>
    </row>
    <row r="6" spans="1:17" x14ac:dyDescent="0.3">
      <c r="F6" s="90" t="s">
        <v>105</v>
      </c>
      <c r="G6" s="90" t="s">
        <v>108</v>
      </c>
      <c r="H6" s="167" t="s">
        <v>111</v>
      </c>
      <c r="I6" s="90" t="s">
        <v>102</v>
      </c>
      <c r="L6" s="90" t="s">
        <v>117</v>
      </c>
      <c r="M6" s="90" t="s">
        <v>120</v>
      </c>
      <c r="N6" s="165" t="s">
        <v>122</v>
      </c>
      <c r="P6" s="167" t="s">
        <v>124</v>
      </c>
    </row>
    <row r="7" spans="1:17" x14ac:dyDescent="0.3">
      <c r="F7" s="90" t="s">
        <v>106</v>
      </c>
      <c r="G7" s="90" t="s">
        <v>109</v>
      </c>
      <c r="H7" s="167" t="s">
        <v>112</v>
      </c>
      <c r="I7" s="90" t="s">
        <v>103</v>
      </c>
      <c r="K7" s="165" t="s">
        <v>115</v>
      </c>
      <c r="L7" s="90" t="s">
        <v>118</v>
      </c>
      <c r="M7" s="90" t="s">
        <v>121</v>
      </c>
      <c r="N7" s="90" t="s">
        <v>123</v>
      </c>
      <c r="O7" s="171" t="s">
        <v>111</v>
      </c>
      <c r="P7" s="167" t="s">
        <v>125</v>
      </c>
      <c r="Q7" s="165" t="s">
        <v>127</v>
      </c>
    </row>
    <row r="8" spans="1:17" x14ac:dyDescent="0.3">
      <c r="C8" s="160" t="s">
        <v>99</v>
      </c>
      <c r="D8" s="160" t="s">
        <v>100</v>
      </c>
      <c r="E8" s="160" t="s">
        <v>98</v>
      </c>
      <c r="F8" s="160" t="s">
        <v>107</v>
      </c>
      <c r="G8" s="160" t="s">
        <v>110</v>
      </c>
      <c r="H8" s="168" t="s">
        <v>113</v>
      </c>
      <c r="I8" s="160" t="s">
        <v>104</v>
      </c>
      <c r="J8" s="166" t="s">
        <v>114</v>
      </c>
      <c r="K8" s="166" t="s">
        <v>116</v>
      </c>
      <c r="L8" s="160" t="s">
        <v>107</v>
      </c>
      <c r="M8" s="160" t="s">
        <v>107</v>
      </c>
      <c r="N8" s="160" t="s">
        <v>107</v>
      </c>
      <c r="O8" s="168" t="s">
        <v>114</v>
      </c>
      <c r="P8" s="168" t="s">
        <v>126</v>
      </c>
      <c r="Q8" s="166" t="s">
        <v>1</v>
      </c>
    </row>
    <row r="9" spans="1:17" x14ac:dyDescent="0.3">
      <c r="A9" s="174" t="s">
        <v>129</v>
      </c>
      <c r="F9" s="163">
        <v>3.73E-2</v>
      </c>
      <c r="G9" s="164">
        <v>0.11</v>
      </c>
      <c r="H9" s="169"/>
      <c r="J9" s="90">
        <v>0.3</v>
      </c>
      <c r="K9" s="90">
        <v>0.4</v>
      </c>
      <c r="L9" s="163">
        <v>0.2414</v>
      </c>
      <c r="M9" s="163">
        <v>0.15709999999999999</v>
      </c>
      <c r="N9" s="163">
        <v>0.34610000000000002</v>
      </c>
      <c r="O9" s="169"/>
      <c r="P9" s="169"/>
      <c r="Q9" s="176">
        <f>+'LFCR per Order'!D22</f>
        <v>0.1515</v>
      </c>
    </row>
    <row r="10" spans="1:17" x14ac:dyDescent="0.3">
      <c r="B10" s="82" t="s">
        <v>88</v>
      </c>
      <c r="C10" s="162">
        <v>57000</v>
      </c>
      <c r="D10" s="162">
        <v>530</v>
      </c>
      <c r="E10" s="161">
        <v>1728.7205092368345</v>
      </c>
      <c r="F10" s="161">
        <f t="shared" ref="F10:G19" si="0">+$E10*F$9</f>
        <v>64.481274994533919</v>
      </c>
      <c r="G10" s="161">
        <f t="shared" si="0"/>
        <v>190.15925601605178</v>
      </c>
      <c r="H10" s="170">
        <f>SUM(E10:G10)</f>
        <v>1983.3610402474203</v>
      </c>
      <c r="I10" s="161">
        <v>69.83</v>
      </c>
      <c r="J10" s="161">
        <f t="shared" ref="J10:K19" si="1">+$I10*J$9</f>
        <v>20.948999999999998</v>
      </c>
      <c r="K10" s="161">
        <f t="shared" si="1"/>
        <v>27.932000000000002</v>
      </c>
      <c r="L10" s="161">
        <f t="shared" ref="L10:L19" si="2">($J10+$K10)*L$9</f>
        <v>11.799873400000001</v>
      </c>
      <c r="M10" s="161">
        <f t="shared" ref="M10:N10" si="3">($J10+$K10)*M$9</f>
        <v>7.6792050999999999</v>
      </c>
      <c r="N10" s="161">
        <f t="shared" si="3"/>
        <v>16.917714100000001</v>
      </c>
      <c r="O10" s="170">
        <f>SUM(J10:N10)</f>
        <v>85.277792599999998</v>
      </c>
      <c r="P10" s="170">
        <f>+O10+H10</f>
        <v>2068.6388328474204</v>
      </c>
      <c r="Q10" s="161">
        <f t="shared" ref="Q10:Q19" si="4">+P10*$Q$9/12</f>
        <v>26.116565264698682</v>
      </c>
    </row>
    <row r="11" spans="1:17" x14ac:dyDescent="0.3">
      <c r="B11" s="82" t="s">
        <v>89</v>
      </c>
      <c r="C11" s="162">
        <v>12500</v>
      </c>
      <c r="D11" s="162">
        <v>150</v>
      </c>
      <c r="E11" s="161">
        <v>1636.8193935234344</v>
      </c>
      <c r="F11" s="161">
        <f t="shared" si="0"/>
        <v>61.053363378424102</v>
      </c>
      <c r="G11" s="161">
        <f t="shared" si="0"/>
        <v>180.05013328757778</v>
      </c>
      <c r="H11" s="170">
        <f t="shared" ref="H11:H19" si="5">SUM(E11:G11)</f>
        <v>1877.9228901894364</v>
      </c>
      <c r="I11" s="161">
        <f t="shared" ref="I11:I19" si="6">+$I$10</f>
        <v>69.83</v>
      </c>
      <c r="J11" s="161">
        <f t="shared" si="1"/>
        <v>20.948999999999998</v>
      </c>
      <c r="K11" s="161">
        <f t="shared" si="1"/>
        <v>27.932000000000002</v>
      </c>
      <c r="L11" s="161">
        <f t="shared" si="2"/>
        <v>11.799873400000001</v>
      </c>
      <c r="M11" s="161">
        <f t="shared" ref="M11:N19" si="7">($J11+$K11)*M$9</f>
        <v>7.6792050999999999</v>
      </c>
      <c r="N11" s="161">
        <f t="shared" si="7"/>
        <v>16.917714100000001</v>
      </c>
      <c r="O11" s="170">
        <f t="shared" ref="O11:O19" si="8">SUM(J11:N11)</f>
        <v>85.277792599999998</v>
      </c>
      <c r="P11" s="170">
        <f t="shared" ref="P11:P19" si="9">+O11+H11</f>
        <v>1963.2006827894365</v>
      </c>
      <c r="Q11" s="161">
        <f t="shared" si="4"/>
        <v>24.785408620216632</v>
      </c>
    </row>
    <row r="12" spans="1:17" x14ac:dyDescent="0.3">
      <c r="B12" s="82" t="s">
        <v>90</v>
      </c>
      <c r="C12" s="162">
        <v>14715</v>
      </c>
      <c r="D12" s="162">
        <v>130</v>
      </c>
      <c r="E12" s="161">
        <v>512.91890646044021</v>
      </c>
      <c r="F12" s="161">
        <f t="shared" si="0"/>
        <v>19.131875210974421</v>
      </c>
      <c r="G12" s="161">
        <f t="shared" si="0"/>
        <v>56.421079710648421</v>
      </c>
      <c r="H12" s="170">
        <f t="shared" si="5"/>
        <v>588.47186138206303</v>
      </c>
      <c r="I12" s="161">
        <f t="shared" si="6"/>
        <v>69.83</v>
      </c>
      <c r="J12" s="161">
        <f t="shared" si="1"/>
        <v>20.948999999999998</v>
      </c>
      <c r="K12" s="161">
        <f t="shared" si="1"/>
        <v>27.932000000000002</v>
      </c>
      <c r="L12" s="161">
        <f t="shared" si="2"/>
        <v>11.799873400000001</v>
      </c>
      <c r="M12" s="161">
        <f t="shared" si="7"/>
        <v>7.6792050999999999</v>
      </c>
      <c r="N12" s="161">
        <f t="shared" si="7"/>
        <v>16.917714100000001</v>
      </c>
      <c r="O12" s="170">
        <f t="shared" si="8"/>
        <v>85.277792599999998</v>
      </c>
      <c r="P12" s="170">
        <f t="shared" si="9"/>
        <v>673.74965398206302</v>
      </c>
      <c r="Q12" s="161">
        <f t="shared" si="4"/>
        <v>8.5060893815235463</v>
      </c>
    </row>
    <row r="13" spans="1:17" x14ac:dyDescent="0.3">
      <c r="B13" s="82" t="s">
        <v>91</v>
      </c>
      <c r="C13" s="162">
        <v>32779</v>
      </c>
      <c r="D13" s="162">
        <v>260</v>
      </c>
      <c r="E13" s="161">
        <v>849.99829262701724</v>
      </c>
      <c r="F13" s="161">
        <f t="shared" si="0"/>
        <v>31.704936314987744</v>
      </c>
      <c r="G13" s="161">
        <f t="shared" si="0"/>
        <v>93.499812188971902</v>
      </c>
      <c r="H13" s="170">
        <f t="shared" si="5"/>
        <v>975.20304113097689</v>
      </c>
      <c r="I13" s="161">
        <f t="shared" si="6"/>
        <v>69.83</v>
      </c>
      <c r="J13" s="161">
        <f t="shared" si="1"/>
        <v>20.948999999999998</v>
      </c>
      <c r="K13" s="161">
        <f t="shared" si="1"/>
        <v>27.932000000000002</v>
      </c>
      <c r="L13" s="161">
        <f t="shared" si="2"/>
        <v>11.799873400000001</v>
      </c>
      <c r="M13" s="161">
        <f t="shared" si="7"/>
        <v>7.6792050999999999</v>
      </c>
      <c r="N13" s="161">
        <f t="shared" si="7"/>
        <v>16.917714100000001</v>
      </c>
      <c r="O13" s="170">
        <f t="shared" si="8"/>
        <v>85.277792599999998</v>
      </c>
      <c r="P13" s="170">
        <f t="shared" si="9"/>
        <v>1060.4808337309769</v>
      </c>
      <c r="Q13" s="161">
        <f t="shared" si="4"/>
        <v>13.388570525853583</v>
      </c>
    </row>
    <row r="14" spans="1:17" x14ac:dyDescent="0.3">
      <c r="B14" s="82" t="s">
        <v>92</v>
      </c>
      <c r="C14" s="162">
        <v>4157</v>
      </c>
      <c r="D14" s="162">
        <v>50</v>
      </c>
      <c r="E14" s="161">
        <v>1068.3734995496966</v>
      </c>
      <c r="F14" s="161">
        <f t="shared" si="0"/>
        <v>39.850331533203679</v>
      </c>
      <c r="G14" s="161">
        <f t="shared" si="0"/>
        <v>117.52108495046663</v>
      </c>
      <c r="H14" s="170">
        <f t="shared" si="5"/>
        <v>1225.744916033367</v>
      </c>
      <c r="I14" s="161">
        <f t="shared" si="6"/>
        <v>69.83</v>
      </c>
      <c r="J14" s="161">
        <f t="shared" si="1"/>
        <v>20.948999999999998</v>
      </c>
      <c r="K14" s="161">
        <f t="shared" si="1"/>
        <v>27.932000000000002</v>
      </c>
      <c r="L14" s="161">
        <f t="shared" si="2"/>
        <v>11.799873400000001</v>
      </c>
      <c r="M14" s="161">
        <f t="shared" si="7"/>
        <v>7.6792050999999999</v>
      </c>
      <c r="N14" s="161">
        <f t="shared" si="7"/>
        <v>16.917714100000001</v>
      </c>
      <c r="O14" s="170">
        <f t="shared" si="8"/>
        <v>85.277792599999998</v>
      </c>
      <c r="P14" s="170">
        <f t="shared" si="9"/>
        <v>1311.0227086333671</v>
      </c>
      <c r="Q14" s="161">
        <f t="shared" si="4"/>
        <v>16.551661696496257</v>
      </c>
    </row>
    <row r="15" spans="1:17" x14ac:dyDescent="0.3">
      <c r="B15" s="82" t="s">
        <v>93</v>
      </c>
      <c r="C15" s="162">
        <v>5678</v>
      </c>
      <c r="D15" s="162">
        <v>50</v>
      </c>
      <c r="E15" s="161">
        <v>1008.9281773040771</v>
      </c>
      <c r="F15" s="161">
        <f t="shared" si="0"/>
        <v>37.633021013442075</v>
      </c>
      <c r="G15" s="161">
        <f t="shared" si="0"/>
        <v>110.98209950344848</v>
      </c>
      <c r="H15" s="170">
        <f t="shared" si="5"/>
        <v>1157.5432978209676</v>
      </c>
      <c r="I15" s="161">
        <f t="shared" si="6"/>
        <v>69.83</v>
      </c>
      <c r="J15" s="161">
        <f t="shared" si="1"/>
        <v>20.948999999999998</v>
      </c>
      <c r="K15" s="161">
        <f t="shared" si="1"/>
        <v>27.932000000000002</v>
      </c>
      <c r="L15" s="161">
        <f t="shared" si="2"/>
        <v>11.799873400000001</v>
      </c>
      <c r="M15" s="161">
        <f t="shared" si="7"/>
        <v>7.6792050999999999</v>
      </c>
      <c r="N15" s="161">
        <f t="shared" si="7"/>
        <v>16.917714100000001</v>
      </c>
      <c r="O15" s="170">
        <f t="shared" si="8"/>
        <v>85.277792599999998</v>
      </c>
      <c r="P15" s="170">
        <f t="shared" si="9"/>
        <v>1242.8210904209677</v>
      </c>
      <c r="Q15" s="161">
        <f t="shared" si="4"/>
        <v>15.690616266564717</v>
      </c>
    </row>
    <row r="16" spans="1:17" x14ac:dyDescent="0.3">
      <c r="B16" s="82" t="s">
        <v>94</v>
      </c>
      <c r="C16" s="162">
        <v>5678</v>
      </c>
      <c r="D16" s="162">
        <v>50</v>
      </c>
      <c r="E16" s="161">
        <v>1119.1497123011634</v>
      </c>
      <c r="F16" s="161">
        <f t="shared" si="0"/>
        <v>41.744284268833397</v>
      </c>
      <c r="G16" s="161">
        <f t="shared" si="0"/>
        <v>123.10646835312798</v>
      </c>
      <c r="H16" s="170">
        <f t="shared" si="5"/>
        <v>1284.0004649231246</v>
      </c>
      <c r="I16" s="161">
        <f t="shared" si="6"/>
        <v>69.83</v>
      </c>
      <c r="J16" s="161">
        <f t="shared" si="1"/>
        <v>20.948999999999998</v>
      </c>
      <c r="K16" s="161">
        <f t="shared" si="1"/>
        <v>27.932000000000002</v>
      </c>
      <c r="L16" s="161">
        <f t="shared" si="2"/>
        <v>11.799873400000001</v>
      </c>
      <c r="M16" s="161">
        <f t="shared" si="7"/>
        <v>7.6792050999999999</v>
      </c>
      <c r="N16" s="161">
        <f t="shared" si="7"/>
        <v>16.917714100000001</v>
      </c>
      <c r="O16" s="170">
        <f t="shared" si="8"/>
        <v>85.277792599999998</v>
      </c>
      <c r="P16" s="170">
        <f t="shared" si="9"/>
        <v>1369.2782575231245</v>
      </c>
      <c r="Q16" s="161">
        <f t="shared" si="4"/>
        <v>17.287138001229447</v>
      </c>
    </row>
    <row r="17" spans="1:17" x14ac:dyDescent="0.3">
      <c r="B17" s="82" t="s">
        <v>95</v>
      </c>
      <c r="C17" s="162">
        <v>5678</v>
      </c>
      <c r="D17" s="162">
        <v>50</v>
      </c>
      <c r="E17" s="161">
        <v>1008.9281773040771</v>
      </c>
      <c r="F17" s="161">
        <f t="shared" si="0"/>
        <v>37.633021013442075</v>
      </c>
      <c r="G17" s="161">
        <f t="shared" si="0"/>
        <v>110.98209950344848</v>
      </c>
      <c r="H17" s="170">
        <f t="shared" si="5"/>
        <v>1157.5432978209676</v>
      </c>
      <c r="I17" s="161">
        <f t="shared" si="6"/>
        <v>69.83</v>
      </c>
      <c r="J17" s="161">
        <f t="shared" si="1"/>
        <v>20.948999999999998</v>
      </c>
      <c r="K17" s="161">
        <f t="shared" si="1"/>
        <v>27.932000000000002</v>
      </c>
      <c r="L17" s="161">
        <f t="shared" si="2"/>
        <v>11.799873400000001</v>
      </c>
      <c r="M17" s="161">
        <f t="shared" si="7"/>
        <v>7.6792050999999999</v>
      </c>
      <c r="N17" s="161">
        <f t="shared" si="7"/>
        <v>16.917714100000001</v>
      </c>
      <c r="O17" s="170">
        <f t="shared" si="8"/>
        <v>85.277792599999998</v>
      </c>
      <c r="P17" s="170">
        <f t="shared" si="9"/>
        <v>1242.8210904209677</v>
      </c>
      <c r="Q17" s="161">
        <f t="shared" si="4"/>
        <v>15.690616266564717</v>
      </c>
    </row>
    <row r="18" spans="1:17" x14ac:dyDescent="0.3">
      <c r="B18" s="82" t="s">
        <v>96</v>
      </c>
      <c r="C18" s="162">
        <v>5678</v>
      </c>
      <c r="D18" s="162">
        <v>50</v>
      </c>
      <c r="E18" s="161">
        <v>1119.1497123011634</v>
      </c>
      <c r="F18" s="161">
        <f t="shared" si="0"/>
        <v>41.744284268833397</v>
      </c>
      <c r="G18" s="161">
        <f t="shared" si="0"/>
        <v>123.10646835312798</v>
      </c>
      <c r="H18" s="170">
        <f t="shared" si="5"/>
        <v>1284.0004649231246</v>
      </c>
      <c r="I18" s="161">
        <f t="shared" si="6"/>
        <v>69.83</v>
      </c>
      <c r="J18" s="161">
        <f t="shared" si="1"/>
        <v>20.948999999999998</v>
      </c>
      <c r="K18" s="161">
        <f t="shared" si="1"/>
        <v>27.932000000000002</v>
      </c>
      <c r="L18" s="161">
        <f t="shared" si="2"/>
        <v>11.799873400000001</v>
      </c>
      <c r="M18" s="161">
        <f t="shared" si="7"/>
        <v>7.6792050999999999</v>
      </c>
      <c r="N18" s="161">
        <f t="shared" si="7"/>
        <v>16.917714100000001</v>
      </c>
      <c r="O18" s="170">
        <f t="shared" si="8"/>
        <v>85.277792599999998</v>
      </c>
      <c r="P18" s="170">
        <f t="shared" si="9"/>
        <v>1369.2782575231245</v>
      </c>
      <c r="Q18" s="161">
        <f t="shared" si="4"/>
        <v>17.287138001229447</v>
      </c>
    </row>
    <row r="19" spans="1:17" x14ac:dyDescent="0.3">
      <c r="B19" s="82" t="s">
        <v>97</v>
      </c>
      <c r="C19" s="162">
        <v>4157</v>
      </c>
      <c r="D19" s="162">
        <v>50</v>
      </c>
      <c r="E19" s="161">
        <v>1063.419722695895</v>
      </c>
      <c r="F19" s="161">
        <f t="shared" si="0"/>
        <v>39.665555656556883</v>
      </c>
      <c r="G19" s="161">
        <f t="shared" si="0"/>
        <v>116.97616949654845</v>
      </c>
      <c r="H19" s="170">
        <f t="shared" si="5"/>
        <v>1220.0614478490004</v>
      </c>
      <c r="I19" s="161">
        <f t="shared" si="6"/>
        <v>69.83</v>
      </c>
      <c r="J19" s="161">
        <f t="shared" si="1"/>
        <v>20.948999999999998</v>
      </c>
      <c r="K19" s="161">
        <f t="shared" si="1"/>
        <v>27.932000000000002</v>
      </c>
      <c r="L19" s="161">
        <f t="shared" si="2"/>
        <v>11.799873400000001</v>
      </c>
      <c r="M19" s="161">
        <f t="shared" si="7"/>
        <v>7.6792050999999999</v>
      </c>
      <c r="N19" s="161">
        <f t="shared" si="7"/>
        <v>16.917714100000001</v>
      </c>
      <c r="O19" s="170">
        <f t="shared" si="8"/>
        <v>85.277792599999998</v>
      </c>
      <c r="P19" s="170">
        <f t="shared" si="9"/>
        <v>1305.3392404490005</v>
      </c>
      <c r="Q19" s="161">
        <f t="shared" si="4"/>
        <v>16.479907910668633</v>
      </c>
    </row>
    <row r="20" spans="1:17" x14ac:dyDescent="0.3">
      <c r="E20" s="161"/>
      <c r="F20" s="161"/>
      <c r="G20" s="161"/>
      <c r="H20" s="170"/>
      <c r="I20" s="161"/>
      <c r="J20" s="161"/>
      <c r="K20" s="161"/>
      <c r="L20" s="161"/>
      <c r="M20" s="161"/>
      <c r="N20" s="161"/>
      <c r="O20" s="170"/>
      <c r="P20" s="170"/>
      <c r="Q20" s="161"/>
    </row>
    <row r="21" spans="1:17" x14ac:dyDescent="0.3">
      <c r="A21" s="159" t="s">
        <v>128</v>
      </c>
      <c r="E21" s="161"/>
      <c r="F21" s="161"/>
      <c r="G21" s="161"/>
      <c r="H21" s="170"/>
      <c r="I21" s="161"/>
      <c r="J21" s="161"/>
      <c r="K21" s="161"/>
      <c r="L21" s="161"/>
      <c r="M21" s="161"/>
      <c r="N21" s="161"/>
      <c r="O21" s="170"/>
      <c r="P21" s="170"/>
      <c r="Q21" s="175">
        <f>+'LFCR per Order'!$D$48</f>
        <v>0.1188</v>
      </c>
    </row>
    <row r="22" spans="1:17" x14ac:dyDescent="0.3">
      <c r="B22" s="82" t="s">
        <v>130</v>
      </c>
      <c r="E22" s="161">
        <v>363.05827733465378</v>
      </c>
      <c r="F22" s="161">
        <f t="shared" ref="F22:G26" si="10">+$E22*F$9</f>
        <v>13.542073744582586</v>
      </c>
      <c r="G22" s="161">
        <f t="shared" si="10"/>
        <v>39.936410506811917</v>
      </c>
      <c r="H22" s="170">
        <f t="shared" ref="H22:H29" si="11">SUM(E22:G22)</f>
        <v>416.53676158604827</v>
      </c>
      <c r="I22" s="161">
        <f t="shared" ref="I22:I29" si="12">+$I$10</f>
        <v>69.83</v>
      </c>
      <c r="J22" s="161">
        <f t="shared" ref="J22:K26" si="13">+$I22*J$9</f>
        <v>20.948999999999998</v>
      </c>
      <c r="K22" s="161">
        <f t="shared" si="13"/>
        <v>27.932000000000002</v>
      </c>
      <c r="L22" s="161">
        <f t="shared" ref="L22:N26" si="14">($J22+$K22)*L$9</f>
        <v>11.799873400000001</v>
      </c>
      <c r="M22" s="161">
        <f t="shared" si="14"/>
        <v>7.6792050999999999</v>
      </c>
      <c r="N22" s="161">
        <f t="shared" si="14"/>
        <v>16.917714100000001</v>
      </c>
      <c r="O22" s="170">
        <f t="shared" ref="O22:O29" si="15">SUM(J22:N22)</f>
        <v>85.277792599999998</v>
      </c>
      <c r="P22" s="170">
        <f t="shared" ref="P22:P29" si="16">+O22+H22</f>
        <v>501.81455418604827</v>
      </c>
      <c r="Q22" s="161">
        <f>+P22*$Q$21/12</f>
        <v>4.9679640864418779</v>
      </c>
    </row>
    <row r="23" spans="1:17" x14ac:dyDescent="0.3">
      <c r="B23" s="82" t="s">
        <v>131</v>
      </c>
      <c r="E23" s="161">
        <v>413.558864783459</v>
      </c>
      <c r="F23" s="161">
        <f t="shared" si="10"/>
        <v>15.42574565642302</v>
      </c>
      <c r="G23" s="161">
        <f t="shared" si="10"/>
        <v>45.491475126180489</v>
      </c>
      <c r="H23" s="170">
        <f t="shared" si="11"/>
        <v>474.47608556606252</v>
      </c>
      <c r="I23" s="161">
        <f t="shared" si="12"/>
        <v>69.83</v>
      </c>
      <c r="J23" s="161">
        <f t="shared" si="13"/>
        <v>20.948999999999998</v>
      </c>
      <c r="K23" s="161">
        <f t="shared" si="13"/>
        <v>27.932000000000002</v>
      </c>
      <c r="L23" s="161">
        <f t="shared" si="14"/>
        <v>11.799873400000001</v>
      </c>
      <c r="M23" s="161">
        <f t="shared" si="14"/>
        <v>7.6792050999999999</v>
      </c>
      <c r="N23" s="161">
        <f t="shared" si="14"/>
        <v>16.917714100000001</v>
      </c>
      <c r="O23" s="170">
        <f t="shared" si="15"/>
        <v>85.277792599999998</v>
      </c>
      <c r="P23" s="170">
        <f t="shared" si="16"/>
        <v>559.75387816606258</v>
      </c>
      <c r="Q23" s="161">
        <f t="shared" ref="Q23:Q29" si="17">+P23*$Q$21/12</f>
        <v>5.5415633938440196</v>
      </c>
    </row>
    <row r="24" spans="1:17" x14ac:dyDescent="0.3">
      <c r="B24" s="82" t="s">
        <v>132</v>
      </c>
      <c r="E24" s="161">
        <v>214.66844307967798</v>
      </c>
      <c r="F24" s="161">
        <f t="shared" si="10"/>
        <v>8.0071329268719893</v>
      </c>
      <c r="G24" s="161">
        <f t="shared" si="10"/>
        <v>23.613528738764579</v>
      </c>
      <c r="H24" s="170">
        <f t="shared" si="11"/>
        <v>246.28910474531457</v>
      </c>
      <c r="I24" s="161">
        <f t="shared" si="12"/>
        <v>69.83</v>
      </c>
      <c r="J24" s="161">
        <f t="shared" si="13"/>
        <v>20.948999999999998</v>
      </c>
      <c r="K24" s="161">
        <f t="shared" si="13"/>
        <v>27.932000000000002</v>
      </c>
      <c r="L24" s="161">
        <f t="shared" si="14"/>
        <v>11.799873400000001</v>
      </c>
      <c r="M24" s="161">
        <f t="shared" si="14"/>
        <v>7.6792050999999999</v>
      </c>
      <c r="N24" s="161">
        <f t="shared" si="14"/>
        <v>16.917714100000001</v>
      </c>
      <c r="O24" s="170">
        <f t="shared" si="15"/>
        <v>85.277792599999998</v>
      </c>
      <c r="P24" s="170">
        <f t="shared" si="16"/>
        <v>331.5668973453146</v>
      </c>
      <c r="Q24" s="161">
        <f t="shared" si="17"/>
        <v>3.2825122837186149</v>
      </c>
    </row>
    <row r="25" spans="1:17" x14ac:dyDescent="0.3">
      <c r="B25" s="82" t="s">
        <v>133</v>
      </c>
      <c r="E25" s="161">
        <v>375.34220401139015</v>
      </c>
      <c r="F25" s="161">
        <f t="shared" si="10"/>
        <v>14.000264209624852</v>
      </c>
      <c r="G25" s="161">
        <f t="shared" si="10"/>
        <v>41.28764244125292</v>
      </c>
      <c r="H25" s="170">
        <f t="shared" si="11"/>
        <v>430.6301106622679</v>
      </c>
      <c r="I25" s="161">
        <f t="shared" si="12"/>
        <v>69.83</v>
      </c>
      <c r="J25" s="161">
        <f t="shared" si="13"/>
        <v>20.948999999999998</v>
      </c>
      <c r="K25" s="161">
        <f t="shared" si="13"/>
        <v>27.932000000000002</v>
      </c>
      <c r="L25" s="161">
        <f t="shared" si="14"/>
        <v>11.799873400000001</v>
      </c>
      <c r="M25" s="161">
        <f t="shared" si="14"/>
        <v>7.6792050999999999</v>
      </c>
      <c r="N25" s="161">
        <f t="shared" si="14"/>
        <v>16.917714100000001</v>
      </c>
      <c r="O25" s="170">
        <f t="shared" si="15"/>
        <v>85.277792599999998</v>
      </c>
      <c r="P25" s="170">
        <f t="shared" si="16"/>
        <v>515.90790326226784</v>
      </c>
      <c r="Q25" s="161">
        <f t="shared" si="17"/>
        <v>5.1074882422964523</v>
      </c>
    </row>
    <row r="26" spans="1:17" x14ac:dyDescent="0.3">
      <c r="B26" s="82" t="s">
        <v>134</v>
      </c>
      <c r="E26" s="161">
        <v>136.48807418596004</v>
      </c>
      <c r="F26" s="161">
        <f t="shared" si="10"/>
        <v>5.0910051671363092</v>
      </c>
      <c r="G26" s="161">
        <f t="shared" si="10"/>
        <v>15.013688160455605</v>
      </c>
      <c r="H26" s="170">
        <f t="shared" si="11"/>
        <v>156.59276751355196</v>
      </c>
      <c r="I26" s="161">
        <f t="shared" si="12"/>
        <v>69.83</v>
      </c>
      <c r="J26" s="161">
        <f t="shared" si="13"/>
        <v>20.948999999999998</v>
      </c>
      <c r="K26" s="161">
        <f t="shared" si="13"/>
        <v>27.932000000000002</v>
      </c>
      <c r="L26" s="161">
        <f t="shared" si="14"/>
        <v>11.799873400000001</v>
      </c>
      <c r="M26" s="161">
        <f t="shared" si="14"/>
        <v>7.6792050999999999</v>
      </c>
      <c r="N26" s="161">
        <f t="shared" si="14"/>
        <v>16.917714100000001</v>
      </c>
      <c r="O26" s="170">
        <f t="shared" si="15"/>
        <v>85.277792599999998</v>
      </c>
      <c r="P26" s="170">
        <f t="shared" si="16"/>
        <v>241.87056011355196</v>
      </c>
      <c r="Q26" s="161">
        <f t="shared" si="17"/>
        <v>2.3945185451241646</v>
      </c>
    </row>
    <row r="27" spans="1:17" x14ac:dyDescent="0.3">
      <c r="B27" s="82" t="s">
        <v>135</v>
      </c>
      <c r="E27" s="161">
        <v>124.0870183984272</v>
      </c>
      <c r="F27" s="161">
        <f t="shared" ref="F27:G29" si="18">+$E27*F$9</f>
        <v>4.6284457862613344</v>
      </c>
      <c r="G27" s="161">
        <f t="shared" si="18"/>
        <v>13.649572023826993</v>
      </c>
      <c r="H27" s="170">
        <f t="shared" si="11"/>
        <v>142.36503620851553</v>
      </c>
      <c r="I27" s="161">
        <f t="shared" si="12"/>
        <v>69.83</v>
      </c>
      <c r="J27" s="161">
        <f t="shared" ref="J27:K29" si="19">+$I27*J$9</f>
        <v>20.948999999999998</v>
      </c>
      <c r="K27" s="161">
        <f t="shared" si="19"/>
        <v>27.932000000000002</v>
      </c>
      <c r="L27" s="161">
        <f t="shared" ref="L27:N29" si="20">($J27+$K27)*L$9</f>
        <v>11.799873400000001</v>
      </c>
      <c r="M27" s="161">
        <f t="shared" si="20"/>
        <v>7.6792050999999999</v>
      </c>
      <c r="N27" s="161">
        <f t="shared" si="20"/>
        <v>16.917714100000001</v>
      </c>
      <c r="O27" s="170">
        <f t="shared" si="15"/>
        <v>85.277792599999998</v>
      </c>
      <c r="P27" s="170">
        <f t="shared" si="16"/>
        <v>227.64282880851553</v>
      </c>
      <c r="Q27" s="161">
        <f t="shared" si="17"/>
        <v>2.2536640052043038</v>
      </c>
    </row>
    <row r="28" spans="1:17" x14ac:dyDescent="0.3">
      <c r="B28" s="82" t="s">
        <v>136</v>
      </c>
      <c r="E28" s="161">
        <v>116.06200936842434</v>
      </c>
      <c r="F28" s="161">
        <f t="shared" si="18"/>
        <v>4.3291129494422282</v>
      </c>
      <c r="G28" s="161">
        <f t="shared" si="18"/>
        <v>12.766821030526678</v>
      </c>
      <c r="H28" s="170">
        <f t="shared" si="11"/>
        <v>133.15794334839325</v>
      </c>
      <c r="I28" s="161">
        <f t="shared" si="12"/>
        <v>69.83</v>
      </c>
      <c r="J28" s="161">
        <f t="shared" si="19"/>
        <v>20.948999999999998</v>
      </c>
      <c r="K28" s="161">
        <f t="shared" si="19"/>
        <v>27.932000000000002</v>
      </c>
      <c r="L28" s="161">
        <f t="shared" si="20"/>
        <v>11.799873400000001</v>
      </c>
      <c r="M28" s="161">
        <f t="shared" si="20"/>
        <v>7.6792050999999999</v>
      </c>
      <c r="N28" s="161">
        <f t="shared" si="20"/>
        <v>16.917714100000001</v>
      </c>
      <c r="O28" s="170">
        <f t="shared" si="15"/>
        <v>85.277792599999998</v>
      </c>
      <c r="P28" s="170">
        <f t="shared" si="16"/>
        <v>218.43573594839324</v>
      </c>
      <c r="Q28" s="161">
        <f t="shared" si="17"/>
        <v>2.162513785889093</v>
      </c>
    </row>
    <row r="29" spans="1:17" x14ac:dyDescent="0.3">
      <c r="B29" s="82" t="s">
        <v>137</v>
      </c>
      <c r="E29" s="161">
        <v>130.31815989453264</v>
      </c>
      <c r="F29" s="161">
        <f t="shared" si="18"/>
        <v>4.8608673640660678</v>
      </c>
      <c r="G29" s="161">
        <f t="shared" si="18"/>
        <v>14.33499758839859</v>
      </c>
      <c r="H29" s="170">
        <f t="shared" si="11"/>
        <v>149.5140248469973</v>
      </c>
      <c r="I29" s="161">
        <f t="shared" si="12"/>
        <v>69.83</v>
      </c>
      <c r="J29" s="161">
        <f t="shared" si="19"/>
        <v>20.948999999999998</v>
      </c>
      <c r="K29" s="161">
        <f t="shared" si="19"/>
        <v>27.932000000000002</v>
      </c>
      <c r="L29" s="161">
        <f t="shared" si="20"/>
        <v>11.799873400000001</v>
      </c>
      <c r="M29" s="161">
        <f t="shared" si="20"/>
        <v>7.6792050999999999</v>
      </c>
      <c r="N29" s="161">
        <f t="shared" si="20"/>
        <v>16.917714100000001</v>
      </c>
      <c r="O29" s="170">
        <f t="shared" si="15"/>
        <v>85.277792599999998</v>
      </c>
      <c r="P29" s="170">
        <f t="shared" si="16"/>
        <v>234.7918174469973</v>
      </c>
      <c r="Q29" s="161">
        <f t="shared" si="17"/>
        <v>2.3244389927252733</v>
      </c>
    </row>
    <row r="31" spans="1:17" x14ac:dyDescent="0.3">
      <c r="A31" s="159" t="s">
        <v>138</v>
      </c>
      <c r="Q31" s="175">
        <f>+'LFCR per Order'!$D$48</f>
        <v>0.1188</v>
      </c>
    </row>
    <row r="32" spans="1:17" x14ac:dyDescent="0.3">
      <c r="B32" s="82" t="s">
        <v>139</v>
      </c>
      <c r="E32" s="161">
        <v>815.66024083733635</v>
      </c>
      <c r="F32" s="161">
        <f t="shared" ref="F32:G44" si="21">+$E32*F$9</f>
        <v>30.424126983232647</v>
      </c>
      <c r="G32" s="161">
        <f t="shared" si="21"/>
        <v>89.722626492106997</v>
      </c>
      <c r="H32" s="170">
        <f t="shared" ref="H32:H44" si="22">SUM(E32:G32)</f>
        <v>935.80699431267601</v>
      </c>
      <c r="I32" s="161">
        <f t="shared" ref="I32:I44" si="23">+$I$10</f>
        <v>69.83</v>
      </c>
      <c r="J32" s="161">
        <f t="shared" ref="J32:K44" si="24">+$I32*J$9</f>
        <v>20.948999999999998</v>
      </c>
      <c r="K32" s="161">
        <f t="shared" si="24"/>
        <v>27.932000000000002</v>
      </c>
      <c r="L32" s="161">
        <f t="shared" ref="L32:N44" si="25">($J32+$K32)*L$9</f>
        <v>11.799873400000001</v>
      </c>
      <c r="M32" s="161">
        <f t="shared" si="25"/>
        <v>7.6792050999999999</v>
      </c>
      <c r="N32" s="161">
        <f t="shared" si="25"/>
        <v>16.917714100000001</v>
      </c>
      <c r="O32" s="170">
        <f t="shared" ref="O32:O44" si="26">SUM(J32:N32)</f>
        <v>85.277792599999998</v>
      </c>
      <c r="P32" s="170">
        <f t="shared" ref="P32:P44" si="27">+O32+H32</f>
        <v>1021.084786912676</v>
      </c>
      <c r="Q32" s="161">
        <f>+P32*$Q$31/12</f>
        <v>10.108739390435494</v>
      </c>
    </row>
    <row r="33" spans="1:17" x14ac:dyDescent="0.3">
      <c r="B33" s="82" t="s">
        <v>140</v>
      </c>
      <c r="E33" s="161">
        <v>728.19649322862813</v>
      </c>
      <c r="F33" s="161">
        <f t="shared" si="21"/>
        <v>27.161729197427828</v>
      </c>
      <c r="G33" s="161">
        <f t="shared" si="21"/>
        <v>80.101614255149101</v>
      </c>
      <c r="H33" s="170">
        <f t="shared" si="22"/>
        <v>835.45983668120505</v>
      </c>
      <c r="I33" s="161">
        <f t="shared" si="23"/>
        <v>69.83</v>
      </c>
      <c r="J33" s="161">
        <f t="shared" si="24"/>
        <v>20.948999999999998</v>
      </c>
      <c r="K33" s="161">
        <f t="shared" si="24"/>
        <v>27.932000000000002</v>
      </c>
      <c r="L33" s="161">
        <f t="shared" si="25"/>
        <v>11.799873400000001</v>
      </c>
      <c r="M33" s="161">
        <f t="shared" si="25"/>
        <v>7.6792050999999999</v>
      </c>
      <c r="N33" s="161">
        <f t="shared" si="25"/>
        <v>16.917714100000001</v>
      </c>
      <c r="O33" s="170">
        <f t="shared" si="26"/>
        <v>85.277792599999998</v>
      </c>
      <c r="P33" s="170">
        <f t="shared" si="27"/>
        <v>920.73762928120505</v>
      </c>
      <c r="Q33" s="161">
        <f t="shared" ref="Q33:Q44" si="28">+P33*$Q$31/12</f>
        <v>9.1153025298839303</v>
      </c>
    </row>
    <row r="34" spans="1:17" x14ac:dyDescent="0.3">
      <c r="B34" s="82" t="s">
        <v>141</v>
      </c>
      <c r="E34" s="161">
        <v>868.49123045616193</v>
      </c>
      <c r="F34" s="161">
        <f t="shared" si="21"/>
        <v>32.394722896014841</v>
      </c>
      <c r="G34" s="161">
        <f t="shared" si="21"/>
        <v>95.534035350177817</v>
      </c>
      <c r="H34" s="170">
        <f t="shared" si="22"/>
        <v>996.41998870235466</v>
      </c>
      <c r="I34" s="161">
        <f t="shared" si="23"/>
        <v>69.83</v>
      </c>
      <c r="J34" s="161">
        <f t="shared" si="24"/>
        <v>20.948999999999998</v>
      </c>
      <c r="K34" s="161">
        <f t="shared" si="24"/>
        <v>27.932000000000002</v>
      </c>
      <c r="L34" s="161">
        <f t="shared" si="25"/>
        <v>11.799873400000001</v>
      </c>
      <c r="M34" s="161">
        <f t="shared" si="25"/>
        <v>7.6792050999999999</v>
      </c>
      <c r="N34" s="161">
        <f t="shared" si="25"/>
        <v>16.917714100000001</v>
      </c>
      <c r="O34" s="170">
        <f t="shared" si="26"/>
        <v>85.277792599999998</v>
      </c>
      <c r="P34" s="170">
        <f t="shared" si="27"/>
        <v>1081.6977813023545</v>
      </c>
      <c r="Q34" s="161">
        <f t="shared" si="28"/>
        <v>10.708808034893311</v>
      </c>
    </row>
    <row r="35" spans="1:17" x14ac:dyDescent="0.3">
      <c r="B35" s="82" t="s">
        <v>142</v>
      </c>
      <c r="E35" s="161">
        <v>815.66024083733635</v>
      </c>
      <c r="F35" s="161">
        <f t="shared" si="21"/>
        <v>30.424126983232647</v>
      </c>
      <c r="G35" s="161">
        <f t="shared" si="21"/>
        <v>89.722626492106997</v>
      </c>
      <c r="H35" s="170">
        <f t="shared" si="22"/>
        <v>935.80699431267601</v>
      </c>
      <c r="I35" s="161">
        <f t="shared" si="23"/>
        <v>69.83</v>
      </c>
      <c r="J35" s="161">
        <f t="shared" si="24"/>
        <v>20.948999999999998</v>
      </c>
      <c r="K35" s="161">
        <f t="shared" si="24"/>
        <v>27.932000000000002</v>
      </c>
      <c r="L35" s="161">
        <f t="shared" si="25"/>
        <v>11.799873400000001</v>
      </c>
      <c r="M35" s="161">
        <f t="shared" si="25"/>
        <v>7.6792050999999999</v>
      </c>
      <c r="N35" s="161">
        <f t="shared" si="25"/>
        <v>16.917714100000001</v>
      </c>
      <c r="O35" s="170">
        <f t="shared" si="26"/>
        <v>85.277792599999998</v>
      </c>
      <c r="P35" s="170">
        <f t="shared" si="27"/>
        <v>1021.084786912676</v>
      </c>
      <c r="Q35" s="161">
        <f t="shared" si="28"/>
        <v>10.108739390435494</v>
      </c>
    </row>
    <row r="36" spans="1:17" x14ac:dyDescent="0.3">
      <c r="B36" s="82" t="s">
        <v>143</v>
      </c>
      <c r="E36" s="161">
        <v>728.19649322862813</v>
      </c>
      <c r="F36" s="161">
        <f t="shared" si="21"/>
        <v>27.161729197427828</v>
      </c>
      <c r="G36" s="161">
        <f t="shared" si="21"/>
        <v>80.101614255149101</v>
      </c>
      <c r="H36" s="170">
        <f t="shared" si="22"/>
        <v>835.45983668120505</v>
      </c>
      <c r="I36" s="161">
        <f t="shared" si="23"/>
        <v>69.83</v>
      </c>
      <c r="J36" s="161">
        <f t="shared" si="24"/>
        <v>20.948999999999998</v>
      </c>
      <c r="K36" s="161">
        <f t="shared" si="24"/>
        <v>27.932000000000002</v>
      </c>
      <c r="L36" s="161">
        <f t="shared" si="25"/>
        <v>11.799873400000001</v>
      </c>
      <c r="M36" s="161">
        <f t="shared" si="25"/>
        <v>7.6792050999999999</v>
      </c>
      <c r="N36" s="161">
        <f t="shared" si="25"/>
        <v>16.917714100000001</v>
      </c>
      <c r="O36" s="170">
        <f t="shared" si="26"/>
        <v>85.277792599999998</v>
      </c>
      <c r="P36" s="170">
        <f t="shared" si="27"/>
        <v>920.73762928120505</v>
      </c>
      <c r="Q36" s="161">
        <f t="shared" si="28"/>
        <v>9.1153025298839303</v>
      </c>
    </row>
    <row r="37" spans="1:17" x14ac:dyDescent="0.3">
      <c r="B37" s="82" t="s">
        <v>144</v>
      </c>
      <c r="E37" s="161">
        <v>706.81824755586103</v>
      </c>
      <c r="F37" s="161">
        <f t="shared" si="21"/>
        <v>26.364320633833618</v>
      </c>
      <c r="G37" s="161">
        <f t="shared" si="21"/>
        <v>77.750007231144721</v>
      </c>
      <c r="H37" s="170">
        <f t="shared" si="22"/>
        <v>810.93257542083938</v>
      </c>
      <c r="I37" s="161">
        <f t="shared" si="23"/>
        <v>69.83</v>
      </c>
      <c r="J37" s="161">
        <f t="shared" si="24"/>
        <v>20.948999999999998</v>
      </c>
      <c r="K37" s="161">
        <f t="shared" si="24"/>
        <v>27.932000000000002</v>
      </c>
      <c r="L37" s="161">
        <f t="shared" si="25"/>
        <v>11.799873400000001</v>
      </c>
      <c r="M37" s="161">
        <f t="shared" si="25"/>
        <v>7.6792050999999999</v>
      </c>
      <c r="N37" s="161">
        <f t="shared" si="25"/>
        <v>16.917714100000001</v>
      </c>
      <c r="O37" s="170">
        <f t="shared" si="26"/>
        <v>85.277792599999998</v>
      </c>
      <c r="P37" s="170">
        <f t="shared" si="27"/>
        <v>896.21036802083938</v>
      </c>
      <c r="Q37" s="161">
        <f t="shared" si="28"/>
        <v>8.8724826434063093</v>
      </c>
    </row>
    <row r="38" spans="1:17" x14ac:dyDescent="0.3">
      <c r="B38" s="82" t="s">
        <v>145</v>
      </c>
      <c r="E38" s="161">
        <v>871.16351116525789</v>
      </c>
      <c r="F38" s="161">
        <f t="shared" si="21"/>
        <v>32.494398966464118</v>
      </c>
      <c r="G38" s="161">
        <f t="shared" si="21"/>
        <v>95.827986228178375</v>
      </c>
      <c r="H38" s="170">
        <f t="shared" si="22"/>
        <v>999.48589635990038</v>
      </c>
      <c r="I38" s="161">
        <f t="shared" si="23"/>
        <v>69.83</v>
      </c>
      <c r="J38" s="161">
        <f t="shared" si="24"/>
        <v>20.948999999999998</v>
      </c>
      <c r="K38" s="161">
        <f t="shared" si="24"/>
        <v>27.932000000000002</v>
      </c>
      <c r="L38" s="161">
        <f t="shared" si="25"/>
        <v>11.799873400000001</v>
      </c>
      <c r="M38" s="161">
        <f t="shared" si="25"/>
        <v>7.6792050999999999</v>
      </c>
      <c r="N38" s="161">
        <f t="shared" si="25"/>
        <v>16.917714100000001</v>
      </c>
      <c r="O38" s="170">
        <f t="shared" si="26"/>
        <v>85.277792599999998</v>
      </c>
      <c r="P38" s="170">
        <f t="shared" si="27"/>
        <v>1084.7636889599003</v>
      </c>
      <c r="Q38" s="161">
        <f t="shared" si="28"/>
        <v>10.739160520703011</v>
      </c>
    </row>
    <row r="39" spans="1:17" x14ac:dyDescent="0.3">
      <c r="B39" s="82" t="s">
        <v>146</v>
      </c>
      <c r="E39" s="161">
        <v>935.91287274665115</v>
      </c>
      <c r="F39" s="161">
        <f t="shared" si="21"/>
        <v>34.909550153450084</v>
      </c>
      <c r="G39" s="161">
        <f t="shared" si="21"/>
        <v>102.95041600213163</v>
      </c>
      <c r="H39" s="170">
        <f t="shared" si="22"/>
        <v>1073.7728389022327</v>
      </c>
      <c r="I39" s="161">
        <f t="shared" si="23"/>
        <v>69.83</v>
      </c>
      <c r="J39" s="161">
        <f t="shared" si="24"/>
        <v>20.948999999999998</v>
      </c>
      <c r="K39" s="161">
        <f t="shared" si="24"/>
        <v>27.932000000000002</v>
      </c>
      <c r="L39" s="161">
        <f t="shared" si="25"/>
        <v>11.799873400000001</v>
      </c>
      <c r="M39" s="161">
        <f t="shared" si="25"/>
        <v>7.6792050999999999</v>
      </c>
      <c r="N39" s="161">
        <f t="shared" si="25"/>
        <v>16.917714100000001</v>
      </c>
      <c r="O39" s="170">
        <f t="shared" si="26"/>
        <v>85.277792599999998</v>
      </c>
      <c r="P39" s="170">
        <f t="shared" si="27"/>
        <v>1159.0506315022326</v>
      </c>
      <c r="Q39" s="161">
        <f t="shared" si="28"/>
        <v>11.474601251872103</v>
      </c>
    </row>
    <row r="40" spans="1:17" x14ac:dyDescent="0.3">
      <c r="B40" s="82" t="s">
        <v>147</v>
      </c>
      <c r="E40" s="161">
        <v>935.64564467574144</v>
      </c>
      <c r="F40" s="161">
        <f t="shared" si="21"/>
        <v>34.899582546405156</v>
      </c>
      <c r="G40" s="161">
        <f t="shared" si="21"/>
        <v>102.92102091433156</v>
      </c>
      <c r="H40" s="170">
        <f t="shared" si="22"/>
        <v>1073.4662481364783</v>
      </c>
      <c r="I40" s="161">
        <f t="shared" si="23"/>
        <v>69.83</v>
      </c>
      <c r="J40" s="161">
        <f t="shared" si="24"/>
        <v>20.948999999999998</v>
      </c>
      <c r="K40" s="161">
        <f t="shared" si="24"/>
        <v>27.932000000000002</v>
      </c>
      <c r="L40" s="161">
        <f t="shared" si="25"/>
        <v>11.799873400000001</v>
      </c>
      <c r="M40" s="161">
        <f t="shared" si="25"/>
        <v>7.6792050999999999</v>
      </c>
      <c r="N40" s="161">
        <f t="shared" si="25"/>
        <v>16.917714100000001</v>
      </c>
      <c r="O40" s="170">
        <f t="shared" si="26"/>
        <v>85.277792599999998</v>
      </c>
      <c r="P40" s="170">
        <f t="shared" si="27"/>
        <v>1158.7440407364784</v>
      </c>
      <c r="Q40" s="161">
        <f t="shared" si="28"/>
        <v>11.471566003291137</v>
      </c>
    </row>
    <row r="41" spans="1:17" x14ac:dyDescent="0.3">
      <c r="B41" s="82" t="s">
        <v>148</v>
      </c>
      <c r="E41" s="161">
        <v>935.64564467574144</v>
      </c>
      <c r="F41" s="161">
        <f t="shared" si="21"/>
        <v>34.899582546405156</v>
      </c>
      <c r="G41" s="161">
        <f t="shared" si="21"/>
        <v>102.92102091433156</v>
      </c>
      <c r="H41" s="170">
        <f t="shared" si="22"/>
        <v>1073.4662481364783</v>
      </c>
      <c r="I41" s="161">
        <f t="shared" si="23"/>
        <v>69.83</v>
      </c>
      <c r="J41" s="161">
        <f t="shared" si="24"/>
        <v>20.948999999999998</v>
      </c>
      <c r="K41" s="161">
        <f t="shared" si="24"/>
        <v>27.932000000000002</v>
      </c>
      <c r="L41" s="161">
        <f t="shared" si="25"/>
        <v>11.799873400000001</v>
      </c>
      <c r="M41" s="161">
        <f t="shared" si="25"/>
        <v>7.6792050999999999</v>
      </c>
      <c r="N41" s="161">
        <f t="shared" si="25"/>
        <v>16.917714100000001</v>
      </c>
      <c r="O41" s="170">
        <f t="shared" si="26"/>
        <v>85.277792599999998</v>
      </c>
      <c r="P41" s="170">
        <f t="shared" si="27"/>
        <v>1158.7440407364784</v>
      </c>
      <c r="Q41" s="161">
        <f t="shared" si="28"/>
        <v>11.471566003291137</v>
      </c>
    </row>
    <row r="42" spans="1:17" x14ac:dyDescent="0.3">
      <c r="B42" s="82" t="s">
        <v>149</v>
      </c>
      <c r="E42" s="161">
        <v>935.64564467574144</v>
      </c>
      <c r="F42" s="161">
        <f t="shared" si="21"/>
        <v>34.899582546405156</v>
      </c>
      <c r="G42" s="161">
        <f t="shared" si="21"/>
        <v>102.92102091433156</v>
      </c>
      <c r="H42" s="170">
        <f t="shared" si="22"/>
        <v>1073.4662481364783</v>
      </c>
      <c r="I42" s="161">
        <f t="shared" si="23"/>
        <v>69.83</v>
      </c>
      <c r="J42" s="161">
        <f t="shared" si="24"/>
        <v>20.948999999999998</v>
      </c>
      <c r="K42" s="161">
        <f t="shared" si="24"/>
        <v>27.932000000000002</v>
      </c>
      <c r="L42" s="161">
        <f t="shared" si="25"/>
        <v>11.799873400000001</v>
      </c>
      <c r="M42" s="161">
        <f t="shared" si="25"/>
        <v>7.6792050999999999</v>
      </c>
      <c r="N42" s="161">
        <f t="shared" si="25"/>
        <v>16.917714100000001</v>
      </c>
      <c r="O42" s="170">
        <f t="shared" si="26"/>
        <v>85.277792599999998</v>
      </c>
      <c r="P42" s="170">
        <f t="shared" si="27"/>
        <v>1158.7440407364784</v>
      </c>
      <c r="Q42" s="161">
        <f t="shared" si="28"/>
        <v>11.471566003291137</v>
      </c>
    </row>
    <row r="43" spans="1:17" x14ac:dyDescent="0.3">
      <c r="B43" s="82" t="s">
        <v>150</v>
      </c>
      <c r="E43" s="161">
        <v>808.36491450150459</v>
      </c>
      <c r="F43" s="161">
        <f t="shared" si="21"/>
        <v>30.152011310906122</v>
      </c>
      <c r="G43" s="161">
        <f t="shared" si="21"/>
        <v>88.920140595165506</v>
      </c>
      <c r="H43" s="170">
        <f t="shared" si="22"/>
        <v>927.43706640757625</v>
      </c>
      <c r="I43" s="161">
        <f t="shared" si="23"/>
        <v>69.83</v>
      </c>
      <c r="J43" s="161">
        <f t="shared" si="24"/>
        <v>20.948999999999998</v>
      </c>
      <c r="K43" s="161">
        <f t="shared" si="24"/>
        <v>27.932000000000002</v>
      </c>
      <c r="L43" s="161">
        <f t="shared" si="25"/>
        <v>11.799873400000001</v>
      </c>
      <c r="M43" s="161">
        <f t="shared" si="25"/>
        <v>7.6792050999999999</v>
      </c>
      <c r="N43" s="161">
        <f t="shared" si="25"/>
        <v>16.917714100000001</v>
      </c>
      <c r="O43" s="170">
        <f t="shared" si="26"/>
        <v>85.277792599999998</v>
      </c>
      <c r="P43" s="170">
        <f t="shared" si="27"/>
        <v>1012.7148590075763</v>
      </c>
      <c r="Q43" s="161">
        <f t="shared" si="28"/>
        <v>10.025877104175004</v>
      </c>
    </row>
    <row r="44" spans="1:17" x14ac:dyDescent="0.3">
      <c r="B44" s="82" t="s">
        <v>151</v>
      </c>
      <c r="E44" s="161">
        <v>421.85010754490423</v>
      </c>
      <c r="F44" s="161">
        <f t="shared" si="21"/>
        <v>15.735009011424928</v>
      </c>
      <c r="G44" s="161">
        <f t="shared" si="21"/>
        <v>46.403511829939468</v>
      </c>
      <c r="H44" s="170">
        <f t="shared" si="22"/>
        <v>483.98862838626866</v>
      </c>
      <c r="I44" s="161">
        <f t="shared" si="23"/>
        <v>69.83</v>
      </c>
      <c r="J44" s="161">
        <f t="shared" si="24"/>
        <v>20.948999999999998</v>
      </c>
      <c r="K44" s="161">
        <f t="shared" si="24"/>
        <v>27.932000000000002</v>
      </c>
      <c r="L44" s="161">
        <f t="shared" si="25"/>
        <v>11.799873400000001</v>
      </c>
      <c r="M44" s="161">
        <f t="shared" si="25"/>
        <v>7.6792050999999999</v>
      </c>
      <c r="N44" s="161">
        <f t="shared" si="25"/>
        <v>16.917714100000001</v>
      </c>
      <c r="O44" s="170">
        <f t="shared" si="26"/>
        <v>85.277792599999998</v>
      </c>
      <c r="P44" s="170">
        <f t="shared" si="27"/>
        <v>569.26642098626871</v>
      </c>
      <c r="Q44" s="161">
        <f t="shared" si="28"/>
        <v>5.6357375677640604</v>
      </c>
    </row>
    <row r="46" spans="1:17" x14ac:dyDescent="0.3">
      <c r="A46" s="159" t="s">
        <v>152</v>
      </c>
      <c r="Q46" s="175">
        <f>+'LFCR per Order'!$D$48</f>
        <v>0.1188</v>
      </c>
    </row>
    <row r="47" spans="1:17" x14ac:dyDescent="0.3">
      <c r="B47" s="82" t="s">
        <v>153</v>
      </c>
      <c r="E47" s="161">
        <v>44.07646440179203</v>
      </c>
      <c r="F47" s="161">
        <f t="shared" ref="F47:G62" si="29">+$E47*F$9</f>
        <v>1.6440521221868427</v>
      </c>
      <c r="G47" s="161">
        <f t="shared" si="29"/>
        <v>4.8484110841971235</v>
      </c>
      <c r="H47" s="170">
        <f t="shared" ref="H47:H72" si="30">SUM(E47:G47)</f>
        <v>50.568927608175997</v>
      </c>
      <c r="I47" s="161">
        <f t="shared" ref="I47:I72" si="31">+$I$10</f>
        <v>69.83</v>
      </c>
      <c r="J47" s="161">
        <f t="shared" ref="J47:K62" si="32">+$I47*J$9</f>
        <v>20.948999999999998</v>
      </c>
      <c r="K47" s="161">
        <f t="shared" si="32"/>
        <v>27.932000000000002</v>
      </c>
      <c r="L47" s="161">
        <f t="shared" ref="L47:N62" si="33">($J47+$K47)*L$9</f>
        <v>11.799873400000001</v>
      </c>
      <c r="M47" s="161">
        <f t="shared" si="33"/>
        <v>7.6792050999999999</v>
      </c>
      <c r="N47" s="161">
        <f t="shared" si="33"/>
        <v>16.917714100000001</v>
      </c>
      <c r="O47" s="170">
        <f t="shared" ref="O47:O72" si="34">SUM(J47:N47)</f>
        <v>85.277792599999998</v>
      </c>
      <c r="P47" s="170">
        <f t="shared" ref="P47:P72" si="35">+O47+H47</f>
        <v>135.84672020817601</v>
      </c>
      <c r="Q47" s="161">
        <f>+P47*$Q$46/12</f>
        <v>1.3448825300609426</v>
      </c>
    </row>
    <row r="48" spans="1:17" x14ac:dyDescent="0.3">
      <c r="B48" s="82" t="s">
        <v>154</v>
      </c>
      <c r="E48" s="161">
        <v>53.19762653211356</v>
      </c>
      <c r="F48" s="161">
        <f t="shared" si="29"/>
        <v>1.9842714696478359</v>
      </c>
      <c r="G48" s="161">
        <f t="shared" si="29"/>
        <v>5.851738918532492</v>
      </c>
      <c r="H48" s="170">
        <f t="shared" si="30"/>
        <v>61.033636920293887</v>
      </c>
      <c r="I48" s="161">
        <f t="shared" si="31"/>
        <v>69.83</v>
      </c>
      <c r="J48" s="161">
        <f t="shared" si="32"/>
        <v>20.948999999999998</v>
      </c>
      <c r="K48" s="161">
        <f t="shared" si="32"/>
        <v>27.932000000000002</v>
      </c>
      <c r="L48" s="161">
        <f t="shared" si="33"/>
        <v>11.799873400000001</v>
      </c>
      <c r="M48" s="161">
        <f t="shared" si="33"/>
        <v>7.6792050999999999</v>
      </c>
      <c r="N48" s="161">
        <f t="shared" si="33"/>
        <v>16.917714100000001</v>
      </c>
      <c r="O48" s="170">
        <f t="shared" si="34"/>
        <v>85.277792599999998</v>
      </c>
      <c r="P48" s="170">
        <f t="shared" si="35"/>
        <v>146.31142952029387</v>
      </c>
      <c r="Q48" s="161">
        <f t="shared" ref="Q48:Q72" si="36">+P48*$Q$46/12</f>
        <v>1.4484831522509094</v>
      </c>
    </row>
    <row r="49" spans="2:17" x14ac:dyDescent="0.3">
      <c r="B49" s="82" t="s">
        <v>155</v>
      </c>
      <c r="E49" s="161">
        <v>42.539234923884635</v>
      </c>
      <c r="F49" s="161">
        <f t="shared" si="29"/>
        <v>1.586713462660897</v>
      </c>
      <c r="G49" s="161">
        <f t="shared" si="29"/>
        <v>4.67931584162731</v>
      </c>
      <c r="H49" s="170">
        <f t="shared" si="30"/>
        <v>48.805264228172838</v>
      </c>
      <c r="I49" s="161">
        <f t="shared" si="31"/>
        <v>69.83</v>
      </c>
      <c r="J49" s="161">
        <f t="shared" si="32"/>
        <v>20.948999999999998</v>
      </c>
      <c r="K49" s="161">
        <f t="shared" si="32"/>
        <v>27.932000000000002</v>
      </c>
      <c r="L49" s="161">
        <f t="shared" si="33"/>
        <v>11.799873400000001</v>
      </c>
      <c r="M49" s="161">
        <f t="shared" si="33"/>
        <v>7.6792050999999999</v>
      </c>
      <c r="N49" s="161">
        <f t="shared" si="33"/>
        <v>16.917714100000001</v>
      </c>
      <c r="O49" s="170">
        <f t="shared" si="34"/>
        <v>85.277792599999998</v>
      </c>
      <c r="P49" s="170">
        <f t="shared" si="35"/>
        <v>134.08305682817283</v>
      </c>
      <c r="Q49" s="161">
        <f t="shared" si="36"/>
        <v>1.3274222625989112</v>
      </c>
    </row>
    <row r="50" spans="2:17" x14ac:dyDescent="0.3">
      <c r="B50" s="82" t="s">
        <v>156</v>
      </c>
      <c r="E50" s="161">
        <v>114.30894515614368</v>
      </c>
      <c r="F50" s="161">
        <f t="shared" si="29"/>
        <v>4.263723654324159</v>
      </c>
      <c r="G50" s="161">
        <f t="shared" si="29"/>
        <v>12.573983967175804</v>
      </c>
      <c r="H50" s="170">
        <f t="shared" si="30"/>
        <v>131.14665277764362</v>
      </c>
      <c r="I50" s="161">
        <f t="shared" si="31"/>
        <v>69.83</v>
      </c>
      <c r="J50" s="161">
        <f t="shared" si="32"/>
        <v>20.948999999999998</v>
      </c>
      <c r="K50" s="161">
        <f t="shared" si="32"/>
        <v>27.932000000000002</v>
      </c>
      <c r="L50" s="161">
        <f t="shared" si="33"/>
        <v>11.799873400000001</v>
      </c>
      <c r="M50" s="161">
        <f t="shared" si="33"/>
        <v>7.6792050999999999</v>
      </c>
      <c r="N50" s="161">
        <f t="shared" si="33"/>
        <v>16.917714100000001</v>
      </c>
      <c r="O50" s="170">
        <f t="shared" si="34"/>
        <v>85.277792599999998</v>
      </c>
      <c r="P50" s="170">
        <f t="shared" si="35"/>
        <v>216.42444537764362</v>
      </c>
      <c r="Q50" s="161">
        <f t="shared" si="36"/>
        <v>2.1426020092386717</v>
      </c>
    </row>
    <row r="51" spans="2:17" x14ac:dyDescent="0.3">
      <c r="B51" s="82" t="s">
        <v>157</v>
      </c>
      <c r="E51" s="161">
        <v>316.07148325430103</v>
      </c>
      <c r="F51" s="161">
        <f t="shared" si="29"/>
        <v>11.789466325385428</v>
      </c>
      <c r="G51" s="161">
        <f t="shared" si="29"/>
        <v>34.76786315797311</v>
      </c>
      <c r="H51" s="170">
        <f t="shared" si="30"/>
        <v>362.62881273765959</v>
      </c>
      <c r="I51" s="161">
        <f t="shared" si="31"/>
        <v>69.83</v>
      </c>
      <c r="J51" s="161">
        <f t="shared" si="32"/>
        <v>20.948999999999998</v>
      </c>
      <c r="K51" s="161">
        <f t="shared" si="32"/>
        <v>27.932000000000002</v>
      </c>
      <c r="L51" s="161">
        <f t="shared" si="33"/>
        <v>11.799873400000001</v>
      </c>
      <c r="M51" s="161">
        <f t="shared" si="33"/>
        <v>7.6792050999999999</v>
      </c>
      <c r="N51" s="161">
        <f t="shared" si="33"/>
        <v>16.917714100000001</v>
      </c>
      <c r="O51" s="170">
        <f t="shared" si="34"/>
        <v>85.277792599999998</v>
      </c>
      <c r="P51" s="170">
        <f t="shared" si="35"/>
        <v>447.90660533765958</v>
      </c>
      <c r="Q51" s="161">
        <f t="shared" si="36"/>
        <v>4.4342753928428298</v>
      </c>
    </row>
    <row r="52" spans="2:17" x14ac:dyDescent="0.3">
      <c r="B52" s="82" t="s">
        <v>158</v>
      </c>
      <c r="E52" s="161">
        <v>235.21120850583961</v>
      </c>
      <c r="F52" s="161">
        <f t="shared" si="29"/>
        <v>8.773378077267818</v>
      </c>
      <c r="G52" s="161">
        <f t="shared" si="29"/>
        <v>25.873232935642356</v>
      </c>
      <c r="H52" s="170">
        <f t="shared" si="30"/>
        <v>269.85781951874975</v>
      </c>
      <c r="I52" s="161">
        <f t="shared" si="31"/>
        <v>69.83</v>
      </c>
      <c r="J52" s="161">
        <f t="shared" si="32"/>
        <v>20.948999999999998</v>
      </c>
      <c r="K52" s="161">
        <f t="shared" si="32"/>
        <v>27.932000000000002</v>
      </c>
      <c r="L52" s="161">
        <f t="shared" si="33"/>
        <v>11.799873400000001</v>
      </c>
      <c r="M52" s="161">
        <f t="shared" si="33"/>
        <v>7.6792050999999999</v>
      </c>
      <c r="N52" s="161">
        <f t="shared" si="33"/>
        <v>16.917714100000001</v>
      </c>
      <c r="O52" s="170">
        <f t="shared" si="34"/>
        <v>85.277792599999998</v>
      </c>
      <c r="P52" s="170">
        <f t="shared" si="35"/>
        <v>355.13561211874975</v>
      </c>
      <c r="Q52" s="161">
        <f t="shared" si="36"/>
        <v>3.5158425599756224</v>
      </c>
    </row>
    <row r="53" spans="2:17" x14ac:dyDescent="0.3">
      <c r="B53" s="82" t="s">
        <v>159</v>
      </c>
      <c r="E53" s="161">
        <v>302.10454090014048</v>
      </c>
      <c r="F53" s="161">
        <f t="shared" si="29"/>
        <v>11.268499375575241</v>
      </c>
      <c r="G53" s="161">
        <f t="shared" si="29"/>
        <v>33.231499499015456</v>
      </c>
      <c r="H53" s="170">
        <f t="shared" si="30"/>
        <v>346.60453977473117</v>
      </c>
      <c r="I53" s="161">
        <f t="shared" si="31"/>
        <v>69.83</v>
      </c>
      <c r="J53" s="161">
        <f t="shared" si="32"/>
        <v>20.948999999999998</v>
      </c>
      <c r="K53" s="161">
        <f t="shared" si="32"/>
        <v>27.932000000000002</v>
      </c>
      <c r="L53" s="161">
        <f t="shared" si="33"/>
        <v>11.799873400000001</v>
      </c>
      <c r="M53" s="161">
        <f t="shared" si="33"/>
        <v>7.6792050999999999</v>
      </c>
      <c r="N53" s="161">
        <f t="shared" si="33"/>
        <v>16.917714100000001</v>
      </c>
      <c r="O53" s="170">
        <f t="shared" si="34"/>
        <v>85.277792599999998</v>
      </c>
      <c r="P53" s="170">
        <f t="shared" si="35"/>
        <v>431.88233237473116</v>
      </c>
      <c r="Q53" s="161">
        <f t="shared" si="36"/>
        <v>4.2756350905098381</v>
      </c>
    </row>
    <row r="54" spans="2:17" x14ac:dyDescent="0.3">
      <c r="B54" s="82" t="s">
        <v>160</v>
      </c>
      <c r="E54" s="161">
        <v>380.20541858838948</v>
      </c>
      <c r="F54" s="161">
        <f t="shared" si="29"/>
        <v>14.181662113346928</v>
      </c>
      <c r="G54" s="161">
        <f t="shared" si="29"/>
        <v>41.822596044722843</v>
      </c>
      <c r="H54" s="170">
        <f t="shared" si="30"/>
        <v>436.20967674645925</v>
      </c>
      <c r="I54" s="161">
        <f t="shared" si="31"/>
        <v>69.83</v>
      </c>
      <c r="J54" s="161">
        <f t="shared" si="32"/>
        <v>20.948999999999998</v>
      </c>
      <c r="K54" s="161">
        <f t="shared" si="32"/>
        <v>27.932000000000002</v>
      </c>
      <c r="L54" s="161">
        <f t="shared" si="33"/>
        <v>11.799873400000001</v>
      </c>
      <c r="M54" s="161">
        <f t="shared" si="33"/>
        <v>7.6792050999999999</v>
      </c>
      <c r="N54" s="161">
        <f t="shared" si="33"/>
        <v>16.917714100000001</v>
      </c>
      <c r="O54" s="170">
        <f t="shared" si="34"/>
        <v>85.277792599999998</v>
      </c>
      <c r="P54" s="170">
        <f t="shared" si="35"/>
        <v>521.48746934645919</v>
      </c>
      <c r="Q54" s="161">
        <f t="shared" si="36"/>
        <v>5.162725946529946</v>
      </c>
    </row>
    <row r="55" spans="2:17" x14ac:dyDescent="0.3">
      <c r="B55" s="82" t="s">
        <v>161</v>
      </c>
      <c r="E55" s="161">
        <v>411.53122920076595</v>
      </c>
      <c r="F55" s="161">
        <f t="shared" si="29"/>
        <v>15.35011484918857</v>
      </c>
      <c r="G55" s="161">
        <f t="shared" si="29"/>
        <v>45.268435212084256</v>
      </c>
      <c r="H55" s="170">
        <f t="shared" si="30"/>
        <v>472.14977926203881</v>
      </c>
      <c r="I55" s="161">
        <f t="shared" si="31"/>
        <v>69.83</v>
      </c>
      <c r="J55" s="161">
        <f t="shared" si="32"/>
        <v>20.948999999999998</v>
      </c>
      <c r="K55" s="161">
        <f t="shared" si="32"/>
        <v>27.932000000000002</v>
      </c>
      <c r="L55" s="161">
        <f t="shared" si="33"/>
        <v>11.799873400000001</v>
      </c>
      <c r="M55" s="161">
        <f t="shared" si="33"/>
        <v>7.6792050999999999</v>
      </c>
      <c r="N55" s="161">
        <f t="shared" si="33"/>
        <v>16.917714100000001</v>
      </c>
      <c r="O55" s="170">
        <f t="shared" si="34"/>
        <v>85.277792599999998</v>
      </c>
      <c r="P55" s="170">
        <f t="shared" si="35"/>
        <v>557.4275718620388</v>
      </c>
      <c r="Q55" s="161">
        <f t="shared" si="36"/>
        <v>5.5185329614341851</v>
      </c>
    </row>
    <row r="56" spans="2:17" x14ac:dyDescent="0.3">
      <c r="B56" s="82" t="s">
        <v>162</v>
      </c>
      <c r="E56" s="161">
        <v>414.39163847178224</v>
      </c>
      <c r="F56" s="161">
        <f t="shared" si="29"/>
        <v>15.456808114997477</v>
      </c>
      <c r="G56" s="161">
        <f t="shared" si="29"/>
        <v>45.583080231896048</v>
      </c>
      <c r="H56" s="170">
        <f t="shared" si="30"/>
        <v>475.43152681867582</v>
      </c>
      <c r="I56" s="161">
        <f t="shared" si="31"/>
        <v>69.83</v>
      </c>
      <c r="J56" s="161">
        <f t="shared" si="32"/>
        <v>20.948999999999998</v>
      </c>
      <c r="K56" s="161">
        <f t="shared" si="32"/>
        <v>27.932000000000002</v>
      </c>
      <c r="L56" s="161">
        <f t="shared" si="33"/>
        <v>11.799873400000001</v>
      </c>
      <c r="M56" s="161">
        <f t="shared" si="33"/>
        <v>7.6792050999999999</v>
      </c>
      <c r="N56" s="161">
        <f t="shared" si="33"/>
        <v>16.917714100000001</v>
      </c>
      <c r="O56" s="170">
        <f t="shared" si="34"/>
        <v>85.277792599999998</v>
      </c>
      <c r="P56" s="170">
        <f t="shared" si="35"/>
        <v>560.70931941867582</v>
      </c>
      <c r="Q56" s="161">
        <f t="shared" si="36"/>
        <v>5.5510222622448913</v>
      </c>
    </row>
    <row r="57" spans="2:17" x14ac:dyDescent="0.3">
      <c r="B57" s="82" t="s">
        <v>163</v>
      </c>
      <c r="E57" s="161">
        <v>441.22307377356577</v>
      </c>
      <c r="F57" s="161">
        <f t="shared" si="29"/>
        <v>16.457620651754002</v>
      </c>
      <c r="G57" s="161">
        <f t="shared" si="29"/>
        <v>48.534538115092232</v>
      </c>
      <c r="H57" s="170">
        <f t="shared" si="30"/>
        <v>506.21523254041199</v>
      </c>
      <c r="I57" s="161">
        <f t="shared" si="31"/>
        <v>69.83</v>
      </c>
      <c r="J57" s="161">
        <f t="shared" si="32"/>
        <v>20.948999999999998</v>
      </c>
      <c r="K57" s="161">
        <f t="shared" si="32"/>
        <v>27.932000000000002</v>
      </c>
      <c r="L57" s="161">
        <f t="shared" si="33"/>
        <v>11.799873400000001</v>
      </c>
      <c r="M57" s="161">
        <f t="shared" si="33"/>
        <v>7.6792050999999999</v>
      </c>
      <c r="N57" s="161">
        <f t="shared" si="33"/>
        <v>16.917714100000001</v>
      </c>
      <c r="O57" s="170">
        <f t="shared" si="34"/>
        <v>85.277792599999998</v>
      </c>
      <c r="P57" s="170">
        <f t="shared" si="35"/>
        <v>591.49302514041199</v>
      </c>
      <c r="Q57" s="161">
        <f t="shared" si="36"/>
        <v>5.8557809488900787</v>
      </c>
    </row>
    <row r="58" spans="2:17" x14ac:dyDescent="0.3">
      <c r="B58" s="82" t="s">
        <v>164</v>
      </c>
      <c r="E58" s="161">
        <v>511.62030063363318</v>
      </c>
      <c r="F58" s="161">
        <f t="shared" si="29"/>
        <v>19.083437213634518</v>
      </c>
      <c r="G58" s="161">
        <f t="shared" si="29"/>
        <v>56.278233069699652</v>
      </c>
      <c r="H58" s="170">
        <f t="shared" si="30"/>
        <v>586.98197091696738</v>
      </c>
      <c r="I58" s="161">
        <f t="shared" si="31"/>
        <v>69.83</v>
      </c>
      <c r="J58" s="161">
        <f t="shared" si="32"/>
        <v>20.948999999999998</v>
      </c>
      <c r="K58" s="161">
        <f t="shared" si="32"/>
        <v>27.932000000000002</v>
      </c>
      <c r="L58" s="161">
        <f t="shared" si="33"/>
        <v>11.799873400000001</v>
      </c>
      <c r="M58" s="161">
        <f t="shared" si="33"/>
        <v>7.6792050999999999</v>
      </c>
      <c r="N58" s="161">
        <f t="shared" si="33"/>
        <v>16.917714100000001</v>
      </c>
      <c r="O58" s="170">
        <f t="shared" si="34"/>
        <v>85.277792599999998</v>
      </c>
      <c r="P58" s="170">
        <f t="shared" si="35"/>
        <v>672.25976351696738</v>
      </c>
      <c r="Q58" s="161">
        <f t="shared" si="36"/>
        <v>6.6553716588179768</v>
      </c>
    </row>
    <row r="59" spans="2:17" x14ac:dyDescent="0.3">
      <c r="B59" s="82" t="s">
        <v>165</v>
      </c>
      <c r="E59" s="161">
        <v>524.33781814225597</v>
      </c>
      <c r="F59" s="161">
        <f t="shared" si="29"/>
        <v>19.557800616706146</v>
      </c>
      <c r="G59" s="161">
        <f t="shared" si="29"/>
        <v>57.677159995648154</v>
      </c>
      <c r="H59" s="170">
        <f t="shared" si="30"/>
        <v>601.57277875461023</v>
      </c>
      <c r="I59" s="161">
        <f t="shared" si="31"/>
        <v>69.83</v>
      </c>
      <c r="J59" s="161">
        <f t="shared" si="32"/>
        <v>20.948999999999998</v>
      </c>
      <c r="K59" s="161">
        <f t="shared" si="32"/>
        <v>27.932000000000002</v>
      </c>
      <c r="L59" s="161">
        <f t="shared" si="33"/>
        <v>11.799873400000001</v>
      </c>
      <c r="M59" s="161">
        <f t="shared" si="33"/>
        <v>7.6792050999999999</v>
      </c>
      <c r="N59" s="161">
        <f t="shared" si="33"/>
        <v>16.917714100000001</v>
      </c>
      <c r="O59" s="170">
        <f t="shared" si="34"/>
        <v>85.277792599999998</v>
      </c>
      <c r="P59" s="170">
        <f t="shared" si="35"/>
        <v>686.85057135461022</v>
      </c>
      <c r="Q59" s="161">
        <f t="shared" si="36"/>
        <v>6.7998206564106418</v>
      </c>
    </row>
    <row r="60" spans="2:17" x14ac:dyDescent="0.3">
      <c r="B60" s="82" t="s">
        <v>166</v>
      </c>
      <c r="E60" s="161">
        <v>120.21441829517467</v>
      </c>
      <c r="F60" s="161">
        <f t="shared" si="29"/>
        <v>4.4839978024100153</v>
      </c>
      <c r="G60" s="161">
        <f t="shared" si="29"/>
        <v>13.223586012469214</v>
      </c>
      <c r="H60" s="170">
        <f t="shared" si="30"/>
        <v>137.92200211005391</v>
      </c>
      <c r="I60" s="161">
        <f t="shared" si="31"/>
        <v>69.83</v>
      </c>
      <c r="J60" s="161">
        <f t="shared" si="32"/>
        <v>20.948999999999998</v>
      </c>
      <c r="K60" s="161">
        <f t="shared" si="32"/>
        <v>27.932000000000002</v>
      </c>
      <c r="L60" s="161">
        <f t="shared" si="33"/>
        <v>11.799873400000001</v>
      </c>
      <c r="M60" s="161">
        <f t="shared" si="33"/>
        <v>7.6792050999999999</v>
      </c>
      <c r="N60" s="161">
        <f t="shared" si="33"/>
        <v>16.917714100000001</v>
      </c>
      <c r="O60" s="170">
        <f t="shared" si="34"/>
        <v>85.277792599999998</v>
      </c>
      <c r="P60" s="170">
        <f t="shared" si="35"/>
        <v>223.19979471005391</v>
      </c>
      <c r="Q60" s="161">
        <f t="shared" si="36"/>
        <v>2.2096779676295335</v>
      </c>
    </row>
    <row r="61" spans="2:17" x14ac:dyDescent="0.3">
      <c r="B61" s="82" t="s">
        <v>167</v>
      </c>
      <c r="E61" s="161">
        <v>65.510961583485567</v>
      </c>
      <c r="F61" s="161">
        <f t="shared" si="29"/>
        <v>2.4435588670640116</v>
      </c>
      <c r="G61" s="161">
        <f t="shared" si="29"/>
        <v>7.2062057741834122</v>
      </c>
      <c r="H61" s="170">
        <f t="shared" si="30"/>
        <v>75.160726224732997</v>
      </c>
      <c r="I61" s="161">
        <f t="shared" si="31"/>
        <v>69.83</v>
      </c>
      <c r="J61" s="161">
        <f t="shared" si="32"/>
        <v>20.948999999999998</v>
      </c>
      <c r="K61" s="161">
        <f t="shared" si="32"/>
        <v>27.932000000000002</v>
      </c>
      <c r="L61" s="161">
        <f t="shared" si="33"/>
        <v>11.799873400000001</v>
      </c>
      <c r="M61" s="161">
        <f t="shared" si="33"/>
        <v>7.6792050999999999</v>
      </c>
      <c r="N61" s="161">
        <f t="shared" si="33"/>
        <v>16.917714100000001</v>
      </c>
      <c r="O61" s="170">
        <f t="shared" si="34"/>
        <v>85.277792599999998</v>
      </c>
      <c r="P61" s="170">
        <f t="shared" si="35"/>
        <v>160.43851882473299</v>
      </c>
      <c r="Q61" s="161">
        <f t="shared" si="36"/>
        <v>1.5883413363648566</v>
      </c>
    </row>
    <row r="62" spans="2:17" x14ac:dyDescent="0.3">
      <c r="B62" s="82" t="s">
        <v>168</v>
      </c>
      <c r="E62" s="161">
        <v>99.128252903911772</v>
      </c>
      <c r="F62" s="161">
        <f t="shared" si="29"/>
        <v>3.6974838333159092</v>
      </c>
      <c r="G62" s="161">
        <f t="shared" si="29"/>
        <v>10.904107819430296</v>
      </c>
      <c r="H62" s="170">
        <f t="shared" si="30"/>
        <v>113.72984455665798</v>
      </c>
      <c r="I62" s="161">
        <f t="shared" si="31"/>
        <v>69.83</v>
      </c>
      <c r="J62" s="161">
        <f t="shared" si="32"/>
        <v>20.948999999999998</v>
      </c>
      <c r="K62" s="161">
        <f t="shared" si="32"/>
        <v>27.932000000000002</v>
      </c>
      <c r="L62" s="161">
        <f t="shared" si="33"/>
        <v>11.799873400000001</v>
      </c>
      <c r="M62" s="161">
        <f t="shared" si="33"/>
        <v>7.6792050999999999</v>
      </c>
      <c r="N62" s="161">
        <f t="shared" si="33"/>
        <v>16.917714100000001</v>
      </c>
      <c r="O62" s="170">
        <f t="shared" si="34"/>
        <v>85.277792599999998</v>
      </c>
      <c r="P62" s="170">
        <f t="shared" si="35"/>
        <v>199.00763715665798</v>
      </c>
      <c r="Q62" s="161">
        <f t="shared" si="36"/>
        <v>1.9701756078509141</v>
      </c>
    </row>
    <row r="63" spans="2:17" x14ac:dyDescent="0.3">
      <c r="B63" s="82" t="s">
        <v>169</v>
      </c>
      <c r="E63" s="161">
        <v>139.57322143607797</v>
      </c>
      <c r="F63" s="161">
        <f t="shared" ref="F63:G72" si="37">+$E63*F$9</f>
        <v>5.2060811595657084</v>
      </c>
      <c r="G63" s="161">
        <f t="shared" si="37"/>
        <v>15.353054357968578</v>
      </c>
      <c r="H63" s="170">
        <f t="shared" si="30"/>
        <v>160.13235695361226</v>
      </c>
      <c r="I63" s="161">
        <f t="shared" si="31"/>
        <v>69.83</v>
      </c>
      <c r="J63" s="161">
        <f t="shared" ref="J63:K72" si="38">+$I63*J$9</f>
        <v>20.948999999999998</v>
      </c>
      <c r="K63" s="161">
        <f t="shared" si="38"/>
        <v>27.932000000000002</v>
      </c>
      <c r="L63" s="161">
        <f t="shared" ref="L63:N72" si="39">($J63+$K63)*L$9</f>
        <v>11.799873400000001</v>
      </c>
      <c r="M63" s="161">
        <f t="shared" si="39"/>
        <v>7.6792050999999999</v>
      </c>
      <c r="N63" s="161">
        <f t="shared" si="39"/>
        <v>16.917714100000001</v>
      </c>
      <c r="O63" s="170">
        <f t="shared" si="34"/>
        <v>85.277792599999998</v>
      </c>
      <c r="P63" s="170">
        <f t="shared" si="35"/>
        <v>245.41014955361226</v>
      </c>
      <c r="Q63" s="161">
        <f t="shared" si="36"/>
        <v>2.4295604805807614</v>
      </c>
    </row>
    <row r="64" spans="2:17" x14ac:dyDescent="0.3">
      <c r="B64" s="82" t="s">
        <v>170</v>
      </c>
      <c r="E64" s="161">
        <v>125.20276469484395</v>
      </c>
      <c r="F64" s="161">
        <f t="shared" si="37"/>
        <v>4.6700631231176795</v>
      </c>
      <c r="G64" s="161">
        <f t="shared" si="37"/>
        <v>13.772304116432835</v>
      </c>
      <c r="H64" s="170">
        <f t="shared" si="30"/>
        <v>143.64513193439444</v>
      </c>
      <c r="I64" s="161">
        <f t="shared" si="31"/>
        <v>69.83</v>
      </c>
      <c r="J64" s="161">
        <f t="shared" si="38"/>
        <v>20.948999999999998</v>
      </c>
      <c r="K64" s="161">
        <f t="shared" si="38"/>
        <v>27.932000000000002</v>
      </c>
      <c r="L64" s="161">
        <f t="shared" si="39"/>
        <v>11.799873400000001</v>
      </c>
      <c r="M64" s="161">
        <f t="shared" si="39"/>
        <v>7.6792050999999999</v>
      </c>
      <c r="N64" s="161">
        <f t="shared" si="39"/>
        <v>16.917714100000001</v>
      </c>
      <c r="O64" s="170">
        <f t="shared" si="34"/>
        <v>85.277792599999998</v>
      </c>
      <c r="P64" s="170">
        <f t="shared" si="35"/>
        <v>228.92292453439444</v>
      </c>
      <c r="Q64" s="161">
        <f t="shared" si="36"/>
        <v>2.2663369528905051</v>
      </c>
    </row>
    <row r="65" spans="1:17" x14ac:dyDescent="0.3">
      <c r="B65" s="82" t="s">
        <v>171</v>
      </c>
      <c r="E65" s="161">
        <v>136.25932612872816</v>
      </c>
      <c r="F65" s="161">
        <f t="shared" si="37"/>
        <v>5.0824728646015602</v>
      </c>
      <c r="G65" s="161">
        <f t="shared" si="37"/>
        <v>14.988525874160098</v>
      </c>
      <c r="H65" s="170">
        <f t="shared" si="30"/>
        <v>156.33032486748982</v>
      </c>
      <c r="I65" s="161">
        <f t="shared" si="31"/>
        <v>69.83</v>
      </c>
      <c r="J65" s="161">
        <f t="shared" si="38"/>
        <v>20.948999999999998</v>
      </c>
      <c r="K65" s="161">
        <f t="shared" si="38"/>
        <v>27.932000000000002</v>
      </c>
      <c r="L65" s="161">
        <f t="shared" si="39"/>
        <v>11.799873400000001</v>
      </c>
      <c r="M65" s="161">
        <f t="shared" si="39"/>
        <v>7.6792050999999999</v>
      </c>
      <c r="N65" s="161">
        <f t="shared" si="39"/>
        <v>16.917714100000001</v>
      </c>
      <c r="O65" s="170">
        <f t="shared" si="34"/>
        <v>85.277792599999998</v>
      </c>
      <c r="P65" s="170">
        <f t="shared" si="35"/>
        <v>241.60811746748982</v>
      </c>
      <c r="Q65" s="161">
        <f t="shared" si="36"/>
        <v>2.3919203629281491</v>
      </c>
    </row>
    <row r="66" spans="1:17" x14ac:dyDescent="0.3">
      <c r="B66" s="82" t="s">
        <v>172</v>
      </c>
      <c r="E66" s="161">
        <v>261.72317264885078</v>
      </c>
      <c r="F66" s="161">
        <f t="shared" si="37"/>
        <v>9.7622743398021345</v>
      </c>
      <c r="G66" s="161">
        <f t="shared" si="37"/>
        <v>28.789548991373586</v>
      </c>
      <c r="H66" s="170">
        <f t="shared" si="30"/>
        <v>300.27499598002652</v>
      </c>
      <c r="I66" s="161">
        <f t="shared" si="31"/>
        <v>69.83</v>
      </c>
      <c r="J66" s="161">
        <f t="shared" si="38"/>
        <v>20.948999999999998</v>
      </c>
      <c r="K66" s="161">
        <f t="shared" si="38"/>
        <v>27.932000000000002</v>
      </c>
      <c r="L66" s="161">
        <f t="shared" si="39"/>
        <v>11.799873400000001</v>
      </c>
      <c r="M66" s="161">
        <f t="shared" si="39"/>
        <v>7.6792050999999999</v>
      </c>
      <c r="N66" s="161">
        <f t="shared" si="39"/>
        <v>16.917714100000001</v>
      </c>
      <c r="O66" s="170">
        <f t="shared" si="34"/>
        <v>85.277792599999998</v>
      </c>
      <c r="P66" s="170">
        <f t="shared" si="35"/>
        <v>385.55278858002652</v>
      </c>
      <c r="Q66" s="161">
        <f t="shared" si="36"/>
        <v>3.8169726069422629</v>
      </c>
    </row>
    <row r="67" spans="1:17" x14ac:dyDescent="0.3">
      <c r="B67" s="82" t="s">
        <v>173</v>
      </c>
      <c r="E67" s="161">
        <v>610.17521571140844</v>
      </c>
      <c r="F67" s="161">
        <f t="shared" si="37"/>
        <v>22.759535546035536</v>
      </c>
      <c r="G67" s="161">
        <f t="shared" si="37"/>
        <v>67.119273728254925</v>
      </c>
      <c r="H67" s="170">
        <f t="shared" si="30"/>
        <v>700.0540249856989</v>
      </c>
      <c r="I67" s="161">
        <f t="shared" si="31"/>
        <v>69.83</v>
      </c>
      <c r="J67" s="161">
        <f t="shared" si="38"/>
        <v>20.948999999999998</v>
      </c>
      <c r="K67" s="161">
        <f t="shared" si="38"/>
        <v>27.932000000000002</v>
      </c>
      <c r="L67" s="161">
        <f t="shared" si="39"/>
        <v>11.799873400000001</v>
      </c>
      <c r="M67" s="161">
        <f t="shared" si="39"/>
        <v>7.6792050999999999</v>
      </c>
      <c r="N67" s="161">
        <f t="shared" si="39"/>
        <v>16.917714100000001</v>
      </c>
      <c r="O67" s="170">
        <f t="shared" si="34"/>
        <v>85.277792599999998</v>
      </c>
      <c r="P67" s="170">
        <f t="shared" si="35"/>
        <v>785.3318175856989</v>
      </c>
      <c r="Q67" s="161">
        <f t="shared" si="36"/>
        <v>7.7747849940984191</v>
      </c>
    </row>
    <row r="68" spans="1:17" x14ac:dyDescent="0.3">
      <c r="B68" s="82" t="s">
        <v>174</v>
      </c>
      <c r="E68" s="161">
        <v>674.75087904671045</v>
      </c>
      <c r="F68" s="161">
        <f t="shared" si="37"/>
        <v>25.168207788442299</v>
      </c>
      <c r="G68" s="161">
        <f t="shared" si="37"/>
        <v>74.222596695138151</v>
      </c>
      <c r="H68" s="170">
        <f t="shared" si="30"/>
        <v>774.14168353029083</v>
      </c>
      <c r="I68" s="161">
        <f t="shared" si="31"/>
        <v>69.83</v>
      </c>
      <c r="J68" s="161">
        <f t="shared" si="38"/>
        <v>20.948999999999998</v>
      </c>
      <c r="K68" s="161">
        <f t="shared" si="38"/>
        <v>27.932000000000002</v>
      </c>
      <c r="L68" s="161">
        <f t="shared" si="39"/>
        <v>11.799873400000001</v>
      </c>
      <c r="M68" s="161">
        <f t="shared" si="39"/>
        <v>7.6792050999999999</v>
      </c>
      <c r="N68" s="161">
        <f t="shared" si="39"/>
        <v>16.917714100000001</v>
      </c>
      <c r="O68" s="170">
        <f t="shared" si="34"/>
        <v>85.277792599999998</v>
      </c>
      <c r="P68" s="170">
        <f t="shared" si="35"/>
        <v>859.41947613029083</v>
      </c>
      <c r="Q68" s="161">
        <f t="shared" si="36"/>
        <v>8.5082528136898805</v>
      </c>
    </row>
    <row r="69" spans="1:17" x14ac:dyDescent="0.3">
      <c r="B69" s="82" t="s">
        <v>175</v>
      </c>
      <c r="E69" s="161">
        <v>1274.9184035025546</v>
      </c>
      <c r="F69" s="161">
        <f t="shared" si="37"/>
        <v>47.55445645064529</v>
      </c>
      <c r="G69" s="161">
        <f t="shared" si="37"/>
        <v>140.24102438528101</v>
      </c>
      <c r="H69" s="170">
        <f t="shared" si="30"/>
        <v>1462.713884338481</v>
      </c>
      <c r="I69" s="161">
        <f t="shared" si="31"/>
        <v>69.83</v>
      </c>
      <c r="J69" s="161">
        <f t="shared" si="38"/>
        <v>20.948999999999998</v>
      </c>
      <c r="K69" s="161">
        <f t="shared" si="38"/>
        <v>27.932000000000002</v>
      </c>
      <c r="L69" s="161">
        <f t="shared" si="39"/>
        <v>11.799873400000001</v>
      </c>
      <c r="M69" s="161">
        <f t="shared" si="39"/>
        <v>7.6792050999999999</v>
      </c>
      <c r="N69" s="161">
        <f t="shared" si="39"/>
        <v>16.917714100000001</v>
      </c>
      <c r="O69" s="170">
        <f t="shared" si="34"/>
        <v>85.277792599999998</v>
      </c>
      <c r="P69" s="170">
        <f t="shared" si="35"/>
        <v>1547.9916769384809</v>
      </c>
      <c r="Q69" s="161">
        <f t="shared" si="36"/>
        <v>15.325117601690961</v>
      </c>
    </row>
    <row r="70" spans="1:17" x14ac:dyDescent="0.3">
      <c r="B70" s="82" t="s">
        <v>176</v>
      </c>
      <c r="E70" s="161">
        <v>652.69480937208118</v>
      </c>
      <c r="F70" s="161">
        <f t="shared" si="37"/>
        <v>24.345516389578627</v>
      </c>
      <c r="G70" s="161">
        <f t="shared" si="37"/>
        <v>71.796429030928934</v>
      </c>
      <c r="H70" s="170">
        <f t="shared" si="30"/>
        <v>748.83675479258875</v>
      </c>
      <c r="I70" s="161">
        <f t="shared" si="31"/>
        <v>69.83</v>
      </c>
      <c r="J70" s="161">
        <f t="shared" si="38"/>
        <v>20.948999999999998</v>
      </c>
      <c r="K70" s="161">
        <f t="shared" si="38"/>
        <v>27.932000000000002</v>
      </c>
      <c r="L70" s="161">
        <f t="shared" si="39"/>
        <v>11.799873400000001</v>
      </c>
      <c r="M70" s="161">
        <f t="shared" si="39"/>
        <v>7.6792050999999999</v>
      </c>
      <c r="N70" s="161">
        <f t="shared" si="39"/>
        <v>16.917714100000001</v>
      </c>
      <c r="O70" s="170">
        <f t="shared" si="34"/>
        <v>85.277792599999998</v>
      </c>
      <c r="P70" s="170">
        <f t="shared" si="35"/>
        <v>834.11454739258875</v>
      </c>
      <c r="Q70" s="161">
        <f t="shared" si="36"/>
        <v>8.2577340191866284</v>
      </c>
    </row>
    <row r="71" spans="1:17" x14ac:dyDescent="0.3">
      <c r="B71" s="82" t="s">
        <v>177</v>
      </c>
      <c r="E71" s="161">
        <v>29.319328641951845</v>
      </c>
      <c r="F71" s="161">
        <f t="shared" si="37"/>
        <v>1.0936109583448037</v>
      </c>
      <c r="G71" s="161">
        <f t="shared" si="37"/>
        <v>3.2251261506147029</v>
      </c>
      <c r="H71" s="170">
        <f t="shared" si="30"/>
        <v>33.638065750911352</v>
      </c>
      <c r="I71" s="161">
        <f t="shared" si="31"/>
        <v>69.83</v>
      </c>
      <c r="J71" s="161">
        <f t="shared" si="38"/>
        <v>20.948999999999998</v>
      </c>
      <c r="K71" s="161">
        <f t="shared" si="38"/>
        <v>27.932000000000002</v>
      </c>
      <c r="L71" s="161">
        <f t="shared" si="39"/>
        <v>11.799873400000001</v>
      </c>
      <c r="M71" s="161">
        <f t="shared" si="39"/>
        <v>7.6792050999999999</v>
      </c>
      <c r="N71" s="161">
        <f t="shared" si="39"/>
        <v>16.917714100000001</v>
      </c>
      <c r="O71" s="170">
        <f t="shared" si="34"/>
        <v>85.277792599999998</v>
      </c>
      <c r="P71" s="170">
        <f t="shared" si="35"/>
        <v>118.91585835091135</v>
      </c>
      <c r="Q71" s="161">
        <f t="shared" si="36"/>
        <v>1.1772669976740224</v>
      </c>
    </row>
    <row r="72" spans="1:17" x14ac:dyDescent="0.3">
      <c r="B72" s="82" t="s">
        <v>178</v>
      </c>
      <c r="E72" s="161">
        <v>41.906572466006182</v>
      </c>
      <c r="F72" s="161">
        <f t="shared" si="37"/>
        <v>1.5631151529820306</v>
      </c>
      <c r="G72" s="161">
        <f t="shared" si="37"/>
        <v>4.6097229712606804</v>
      </c>
      <c r="H72" s="170">
        <f t="shared" si="30"/>
        <v>48.079410590248891</v>
      </c>
      <c r="I72" s="161">
        <f t="shared" si="31"/>
        <v>69.83</v>
      </c>
      <c r="J72" s="161">
        <f t="shared" si="38"/>
        <v>20.948999999999998</v>
      </c>
      <c r="K72" s="161">
        <f t="shared" si="38"/>
        <v>27.932000000000002</v>
      </c>
      <c r="L72" s="161">
        <f t="shared" si="39"/>
        <v>11.799873400000001</v>
      </c>
      <c r="M72" s="161">
        <f t="shared" si="39"/>
        <v>7.6792050999999999</v>
      </c>
      <c r="N72" s="161">
        <f t="shared" si="39"/>
        <v>16.917714100000001</v>
      </c>
      <c r="O72" s="170">
        <f t="shared" si="34"/>
        <v>85.277792599999998</v>
      </c>
      <c r="P72" s="170">
        <f t="shared" si="35"/>
        <v>133.3572031902489</v>
      </c>
      <c r="Q72" s="161">
        <f t="shared" si="36"/>
        <v>1.3202363115834641</v>
      </c>
    </row>
    <row r="74" spans="1:17" x14ac:dyDescent="0.3">
      <c r="A74" s="159" t="s">
        <v>179</v>
      </c>
      <c r="Q74" s="175">
        <f>+'LFCR per Order'!$D$48</f>
        <v>0.1188</v>
      </c>
    </row>
    <row r="75" spans="1:17" x14ac:dyDescent="0.3">
      <c r="B75" s="82" t="s">
        <v>180</v>
      </c>
      <c r="E75" s="161">
        <v>104.21894765473944</v>
      </c>
      <c r="F75" s="161">
        <f t="shared" ref="F75:G81" si="40">+$E75*F$9</f>
        <v>3.887366747521781</v>
      </c>
      <c r="G75" s="161">
        <f t="shared" si="40"/>
        <v>11.464084242021338</v>
      </c>
      <c r="H75" s="170">
        <f t="shared" ref="H75:H81" si="41">SUM(E75:G75)</f>
        <v>119.57039864428256</v>
      </c>
      <c r="I75" s="161">
        <f t="shared" ref="I75:I81" si="42">+$I$10</f>
        <v>69.83</v>
      </c>
      <c r="J75" s="161">
        <f t="shared" ref="J75:K81" si="43">+$I75*J$9</f>
        <v>20.948999999999998</v>
      </c>
      <c r="K75" s="161">
        <f t="shared" si="43"/>
        <v>27.932000000000002</v>
      </c>
      <c r="L75" s="161">
        <f t="shared" ref="L75:N81" si="44">($J75+$K75)*L$9</f>
        <v>11.799873400000001</v>
      </c>
      <c r="M75" s="161">
        <f t="shared" si="44"/>
        <v>7.6792050999999999</v>
      </c>
      <c r="N75" s="161">
        <f t="shared" si="44"/>
        <v>16.917714100000001</v>
      </c>
      <c r="O75" s="170">
        <f t="shared" ref="O75:O81" si="45">SUM(J75:N75)</f>
        <v>85.277792599999998</v>
      </c>
      <c r="P75" s="170">
        <f t="shared" ref="P75:P81" si="46">+O75+H75</f>
        <v>204.84819124428256</v>
      </c>
      <c r="Q75" s="161">
        <f>+P75*$Q$74/12</f>
        <v>2.0279970933183975</v>
      </c>
    </row>
    <row r="76" spans="1:17" x14ac:dyDescent="0.3">
      <c r="B76" s="82" t="s">
        <v>181</v>
      </c>
      <c r="E76" s="161">
        <v>73.487719500136777</v>
      </c>
      <c r="F76" s="161">
        <f t="shared" si="40"/>
        <v>2.7410919373551019</v>
      </c>
      <c r="G76" s="161">
        <f t="shared" si="40"/>
        <v>8.0836491450150447</v>
      </c>
      <c r="H76" s="170">
        <f t="shared" si="41"/>
        <v>84.31246058250693</v>
      </c>
      <c r="I76" s="161">
        <f t="shared" si="42"/>
        <v>69.83</v>
      </c>
      <c r="J76" s="161">
        <f t="shared" si="43"/>
        <v>20.948999999999998</v>
      </c>
      <c r="K76" s="161">
        <f t="shared" si="43"/>
        <v>27.932000000000002</v>
      </c>
      <c r="L76" s="161">
        <f t="shared" si="44"/>
        <v>11.799873400000001</v>
      </c>
      <c r="M76" s="161">
        <f t="shared" si="44"/>
        <v>7.6792050999999999</v>
      </c>
      <c r="N76" s="161">
        <f t="shared" si="44"/>
        <v>16.917714100000001</v>
      </c>
      <c r="O76" s="170">
        <f t="shared" si="45"/>
        <v>85.277792599999998</v>
      </c>
      <c r="P76" s="170">
        <f t="shared" si="46"/>
        <v>169.59025318250693</v>
      </c>
      <c r="Q76" s="161">
        <f t="shared" ref="Q76:Q81" si="47">+P76*$Q$74/12</f>
        <v>1.6789435065068188</v>
      </c>
    </row>
    <row r="77" spans="1:17" x14ac:dyDescent="0.3">
      <c r="B77" s="82" t="s">
        <v>182</v>
      </c>
      <c r="E77" s="161">
        <v>4.75</v>
      </c>
      <c r="F77" s="161">
        <f t="shared" si="40"/>
        <v>0.177175</v>
      </c>
      <c r="G77" s="161">
        <f t="shared" si="40"/>
        <v>0.52249999999999996</v>
      </c>
      <c r="H77" s="170">
        <f t="shared" si="41"/>
        <v>5.449675</v>
      </c>
      <c r="I77" s="161">
        <f t="shared" si="42"/>
        <v>69.83</v>
      </c>
      <c r="J77" s="161">
        <f t="shared" si="43"/>
        <v>20.948999999999998</v>
      </c>
      <c r="K77" s="161">
        <f t="shared" si="43"/>
        <v>27.932000000000002</v>
      </c>
      <c r="L77" s="161">
        <f t="shared" si="44"/>
        <v>11.799873400000001</v>
      </c>
      <c r="M77" s="161">
        <f t="shared" si="44"/>
        <v>7.6792050999999999</v>
      </c>
      <c r="N77" s="161">
        <f t="shared" si="44"/>
        <v>16.917714100000001</v>
      </c>
      <c r="O77" s="170">
        <f t="shared" si="45"/>
        <v>85.277792599999998</v>
      </c>
      <c r="P77" s="170">
        <f t="shared" si="46"/>
        <v>90.727467599999997</v>
      </c>
      <c r="Q77" s="161">
        <f t="shared" si="47"/>
        <v>0.89820192923999997</v>
      </c>
    </row>
    <row r="78" spans="1:17" x14ac:dyDescent="0.3">
      <c r="B78" s="82" t="s">
        <v>183</v>
      </c>
      <c r="E78" s="161">
        <v>8.08</v>
      </c>
      <c r="F78" s="161">
        <f t="shared" si="40"/>
        <v>0.30138399999999999</v>
      </c>
      <c r="G78" s="161">
        <f t="shared" si="40"/>
        <v>0.88880000000000003</v>
      </c>
      <c r="H78" s="170">
        <f t="shared" si="41"/>
        <v>9.2701840000000004</v>
      </c>
      <c r="I78" s="161">
        <f t="shared" si="42"/>
        <v>69.83</v>
      </c>
      <c r="J78" s="161">
        <f t="shared" si="43"/>
        <v>20.948999999999998</v>
      </c>
      <c r="K78" s="161">
        <f t="shared" si="43"/>
        <v>27.932000000000002</v>
      </c>
      <c r="L78" s="161">
        <f t="shared" si="44"/>
        <v>11.799873400000001</v>
      </c>
      <c r="M78" s="161">
        <f t="shared" si="44"/>
        <v>7.6792050999999999</v>
      </c>
      <c r="N78" s="161">
        <f t="shared" si="44"/>
        <v>16.917714100000001</v>
      </c>
      <c r="O78" s="170">
        <f t="shared" si="45"/>
        <v>85.277792599999998</v>
      </c>
      <c r="P78" s="170">
        <f t="shared" si="46"/>
        <v>94.547976599999998</v>
      </c>
      <c r="Q78" s="161">
        <f t="shared" si="47"/>
        <v>0.93602496834000004</v>
      </c>
    </row>
    <row r="79" spans="1:17" x14ac:dyDescent="0.3">
      <c r="B79" s="82" t="s">
        <v>184</v>
      </c>
      <c r="E79" s="161">
        <v>2.11</v>
      </c>
      <c r="F79" s="161">
        <f t="shared" si="40"/>
        <v>7.8702999999999995E-2</v>
      </c>
      <c r="G79" s="161">
        <f t="shared" si="40"/>
        <v>0.2321</v>
      </c>
      <c r="H79" s="170">
        <f t="shared" si="41"/>
        <v>2.4208029999999998</v>
      </c>
      <c r="I79" s="161">
        <f t="shared" si="42"/>
        <v>69.83</v>
      </c>
      <c r="J79" s="161">
        <f t="shared" si="43"/>
        <v>20.948999999999998</v>
      </c>
      <c r="K79" s="161">
        <f t="shared" si="43"/>
        <v>27.932000000000002</v>
      </c>
      <c r="L79" s="161">
        <f t="shared" si="44"/>
        <v>11.799873400000001</v>
      </c>
      <c r="M79" s="161">
        <f t="shared" si="44"/>
        <v>7.6792050999999999</v>
      </c>
      <c r="N79" s="161">
        <f t="shared" si="44"/>
        <v>16.917714100000001</v>
      </c>
      <c r="O79" s="170">
        <f t="shared" si="45"/>
        <v>85.277792599999998</v>
      </c>
      <c r="P79" s="170">
        <f t="shared" si="46"/>
        <v>87.698595600000004</v>
      </c>
      <c r="Q79" s="161">
        <f t="shared" si="47"/>
        <v>0.86821609643999997</v>
      </c>
    </row>
    <row r="80" spans="1:17" x14ac:dyDescent="0.3">
      <c r="B80" s="82" t="s">
        <v>185</v>
      </c>
      <c r="E80" s="161">
        <v>20.84</v>
      </c>
      <c r="F80" s="161">
        <f t="shared" si="40"/>
        <v>0.77733200000000002</v>
      </c>
      <c r="G80" s="161">
        <f t="shared" si="40"/>
        <v>2.2924000000000002</v>
      </c>
      <c r="H80" s="170">
        <f t="shared" si="41"/>
        <v>23.909732000000002</v>
      </c>
      <c r="I80" s="161">
        <f t="shared" si="42"/>
        <v>69.83</v>
      </c>
      <c r="J80" s="161">
        <f t="shared" si="43"/>
        <v>20.948999999999998</v>
      </c>
      <c r="K80" s="161">
        <f t="shared" si="43"/>
        <v>27.932000000000002</v>
      </c>
      <c r="L80" s="161">
        <f t="shared" si="44"/>
        <v>11.799873400000001</v>
      </c>
      <c r="M80" s="161">
        <f t="shared" si="44"/>
        <v>7.6792050999999999</v>
      </c>
      <c r="N80" s="161">
        <f t="shared" si="44"/>
        <v>16.917714100000001</v>
      </c>
      <c r="O80" s="170">
        <f t="shared" si="45"/>
        <v>85.277792599999998</v>
      </c>
      <c r="P80" s="170">
        <f t="shared" si="46"/>
        <v>109.1875246</v>
      </c>
      <c r="Q80" s="161">
        <f t="shared" si="47"/>
        <v>1.08095649354</v>
      </c>
    </row>
    <row r="81" spans="2:17" x14ac:dyDescent="0.3">
      <c r="B81" s="82" t="s">
        <v>186</v>
      </c>
      <c r="E81" s="161">
        <v>1.45</v>
      </c>
      <c r="F81" s="161">
        <f t="shared" si="40"/>
        <v>5.4085000000000001E-2</v>
      </c>
      <c r="G81" s="161">
        <f t="shared" si="40"/>
        <v>0.1595</v>
      </c>
      <c r="H81" s="170">
        <f t="shared" si="41"/>
        <v>1.6635849999999999</v>
      </c>
      <c r="I81" s="161">
        <f t="shared" si="42"/>
        <v>69.83</v>
      </c>
      <c r="J81" s="161">
        <f t="shared" si="43"/>
        <v>20.948999999999998</v>
      </c>
      <c r="K81" s="161">
        <f t="shared" si="43"/>
        <v>27.932000000000002</v>
      </c>
      <c r="L81" s="161">
        <f t="shared" si="44"/>
        <v>11.799873400000001</v>
      </c>
      <c r="M81" s="161">
        <f t="shared" si="44"/>
        <v>7.6792050999999999</v>
      </c>
      <c r="N81" s="161">
        <f t="shared" si="44"/>
        <v>16.917714100000001</v>
      </c>
      <c r="O81" s="170">
        <f t="shared" si="45"/>
        <v>85.277792599999998</v>
      </c>
      <c r="P81" s="170">
        <f t="shared" si="46"/>
        <v>86.941377599999996</v>
      </c>
      <c r="Q81" s="161">
        <f t="shared" si="47"/>
        <v>0.86071963823999997</v>
      </c>
    </row>
  </sheetData>
  <pageMargins left="0.5" right="0.5" top="1.5" bottom="0.5" header="0.5" footer="0.5"/>
  <pageSetup scale="58" fitToHeight="0" orientation="landscape" r:id="rId1"/>
  <headerFooter alignWithMargins="0">
    <oddHeader>&amp;R&amp;"Times New Roman,Bold"KyPSC Case No. 2019-00271
STAFF-RHDR-01-014 Attachment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transitionEntry="1" codeName="Sheet8">
    <pageSetUpPr fitToPage="1"/>
  </sheetPr>
  <dimension ref="A1:K89"/>
  <sheetViews>
    <sheetView showGridLines="0" workbookViewId="0">
      <selection activeCell="I12" sqref="I12"/>
    </sheetView>
  </sheetViews>
  <sheetFormatPr defaultColWidth="2.54296875" defaultRowHeight="15.6" x14ac:dyDescent="0.3"/>
  <cols>
    <col min="1" max="1" width="5" bestFit="1" customWidth="1"/>
    <col min="2" max="2" width="20.54296875" customWidth="1"/>
    <col min="3" max="3" width="22" customWidth="1"/>
    <col min="4" max="4" width="5.453125" customWidth="1"/>
    <col min="5" max="5" width="6.26953125" bestFit="1" customWidth="1"/>
    <col min="6" max="6" width="0.453125" customWidth="1"/>
    <col min="7" max="7" width="12.08984375" bestFit="1" customWidth="1"/>
    <col min="8" max="8" width="0.453125" customWidth="1"/>
    <col min="9" max="9" width="12.7265625" bestFit="1" customWidth="1"/>
    <col min="10" max="10" width="9.54296875" customWidth="1"/>
    <col min="11" max="11" width="5.54296875" bestFit="1" customWidth="1"/>
  </cols>
  <sheetData>
    <row r="1" spans="1:10" x14ac:dyDescent="0.3">
      <c r="J1" s="9" t="s">
        <v>24</v>
      </c>
    </row>
    <row r="2" spans="1:10" x14ac:dyDescent="0.3">
      <c r="J2" s="79" t="s">
        <v>74</v>
      </c>
    </row>
    <row r="3" spans="1:10" x14ac:dyDescent="0.3">
      <c r="A3" s="74" t="s">
        <v>72</v>
      </c>
      <c r="B3" s="6"/>
      <c r="C3" s="6"/>
      <c r="D3" s="6"/>
      <c r="E3" s="6"/>
      <c r="F3" s="6"/>
      <c r="G3" s="6"/>
      <c r="H3" s="6"/>
      <c r="I3" s="6"/>
      <c r="J3" s="6"/>
    </row>
    <row r="9" spans="1:10" x14ac:dyDescent="0.3">
      <c r="A9" s="7" t="s">
        <v>6</v>
      </c>
      <c r="B9" s="6"/>
      <c r="C9" s="6"/>
      <c r="D9" s="6"/>
      <c r="E9" s="6"/>
      <c r="F9" s="6"/>
      <c r="G9" s="6"/>
      <c r="H9" s="6"/>
      <c r="I9" s="6"/>
      <c r="J9" s="6"/>
    </row>
    <row r="10" spans="1:10" x14ac:dyDescent="0.3">
      <c r="A10" s="76" t="s">
        <v>75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3">
      <c r="A11" s="7" t="s">
        <v>5</v>
      </c>
      <c r="B11" s="6"/>
      <c r="C11" s="6"/>
      <c r="D11" s="6"/>
      <c r="E11" s="6"/>
      <c r="F11" s="6"/>
      <c r="G11" s="6"/>
      <c r="H11" s="6"/>
      <c r="I11" s="6"/>
      <c r="J11" s="6"/>
    </row>
    <row r="17" spans="1:11" x14ac:dyDescent="0.3">
      <c r="A17" s="9"/>
      <c r="B17" s="9"/>
      <c r="C17" s="9"/>
      <c r="D17" s="9"/>
      <c r="E17" s="9"/>
      <c r="F17" s="9"/>
      <c r="G17" s="9"/>
      <c r="H17" s="9"/>
      <c r="I17" s="9"/>
      <c r="K17" s="9"/>
    </row>
    <row r="18" spans="1:11" x14ac:dyDescent="0.3">
      <c r="A18" s="9"/>
      <c r="B18" s="9"/>
      <c r="C18" s="9"/>
      <c r="D18" s="9"/>
      <c r="E18" s="9"/>
      <c r="F18" s="9"/>
      <c r="G18" s="19"/>
      <c r="H18" s="20"/>
      <c r="I18" s="9"/>
      <c r="J18" s="11">
        <f ca="1">NOW()</f>
        <v>44008.498853819445</v>
      </c>
      <c r="K18" s="9"/>
    </row>
    <row r="19" spans="1:11" x14ac:dyDescent="0.3">
      <c r="A19" s="25"/>
      <c r="B19" s="26"/>
      <c r="C19" s="26"/>
      <c r="D19" s="26"/>
      <c r="E19" s="26"/>
      <c r="F19" s="26"/>
      <c r="G19" s="26"/>
      <c r="H19" s="26"/>
      <c r="I19" s="34" t="s">
        <v>7</v>
      </c>
      <c r="J19" s="26"/>
      <c r="K19" s="27"/>
    </row>
    <row r="20" spans="1:11" x14ac:dyDescent="0.3">
      <c r="A20" s="28" t="s">
        <v>0</v>
      </c>
      <c r="B20" s="29"/>
      <c r="C20" s="29"/>
      <c r="D20" s="29"/>
      <c r="E20" s="29"/>
      <c r="F20" s="29"/>
      <c r="G20" s="35" t="s">
        <v>8</v>
      </c>
      <c r="H20" s="29"/>
      <c r="I20" s="35" t="s">
        <v>9</v>
      </c>
      <c r="J20" s="30" t="s">
        <v>10</v>
      </c>
      <c r="K20" s="36" t="s">
        <v>11</v>
      </c>
    </row>
    <row r="21" spans="1:11" x14ac:dyDescent="0.3">
      <c r="A21" s="31" t="s">
        <v>12</v>
      </c>
      <c r="B21" s="32"/>
      <c r="C21" s="32" t="s">
        <v>13</v>
      </c>
      <c r="D21" s="32"/>
      <c r="E21" s="32"/>
      <c r="F21" s="32"/>
      <c r="G21" s="37" t="s">
        <v>14</v>
      </c>
      <c r="H21" s="32"/>
      <c r="I21" s="37" t="s">
        <v>15</v>
      </c>
      <c r="J21" s="33" t="s">
        <v>1</v>
      </c>
      <c r="K21" s="38" t="s">
        <v>16</v>
      </c>
    </row>
    <row r="22" spans="1:11" x14ac:dyDescent="0.3">
      <c r="G22" s="24"/>
    </row>
    <row r="26" spans="1:11" x14ac:dyDescent="0.3">
      <c r="B26" s="9" t="s">
        <v>17</v>
      </c>
      <c r="C26" s="9"/>
      <c r="D26" s="9"/>
      <c r="E26" s="9"/>
    </row>
    <row r="29" spans="1:11" x14ac:dyDescent="0.3">
      <c r="A29" s="5" t="s">
        <v>18</v>
      </c>
      <c r="B29" s="24" t="s">
        <v>21</v>
      </c>
      <c r="D29" s="24"/>
      <c r="G29" s="16">
        <v>0</v>
      </c>
      <c r="I29" s="3">
        <f>ROUND(+G29*0.04,0)</f>
        <v>0</v>
      </c>
      <c r="K29" s="5" t="s">
        <v>18</v>
      </c>
    </row>
    <row r="30" spans="1:11" x14ac:dyDescent="0.3">
      <c r="A30" s="5">
        <v>2</v>
      </c>
      <c r="B30" s="24" t="s">
        <v>22</v>
      </c>
      <c r="D30" s="24"/>
      <c r="G30" s="77">
        <v>0</v>
      </c>
      <c r="H30" s="40"/>
      <c r="I30" s="12">
        <f>ROUND(+G30*0.0475,0)</f>
        <v>0</v>
      </c>
      <c r="J30" s="13"/>
      <c r="K30" s="5">
        <v>2</v>
      </c>
    </row>
    <row r="31" spans="1:11" x14ac:dyDescent="0.3">
      <c r="B31" s="1"/>
      <c r="G31" s="4"/>
      <c r="I31" s="1"/>
    </row>
    <row r="32" spans="1:11" x14ac:dyDescent="0.3">
      <c r="B32" s="1"/>
      <c r="E32" s="1"/>
      <c r="G32" s="18"/>
      <c r="H32" s="13"/>
      <c r="I32" s="12"/>
    </row>
    <row r="33" spans="1:11" x14ac:dyDescent="0.3">
      <c r="B33" s="1"/>
      <c r="E33" s="1"/>
    </row>
    <row r="34" spans="1:11" x14ac:dyDescent="0.3">
      <c r="A34" s="5">
        <v>3</v>
      </c>
      <c r="E34" s="1" t="s">
        <v>23</v>
      </c>
      <c r="G34" s="41">
        <f>SUM(G29:G30)</f>
        <v>0</v>
      </c>
      <c r="H34" s="3"/>
      <c r="I34" s="41">
        <f>SUM(I29:I30)</f>
        <v>0</v>
      </c>
      <c r="J34" s="23">
        <v>0</v>
      </c>
      <c r="K34" s="5">
        <v>3</v>
      </c>
    </row>
    <row r="35" spans="1:11" x14ac:dyDescent="0.3">
      <c r="B35" s="1"/>
    </row>
    <row r="37" spans="1:11" x14ac:dyDescent="0.3">
      <c r="G37" s="1"/>
      <c r="H37" s="1"/>
      <c r="I37" s="1"/>
    </row>
    <row r="38" spans="1:11" x14ac:dyDescent="0.3">
      <c r="B38" s="9"/>
      <c r="C38" s="9"/>
      <c r="D38" s="9"/>
      <c r="G38" s="1"/>
      <c r="H38" s="1"/>
      <c r="I38" s="1"/>
    </row>
    <row r="39" spans="1:11" x14ac:dyDescent="0.3">
      <c r="G39" s="1"/>
    </row>
    <row r="40" spans="1:11" x14ac:dyDescent="0.3">
      <c r="A40" s="5"/>
      <c r="B40" s="1"/>
      <c r="G40" s="1"/>
      <c r="I40" s="1"/>
      <c r="K40" s="5"/>
    </row>
    <row r="41" spans="1:11" x14ac:dyDescent="0.3">
      <c r="A41" s="5"/>
      <c r="B41" s="1"/>
      <c r="E41" s="1"/>
      <c r="G41" s="12"/>
      <c r="H41" s="4"/>
      <c r="I41" s="12"/>
      <c r="K41" s="5"/>
    </row>
    <row r="44" spans="1:11" x14ac:dyDescent="0.3">
      <c r="A44" s="5"/>
      <c r="B44" s="1"/>
      <c r="G44" s="12"/>
      <c r="H44" s="1"/>
      <c r="I44" s="12"/>
      <c r="K44" s="5"/>
    </row>
    <row r="46" spans="1:11" x14ac:dyDescent="0.3">
      <c r="B46" s="1"/>
      <c r="E46" s="3"/>
      <c r="F46" s="3"/>
      <c r="G46" s="1"/>
      <c r="H46" s="1"/>
      <c r="I46" s="1"/>
    </row>
    <row r="47" spans="1:11" x14ac:dyDescent="0.3">
      <c r="A47" s="5"/>
      <c r="B47" s="1"/>
      <c r="D47" s="9"/>
      <c r="G47" s="15"/>
      <c r="H47" s="1"/>
      <c r="I47" s="15"/>
      <c r="J47" s="10"/>
      <c r="K47" s="5"/>
    </row>
    <row r="49" spans="2:2" x14ac:dyDescent="0.3">
      <c r="B49" s="1"/>
    </row>
    <row r="57" spans="2:2" x14ac:dyDescent="0.3">
      <c r="B57" s="1"/>
    </row>
    <row r="73" spans="5:6" x14ac:dyDescent="0.3">
      <c r="E73" s="3"/>
      <c r="F73" s="3"/>
    </row>
    <row r="74" spans="5:6" x14ac:dyDescent="0.3">
      <c r="E74" s="1"/>
    </row>
    <row r="75" spans="5:6" x14ac:dyDescent="0.3">
      <c r="E75" s="1"/>
    </row>
    <row r="76" spans="5:6" x14ac:dyDescent="0.3">
      <c r="E76" s="1"/>
    </row>
    <row r="77" spans="5:6" x14ac:dyDescent="0.3">
      <c r="E77" s="1"/>
    </row>
    <row r="78" spans="5:6" x14ac:dyDescent="0.3">
      <c r="E78" s="1"/>
    </row>
    <row r="79" spans="5:6" x14ac:dyDescent="0.3">
      <c r="E79" s="1"/>
    </row>
    <row r="83" spans="2:6" x14ac:dyDescent="0.3">
      <c r="E83" s="1"/>
    </row>
    <row r="86" spans="2:6" x14ac:dyDescent="0.3">
      <c r="E86" s="3"/>
      <c r="F86" s="3"/>
    </row>
    <row r="88" spans="2:6" x14ac:dyDescent="0.3">
      <c r="B88" s="1"/>
      <c r="E88" s="1"/>
    </row>
    <row r="89" spans="2:6" x14ac:dyDescent="0.3">
      <c r="B89" s="1"/>
      <c r="E89" s="1"/>
    </row>
  </sheetData>
  <phoneticPr fontId="0" type="noConversion"/>
  <printOptions horizontalCentered="1"/>
  <pageMargins left="0.5" right="0.5" top="0.5" bottom="0.55000000000000004" header="0.5" footer="0.5"/>
  <pageSetup scale="80" orientation="portrait" r:id="rId1"/>
  <headerFooter alignWithMargins="0"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B9E2FD-BF7C-4CAA-B580-D2E6F4DDABF8}">
  <ds:schemaRefs>
    <ds:schemaRef ds:uri="http://purl.org/dc/terms/"/>
    <ds:schemaRef ds:uri="http://schemas.microsoft.com/office/2006/metadata/properties"/>
    <ds:schemaRef ds:uri="a1b08b4f-a83f-4c03-90bd-2a79b6ed54d4"/>
    <ds:schemaRef ds:uri="http://schemas.microsoft.com/office/2006/documentManagement/types"/>
    <ds:schemaRef ds:uri="fb86b3f3-0c45-4486-810b-39aa0a1cbbd7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E5407CC-C91E-49FD-93BD-297A01547B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7BFB8B-D525-4DE5-9701-DE79FDB4CF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17</vt:i4>
      </vt:variant>
    </vt:vector>
  </HeadingPairs>
  <TitlesOfParts>
    <vt:vector size="25" baseType="lpstr">
      <vt:lpstr>CGE PROD not used</vt:lpstr>
      <vt:lpstr>CGE GP not used</vt:lpstr>
      <vt:lpstr>CGE M&amp;S not used</vt:lpstr>
      <vt:lpstr>LFCR as Filed</vt:lpstr>
      <vt:lpstr>Rates as Filed</vt:lpstr>
      <vt:lpstr>LFCR per Order</vt:lpstr>
      <vt:lpstr>Proposed Rates</vt:lpstr>
      <vt:lpstr>Stock S3</vt:lpstr>
      <vt:lpstr>'CGE GP not used'!\B</vt:lpstr>
      <vt:lpstr>'CGE M&amp;S not used'!\B</vt:lpstr>
      <vt:lpstr>'CGE PROD not used'!\B</vt:lpstr>
      <vt:lpstr>'LFCR as Filed'!\B</vt:lpstr>
      <vt:lpstr>'LFCR per Order'!\B</vt:lpstr>
      <vt:lpstr>'LFCR as Filed'!Company</vt:lpstr>
      <vt:lpstr>'LFCR per Order'!Company</vt:lpstr>
      <vt:lpstr>'Stock S3'!PREFER</vt:lpstr>
      <vt:lpstr>'CGE GP not used'!Print_Area</vt:lpstr>
      <vt:lpstr>'CGE M&amp;S not used'!Print_Area</vt:lpstr>
      <vt:lpstr>'CGE PROD not used'!Print_Area</vt:lpstr>
      <vt:lpstr>'Stock S3'!Print_Area</vt:lpstr>
      <vt:lpstr>'CGE GP not used'!SHEETB</vt:lpstr>
      <vt:lpstr>'CGE M&amp;S not used'!SHEETB</vt:lpstr>
      <vt:lpstr>'CGE PROD not used'!SHEETB</vt:lpstr>
      <vt:lpstr>'LFCR as Filed'!SHEETB</vt:lpstr>
      <vt:lpstr>'LFCR per Order'!SHEETB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 Marko</dc:creator>
  <cp:lastModifiedBy>D'Ascenzo, Rocco</cp:lastModifiedBy>
  <cp:lastPrinted>2020-06-24T19:22:27Z</cp:lastPrinted>
  <dcterms:created xsi:type="dcterms:W3CDTF">1996-12-09T20:01:38Z</dcterms:created>
  <dcterms:modified xsi:type="dcterms:W3CDTF">2020-06-26T19:01:32Z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