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7965" yWindow="165" windowWidth="19275" windowHeight="12045" tabRatio="807"/>
  </bookViews>
  <sheets>
    <sheet name="Rev Req Summary" sheetId="1" r:id="rId1"/>
    <sheet name="13 month average calc" sheetId="14" r:id="rId2"/>
    <sheet name="Plant Data (Mar15)" sheetId="10" state="hidden" r:id="rId3"/>
    <sheet name="Accum Depr (Mar15)" sheetId="12" state="hidden" r:id="rId4"/>
    <sheet name="Accum Def Inc Tax (Mar15)" sheetId="11" state="hidden" r:id="rId5"/>
  </sheets>
  <externalReferences>
    <externalReference r:id="rId6"/>
    <externalReference r:id="rId7"/>
  </externalReferences>
  <definedNames>
    <definedName name="BASE_D_REV">#REF!</definedName>
    <definedName name="CommResAlloc">[1]INPUT!$D$16</definedName>
    <definedName name="COSSALLOC">'[2]COSS ALLOC'!$A$2:$D$8</definedName>
    <definedName name="PRETAX_ROR">#REF!</definedName>
    <definedName name="_xlnm.Print_Area" localSheetId="2">'Plant Data (Mar15)'!$A$1:$G$38</definedName>
    <definedName name="_xlnm.Print_Area" localSheetId="0">'Rev Req Summary'!$A$1:$G$30</definedName>
  </definedNames>
  <calcPr calcId="171027"/>
</workbook>
</file>

<file path=xl/calcChain.xml><?xml version="1.0" encoding="utf-8"?>
<calcChain xmlns="http://schemas.openxmlformats.org/spreadsheetml/2006/main">
  <c r="D12" i="14" l="1"/>
  <c r="G10" i="14" l="1"/>
  <c r="H10" i="14" l="1"/>
  <c r="I10" i="14" s="1"/>
  <c r="J10" i="14" s="1"/>
  <c r="K10" i="14" s="1"/>
  <c r="L10" i="14" s="1"/>
  <c r="M10" i="14" s="1"/>
  <c r="N10" i="14" s="1"/>
  <c r="O10" i="14" s="1"/>
  <c r="P10" i="14" s="1"/>
  <c r="G32" i="10" l="1"/>
  <c r="A9" i="1"/>
  <c r="A10" i="1" s="1"/>
  <c r="E22" i="11"/>
  <c r="F26" i="10"/>
  <c r="E33" i="12"/>
  <c r="E29" i="12"/>
  <c r="E24" i="12"/>
  <c r="E23" i="12"/>
  <c r="E19" i="12"/>
  <c r="E16" i="12"/>
  <c r="E30" i="10"/>
  <c r="E25" i="10"/>
  <c r="E24" i="10"/>
  <c r="E17" i="10"/>
  <c r="F32" i="12"/>
  <c r="G32" i="12"/>
  <c r="F27" i="12"/>
  <c r="F28" i="10"/>
  <c r="F33" i="10"/>
  <c r="F17" i="11"/>
  <c r="F14" i="11"/>
  <c r="F22" i="11"/>
  <c r="F25" i="12"/>
  <c r="G11" i="10"/>
  <c r="G12" i="10"/>
  <c r="G13" i="10"/>
  <c r="G15" i="10"/>
  <c r="G16" i="10"/>
  <c r="G18" i="10"/>
  <c r="G19" i="10"/>
  <c r="G20" i="10"/>
  <c r="G21" i="10"/>
  <c r="G22" i="10"/>
  <c r="G23" i="10"/>
  <c r="G27" i="10"/>
  <c r="G28" i="10"/>
  <c r="G29" i="10"/>
  <c r="G30" i="10"/>
  <c r="G31" i="10"/>
  <c r="G33" i="10"/>
  <c r="G14" i="10"/>
  <c r="G25" i="10"/>
  <c r="G24" i="10"/>
  <c r="G17" i="10"/>
  <c r="F35" i="10"/>
  <c r="G26" i="10"/>
  <c r="A10" i="10"/>
  <c r="F35" i="12"/>
  <c r="E35" i="12"/>
  <c r="G33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A9" i="12"/>
  <c r="H20" i="11"/>
  <c r="H19" i="11"/>
  <c r="H18" i="11"/>
  <c r="H17" i="11"/>
  <c r="H16" i="11"/>
  <c r="H15" i="11"/>
  <c r="H14" i="11"/>
  <c r="H13" i="11"/>
  <c r="H12" i="11"/>
  <c r="H11" i="11"/>
  <c r="H10" i="11"/>
  <c r="H9" i="11"/>
  <c r="A9" i="11"/>
  <c r="E35" i="10"/>
  <c r="G10" i="10"/>
  <c r="H22" i="11"/>
  <c r="A11" i="10"/>
  <c r="G35" i="12"/>
  <c r="G35" i="10"/>
  <c r="A10" i="12"/>
  <c r="A11" i="12"/>
  <c r="A10" i="11"/>
  <c r="A12" i="10"/>
  <c r="A13" i="10"/>
  <c r="A12" i="12"/>
  <c r="A11" i="11"/>
  <c r="A14" i="10"/>
  <c r="A15" i="10"/>
  <c r="A16" i="10"/>
  <c r="A13" i="12"/>
  <c r="A14" i="12"/>
  <c r="A12" i="11"/>
  <c r="A13" i="11"/>
  <c r="A17" i="10"/>
  <c r="A15" i="12"/>
  <c r="A16" i="12"/>
  <c r="A14" i="11"/>
  <c r="A18" i="10"/>
  <c r="A17" i="12"/>
  <c r="A15" i="11"/>
  <c r="A16" i="11"/>
  <c r="A17" i="11"/>
  <c r="A18" i="11"/>
  <c r="A19" i="11"/>
  <c r="A20" i="11"/>
  <c r="A19" i="10"/>
  <c r="A20" i="10"/>
  <c r="A18" i="12"/>
  <c r="A21" i="10"/>
  <c r="A22" i="10"/>
  <c r="A23" i="10"/>
  <c r="A22" i="11"/>
  <c r="A19" i="12"/>
  <c r="A24" i="10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5" i="12"/>
  <c r="A25" i="10"/>
  <c r="A26" i="10"/>
  <c r="A27" i="10"/>
  <c r="A28" i="10"/>
  <c r="A29" i="10"/>
  <c r="A30" i="10"/>
  <c r="A31" i="10"/>
  <c r="A32" i="10"/>
  <c r="A33" i="10"/>
  <c r="A35" i="10"/>
  <c r="A12" i="1" l="1"/>
  <c r="A14" i="1" l="1"/>
  <c r="A16" i="1" l="1"/>
  <c r="A18" i="1" s="1"/>
  <c r="F10" i="1"/>
  <c r="F21" i="1" s="1"/>
  <c r="A20" i="1" l="1"/>
  <c r="F14" i="1"/>
  <c r="F18" i="1" s="1"/>
  <c r="F23" i="1" s="1"/>
  <c r="A21" i="1" l="1"/>
  <c r="A23" i="1" s="1"/>
</calcChain>
</file>

<file path=xl/sharedStrings.xml><?xml version="1.0" encoding="utf-8"?>
<sst xmlns="http://schemas.openxmlformats.org/spreadsheetml/2006/main" count="156" uniqueCount="92">
  <si>
    <t>Return on Rate Base (Pre-Tax)</t>
  </si>
  <si>
    <t>\F</t>
  </si>
  <si>
    <t>\B</t>
  </si>
  <si>
    <t>\A</t>
  </si>
  <si>
    <t>\C</t>
  </si>
  <si>
    <t>\D</t>
  </si>
  <si>
    <t>\E</t>
  </si>
  <si>
    <t>Account 282</t>
  </si>
  <si>
    <t>263A</t>
  </si>
  <si>
    <t>AFUDC Debt</t>
  </si>
  <si>
    <t>Casualty Loss</t>
  </si>
  <si>
    <t>CIAC</t>
  </si>
  <si>
    <t>CWIP Differences</t>
  </si>
  <si>
    <t>FAS109</t>
  </si>
  <si>
    <t>Miscellaneous</t>
  </si>
  <si>
    <t>Non-Cash Overheads</t>
  </si>
  <si>
    <t>Section 174</t>
  </si>
  <si>
    <t>Software</t>
  </si>
  <si>
    <t>Tax Depreciation</t>
  </si>
  <si>
    <t>Land and Land Rights</t>
  </si>
  <si>
    <t>Rights of Way</t>
  </si>
  <si>
    <t>Structures and Improvements</t>
  </si>
  <si>
    <t>Station Equipment</t>
  </si>
  <si>
    <t>Major Equipment</t>
  </si>
  <si>
    <t>Station Equipment Electronic</t>
  </si>
  <si>
    <t>Poles, Towers &amp; Fixtures</t>
  </si>
  <si>
    <t>3650, 3651</t>
  </si>
  <si>
    <t>Overhead Conductors and Devices</t>
  </si>
  <si>
    <t>Underground Conduit</t>
  </si>
  <si>
    <t>Underground Conductors and Devices</t>
  </si>
  <si>
    <t>3680, 3681</t>
  </si>
  <si>
    <t>Line Transformers</t>
  </si>
  <si>
    <t>Customer Transformer Installations</t>
  </si>
  <si>
    <t>Services - Underground</t>
  </si>
  <si>
    <t>Services - Overhead</t>
  </si>
  <si>
    <t>Meters</t>
  </si>
  <si>
    <t>Leased Meters</t>
  </si>
  <si>
    <t>Utility of the Future Meters</t>
  </si>
  <si>
    <t>Installations on Customers' Premises</t>
  </si>
  <si>
    <t>Leased Property on Customers' Premises</t>
  </si>
  <si>
    <t>3730, 3731</t>
  </si>
  <si>
    <t>Street Lighting - Overhead</t>
  </si>
  <si>
    <t>Street Lighting - Boulevard</t>
  </si>
  <si>
    <t>Light Security OL POL Flood</t>
  </si>
  <si>
    <t>Light Choice OLE - Public</t>
  </si>
  <si>
    <t>Company</t>
  </si>
  <si>
    <t>Adjusted</t>
  </si>
  <si>
    <t>Duke Energy Ohio, Inc.</t>
  </si>
  <si>
    <t>Company Owned Outdoor Light</t>
  </si>
  <si>
    <t>Street Lighting</t>
  </si>
  <si>
    <t>Account Number</t>
  </si>
  <si>
    <t>FERC</t>
  </si>
  <si>
    <t>Line No.</t>
  </si>
  <si>
    <t>Account Title</t>
  </si>
  <si>
    <t>Per Books</t>
  </si>
  <si>
    <t>Total Company</t>
  </si>
  <si>
    <t>Distribution Accounts</t>
  </si>
  <si>
    <r>
      <t xml:space="preserve">Adjustments </t>
    </r>
    <r>
      <rPr>
        <b/>
        <vertAlign val="superscript"/>
        <sz val="12"/>
        <rFont val="Calibri"/>
        <family val="2"/>
        <scheme val="minor"/>
      </rPr>
      <t>(a)</t>
    </r>
  </si>
  <si>
    <t>282.XXX</t>
  </si>
  <si>
    <t xml:space="preserve">Total Plant-Related Accumulated Deferred Income Tax </t>
  </si>
  <si>
    <t>Dist Station Equip Elec</t>
  </si>
  <si>
    <t>Retirement Work in Progress</t>
  </si>
  <si>
    <t>TIC</t>
  </si>
  <si>
    <t>Plant in Service Summary by Major Property Groupings (As of March 31, 2015)</t>
  </si>
  <si>
    <t>Accumulated Depreciation by Major Property Groupings (As of March 31, 2015)</t>
  </si>
  <si>
    <t>Plant Related Accumulated Deferred Income Taxes - Excluding Grid Modernization (March 31, 2015)</t>
  </si>
  <si>
    <t>(a)</t>
  </si>
  <si>
    <t xml:space="preserve">Adjustments </t>
  </si>
  <si>
    <t>Line</t>
  </si>
  <si>
    <t>Description</t>
  </si>
  <si>
    <t>Notes:  (a) Grid Mod additions</t>
  </si>
  <si>
    <t>Depreciation Expense</t>
  </si>
  <si>
    <t xml:space="preserve">Assumptions:  </t>
  </si>
  <si>
    <t xml:space="preserve">Estimated Revenue Requirement </t>
  </si>
  <si>
    <t>Duke Energy Kentucky</t>
  </si>
  <si>
    <t>Battery Storage Project</t>
  </si>
  <si>
    <r>
      <t>Gross Plant</t>
    </r>
    <r>
      <rPr>
        <vertAlign val="superscript"/>
        <sz val="11"/>
        <color theme="1"/>
        <rFont val="Calibri"/>
        <family val="2"/>
        <scheme val="minor"/>
      </rPr>
      <t>(a)</t>
    </r>
  </si>
  <si>
    <t xml:space="preserve">  Net Plant in Service</t>
  </si>
  <si>
    <t>Rate Base</t>
  </si>
  <si>
    <t xml:space="preserve">  Revenue Requirement (Lines 7 - 9)</t>
  </si>
  <si>
    <t>Test Period</t>
  </si>
  <si>
    <r>
      <rPr>
        <vertAlign val="superscript"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Assumes 1.9% of net plant.</t>
    </r>
  </si>
  <si>
    <r>
      <t xml:space="preserve">Annualized Property Tax Expense </t>
    </r>
    <r>
      <rPr>
        <vertAlign val="superscript"/>
        <sz val="11"/>
        <color theme="1"/>
        <rFont val="Calibri"/>
        <family val="2"/>
        <scheme val="minor"/>
      </rPr>
      <t>(d)</t>
    </r>
  </si>
  <si>
    <r>
      <t xml:space="preserve">Return on Rate Base (Pre-Tax %) 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</si>
  <si>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 xml:space="preserve">Accum Def Income Taxes on Plant </t>
    </r>
    <r>
      <rPr>
        <vertAlign val="superscript"/>
        <sz val="11"/>
        <color theme="1"/>
        <rFont val="Calibri"/>
        <family val="2"/>
        <scheme val="minor"/>
      </rPr>
      <t>(b)</t>
    </r>
  </si>
  <si>
    <t>Placed in Service</t>
  </si>
  <si>
    <t>Culmative Plant In Service</t>
  </si>
  <si>
    <t xml:space="preserve">13 Month Average (Average of Ln 2): </t>
  </si>
  <si>
    <r>
      <rPr>
        <vertAlign val="superscript"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Schedule B-2.1 Page 10 of 12, Line 6</t>
    </r>
  </si>
  <si>
    <r>
      <t xml:space="preserve">Accum Depreciation </t>
    </r>
    <r>
      <rPr>
        <vertAlign val="superscript"/>
        <sz val="11"/>
        <color theme="1"/>
        <rFont val="Calibri"/>
        <family val="2"/>
        <scheme val="minor"/>
      </rPr>
      <t>(b)</t>
    </r>
  </si>
  <si>
    <r>
      <rPr>
        <vertAlign val="superscript"/>
        <sz val="11"/>
        <color theme="1"/>
        <rFont val="Calibri"/>
        <family val="2"/>
        <scheme val="minor"/>
      </rPr>
      <t xml:space="preserve">(b) </t>
    </r>
    <r>
      <rPr>
        <sz val="11"/>
        <color theme="1"/>
        <rFont val="Calibri"/>
        <family val="2"/>
        <scheme val="minor"/>
      </rPr>
      <t>Assumes 15 year book life; 15 year MACRS</t>
    </r>
  </si>
  <si>
    <r>
      <rPr>
        <vertAlign val="superscript"/>
        <sz val="11"/>
        <color theme="1"/>
        <rFont val="Calibri"/>
        <family val="2"/>
        <scheme val="minor"/>
      </rPr>
      <t>(c)</t>
    </r>
    <r>
      <rPr>
        <sz val="11"/>
        <color theme="1"/>
        <rFont val="Calibri"/>
        <family val="2"/>
        <scheme val="minor"/>
      </rPr>
      <t xml:space="preserve">  Weighted-Average Cost of Capital from Schedule A in Case No. 2019-00271, with ROE at 9.8%, grossed up for 21% FIT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</si>
</sst>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"/>
    <numFmt numFmtId="166" formatCode="_(* #,##0_);_(* \(#,##0\);_(* &quot;-&quot;??_);_(@_)"/>
    <numFmt numFmtId="167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name val="Courier"/>
      <family val="3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0" fontId="3" fillId="0" borderId="6" xfId="0" applyFont="1" applyBorder="1"/>
    <xf numFmtId="0" fontId="3" fillId="0" borderId="6" xfId="0" applyFont="1" applyBorder="1" applyAlignment="1" applyProtection="1">
      <alignment horizontal="left"/>
    </xf>
    <xf numFmtId="0" fontId="3" fillId="0" borderId="0" xfId="0" applyFont="1" applyBorder="1"/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165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37" fontId="3" fillId="0" borderId="0" xfId="0" applyNumberFormat="1" applyFont="1" applyAlignment="1" applyProtection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</xf>
    <xf numFmtId="4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right"/>
    </xf>
    <xf numFmtId="5" fontId="3" fillId="0" borderId="0" xfId="0" applyNumberFormat="1" applyFont="1" applyAlignment="1" applyProtection="1">
      <alignment horizontal="right"/>
    </xf>
    <xf numFmtId="5" fontId="3" fillId="0" borderId="2" xfId="0" applyNumberFormat="1" applyFont="1" applyBorder="1" applyAlignment="1" applyProtection="1">
      <alignment horizontal="right"/>
    </xf>
    <xf numFmtId="37" fontId="8" fillId="0" borderId="0" xfId="0" applyNumberFormat="1" applyFont="1" applyFill="1" applyAlignment="1" applyProtection="1">
      <alignment horizontal="right"/>
    </xf>
    <xf numFmtId="49" fontId="3" fillId="0" borderId="0" xfId="0" quotePrefix="1" applyNumberFormat="1" applyFont="1" applyAlignment="1">
      <alignment horizontal="left"/>
    </xf>
    <xf numFmtId="165" fontId="3" fillId="0" borderId="0" xfId="0" quotePrefix="1" applyNumberFormat="1" applyFont="1" applyAlignment="1" applyProtection="1">
      <alignment horizontal="left"/>
    </xf>
    <xf numFmtId="5" fontId="3" fillId="0" borderId="0" xfId="0" applyNumberFormat="1" applyFont="1" applyBorder="1" applyAlignment="1" applyProtection="1">
      <alignment horizontal="right"/>
    </xf>
    <xf numFmtId="5" fontId="0" fillId="0" borderId="0" xfId="0" applyNumberFormat="1"/>
    <xf numFmtId="5" fontId="3" fillId="0" borderId="9" xfId="0" applyNumberFormat="1" applyFont="1" applyBorder="1" applyAlignment="1" applyProtection="1">
      <alignment horizontal="right"/>
    </xf>
    <xf numFmtId="0" fontId="2" fillId="0" borderId="0" xfId="0" applyFont="1"/>
    <xf numFmtId="0" fontId="10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5" fontId="8" fillId="0" borderId="0" xfId="0" applyNumberFormat="1" applyFont="1" applyFill="1" applyAlignment="1" applyProtection="1">
      <alignment horizontal="right"/>
    </xf>
    <xf numFmtId="5" fontId="12" fillId="0" borderId="0" xfId="0" applyNumberFormat="1" applyFont="1" applyAlignment="1" applyProtection="1">
      <alignment horizontal="right"/>
    </xf>
    <xf numFmtId="37" fontId="12" fillId="0" borderId="0" xfId="0" applyNumberFormat="1" applyFont="1" applyAlignment="1" applyProtection="1">
      <alignment horizontal="right"/>
    </xf>
    <xf numFmtId="37" fontId="12" fillId="0" borderId="0" xfId="0" applyNumberFormat="1" applyFont="1" applyFill="1" applyAlignment="1" applyProtection="1">
      <alignment horizontal="right"/>
    </xf>
    <xf numFmtId="5" fontId="3" fillId="0" borderId="0" xfId="0" applyNumberFormat="1" applyFont="1"/>
    <xf numFmtId="5" fontId="12" fillId="0" borderId="0" xfId="0" applyNumberFormat="1" applyFont="1" applyFill="1" applyAlignment="1" applyProtection="1">
      <alignment horizontal="right"/>
    </xf>
    <xf numFmtId="167" fontId="12" fillId="0" borderId="0" xfId="11" applyNumberFormat="1" applyFont="1" applyFill="1" applyAlignment="1" applyProtection="1">
      <alignment horizontal="right"/>
    </xf>
    <xf numFmtId="5" fontId="3" fillId="0" borderId="0" xfId="0" applyNumberFormat="1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/>
    <xf numFmtId="5" fontId="12" fillId="0" borderId="0" xfId="0" applyNumberFormat="1" applyFont="1" applyBorder="1" applyAlignment="1" applyProtection="1">
      <alignment horizontal="right"/>
    </xf>
    <xf numFmtId="5" fontId="12" fillId="0" borderId="0" xfId="0" applyNumberFormat="1" applyFont="1" applyFill="1" applyBorder="1" applyAlignment="1" applyProtection="1">
      <alignment horizontal="right"/>
    </xf>
    <xf numFmtId="37" fontId="12" fillId="0" borderId="0" xfId="0" applyNumberFormat="1" applyFont="1" applyBorder="1" applyAlignment="1" applyProtection="1">
      <alignment horizontal="right"/>
    </xf>
    <xf numFmtId="37" fontId="1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/>
    <xf numFmtId="165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right"/>
    </xf>
    <xf numFmtId="164" fontId="3" fillId="0" borderId="0" xfId="2" applyNumberFormat="1" applyFont="1" applyBorder="1" applyAlignment="1" applyProtection="1">
      <alignment horizontal="center"/>
    </xf>
    <xf numFmtId="5" fontId="3" fillId="0" borderId="0" xfId="0" applyNumberFormat="1" applyFont="1" applyBorder="1" applyProtection="1"/>
    <xf numFmtId="5" fontId="3" fillId="0" borderId="0" xfId="0" applyNumberFormat="1" applyFont="1" applyFill="1" applyBorder="1" applyProtection="1"/>
    <xf numFmtId="165" fontId="3" fillId="0" borderId="0" xfId="0" quotePrefix="1" applyNumberFormat="1" applyFont="1" applyBorder="1" applyAlignment="1" applyProtection="1">
      <alignment horizontal="left"/>
    </xf>
    <xf numFmtId="0" fontId="3" fillId="0" borderId="0" xfId="0" quotePrefix="1" applyFo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167" fontId="3" fillId="0" borderId="9" xfId="0" applyNumberFormat="1" applyFont="1" applyBorder="1" applyAlignment="1" applyProtection="1">
      <alignment horizontal="right"/>
    </xf>
    <xf numFmtId="0" fontId="5" fillId="0" borderId="10" xfId="0" quotePrefix="1" applyFont="1" applyBorder="1" applyAlignment="1">
      <alignment horizontal="center"/>
    </xf>
    <xf numFmtId="37" fontId="12" fillId="0" borderId="0" xfId="0" quotePrefix="1" applyNumberFormat="1" applyFont="1" applyFill="1" applyAlignment="1" applyProtection="1">
      <alignment horizontal="right"/>
    </xf>
    <xf numFmtId="0" fontId="0" fillId="0" borderId="0" xfId="0" quotePrefix="1" applyAlignment="1">
      <alignment horizontal="center" wrapText="1"/>
    </xf>
    <xf numFmtId="0" fontId="0" fillId="0" borderId="6" xfId="0" applyBorder="1"/>
    <xf numFmtId="0" fontId="10" fillId="0" borderId="6" xfId="0" applyFont="1" applyFill="1" applyBorder="1" applyAlignment="1">
      <alignment horizontal="centerContinuous"/>
    </xf>
    <xf numFmtId="0" fontId="11" fillId="0" borderId="6" xfId="0" applyFont="1" applyFill="1" applyBorder="1" applyAlignment="1">
      <alignment horizontal="centerContinuous"/>
    </xf>
    <xf numFmtId="0" fontId="11" fillId="0" borderId="6" xfId="0" applyFont="1" applyFill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3" fillId="0" borderId="2" xfId="0" applyFont="1" applyBorder="1"/>
    <xf numFmtId="0" fontId="3" fillId="0" borderId="0" xfId="0" quotePrefix="1" applyFont="1" applyAlignment="1">
      <alignment horizontal="left"/>
    </xf>
    <xf numFmtId="0" fontId="3" fillId="0" borderId="11" xfId="0" applyFont="1" applyBorder="1"/>
    <xf numFmtId="165" fontId="3" fillId="0" borderId="11" xfId="0" applyNumberFormat="1" applyFont="1" applyBorder="1" applyProtection="1"/>
    <xf numFmtId="0" fontId="2" fillId="0" borderId="0" xfId="0" quotePrefix="1" applyFont="1" applyBorder="1" applyAlignment="1">
      <alignment horizontal="center"/>
    </xf>
    <xf numFmtId="5" fontId="0" fillId="0" borderId="0" xfId="0" applyNumberFormat="1" applyFill="1" applyBorder="1"/>
    <xf numFmtId="0" fontId="2" fillId="0" borderId="0" xfId="0" applyFont="1" applyAlignment="1"/>
    <xf numFmtId="166" fontId="0" fillId="0" borderId="0" xfId="1" applyNumberFormat="1" applyFont="1" applyFill="1"/>
    <xf numFmtId="0" fontId="0" fillId="0" borderId="0" xfId="0" quotePrefix="1" applyAlignment="1"/>
    <xf numFmtId="0" fontId="0" fillId="0" borderId="0" xfId="0" applyFill="1"/>
    <xf numFmtId="5" fontId="0" fillId="0" borderId="2" xfId="0" applyNumberFormat="1" applyFill="1" applyBorder="1"/>
    <xf numFmtId="0" fontId="10" fillId="0" borderId="0" xfId="0" applyFont="1" applyFill="1"/>
    <xf numFmtId="5" fontId="0" fillId="0" borderId="1" xfId="0" applyNumberFormat="1" applyFill="1" applyBorder="1"/>
    <xf numFmtId="5" fontId="2" fillId="0" borderId="9" xfId="0" applyNumberFormat="1" applyFont="1" applyFill="1" applyBorder="1"/>
    <xf numFmtId="5" fontId="2" fillId="0" borderId="0" xfId="0" applyNumberFormat="1" applyFont="1" applyFill="1" applyBorder="1"/>
    <xf numFmtId="0" fontId="0" fillId="0" borderId="0" xfId="0" applyFont="1" applyFill="1"/>
    <xf numFmtId="10" fontId="0" fillId="0" borderId="0" xfId="2" applyNumberFormat="1" applyFont="1" applyFill="1"/>
    <xf numFmtId="5" fontId="0" fillId="0" borderId="0" xfId="0" applyNumberFormat="1" applyFill="1"/>
    <xf numFmtId="166" fontId="10" fillId="0" borderId="0" xfId="1" quotePrefix="1" applyNumberFormat="1" applyFont="1" applyFill="1" applyAlignment="1">
      <alignment horizontal="left"/>
    </xf>
    <xf numFmtId="166" fontId="0" fillId="0" borderId="0" xfId="1" applyNumberFormat="1" applyFont="1" applyFill="1" applyBorder="1"/>
    <xf numFmtId="166" fontId="10" fillId="0" borderId="0" xfId="1" quotePrefix="1" applyNumberFormat="1" applyFont="1" applyFill="1" applyBorder="1" applyAlignment="1">
      <alignment horizontal="left"/>
    </xf>
    <xf numFmtId="0" fontId="0" fillId="0" borderId="0" xfId="0" applyFill="1" applyBorder="1"/>
    <xf numFmtId="0" fontId="10" fillId="0" borderId="2" xfId="0" applyFont="1" applyFill="1" applyBorder="1"/>
    <xf numFmtId="0" fontId="10" fillId="0" borderId="0" xfId="0" applyFont="1" applyFill="1" applyBorder="1"/>
    <xf numFmtId="0" fontId="0" fillId="0" borderId="0" xfId="0" quotePrefix="1" applyAlignment="1">
      <alignment horizontal="left" indent="1"/>
    </xf>
    <xf numFmtId="0" fontId="0" fillId="0" borderId="0" xfId="0" quotePrefix="1" applyFill="1" applyAlignment="1">
      <alignment horizontal="left" indent="1"/>
    </xf>
    <xf numFmtId="5" fontId="0" fillId="2" borderId="12" xfId="0" applyNumberFormat="1" applyFill="1" applyBorder="1"/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left" indent="1"/>
    </xf>
    <xf numFmtId="0" fontId="2" fillId="0" borderId="3" xfId="0" quotePrefix="1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2" fillId="0" borderId="13" xfId="0" quotePrefix="1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7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0" fillId="0" borderId="0" xfId="1" applyNumberFormat="1" applyFont="1" applyBorder="1"/>
    <xf numFmtId="7" fontId="0" fillId="0" borderId="0" xfId="0" applyNumberFormat="1"/>
    <xf numFmtId="166" fontId="0" fillId="2" borderId="12" xfId="0" applyNumberFormat="1" applyFill="1" applyBorder="1"/>
    <xf numFmtId="0" fontId="0" fillId="0" borderId="0" xfId="0" quotePrefix="1" applyFill="1" applyAlignment="1">
      <alignment horizontal="left" wrapText="1" indent="1"/>
    </xf>
    <xf numFmtId="0" fontId="5" fillId="0" borderId="0" xfId="0" applyFont="1" applyAlignment="1">
      <alignment horizontal="center"/>
    </xf>
    <xf numFmtId="0" fontId="7" fillId="0" borderId="0" xfId="0" quotePrefix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3" xfId="0" quotePrefix="1" applyFont="1" applyBorder="1" applyAlignment="1">
      <alignment horizontal="center" wrapText="1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12">
    <cellStyle name="Comma" xfId="1" builtinId="3"/>
    <cellStyle name="Currency" xfId="11" builtinId="4"/>
    <cellStyle name="Normal" xfId="0" builtinId="0"/>
    <cellStyle name="Normal 69" xfId="3"/>
    <cellStyle name="Normal 70" xfId="5"/>
    <cellStyle name="Normal 72" xfId="4"/>
    <cellStyle name="Normal 74" xfId="6"/>
    <cellStyle name="Normal 75" xfId="7"/>
    <cellStyle name="Normal 76" xfId="8"/>
    <cellStyle name="Normal 77" xfId="9"/>
    <cellStyle name="Normal 78" xfId="10"/>
    <cellStyle name="Percent" xfId="2" builtinId="5"/>
  </cellStyles>
  <dxfs count="0"/>
  <tableStyles count="0" defaultTableStyle="TableStyleMedium9" defaultPivotStyle="PivotStyleLight16"/>
  <colors>
    <mruColors>
      <color rgb="FFFFE4AF"/>
      <color rgb="FF0000FF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%20Ohio%20D%20Case%202012-1682\Settlement\PUCO%20ELECTRIC%20SFRs-%202012%20Settlement%20Upd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%20Ohio%20D%20Case%202012-1682\SFR%20Model\PUCO%20ELECTRIC%20SFRs-%202012%20As%20Fil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COSS ALLOC"/>
      <sheetName val="GOTO"/>
      <sheetName val="PRINT"/>
      <sheetName val="INPUT"/>
      <sheetName val="Jan-Jun 04 Budget"/>
      <sheetName val="NON-LABOR"/>
      <sheetName val="Jan-Jun 04 NonLabor Bdgt"/>
      <sheetName val="ACCTTABLE"/>
      <sheetName val="REV by PRODUCT"/>
      <sheetName val="LABOR"/>
      <sheetName val="Jan-Jun 04 Labor Bdgt"/>
      <sheetName val="SCH_A1"/>
      <sheetName val="SCH_A2"/>
      <sheetName val="SCH_B1"/>
      <sheetName val="SCH_B-2"/>
      <sheetName val="SCH_B-2.1"/>
      <sheetName val="SCH_B-2.2"/>
      <sheetName val="SCH_B-2.3"/>
      <sheetName val="WPB-2.3"/>
      <sheetName val="SCH_B-2.4"/>
      <sheetName val="SCH_B-2.5"/>
      <sheetName val="SCH_B-2.5b"/>
      <sheetName val="SCH_B-3"/>
      <sheetName val="SCH_B-3.1"/>
      <sheetName val="SCH_B-3.2 - Proposed Accrual"/>
      <sheetName val="SCH_B-3.2a - Current Accrual"/>
      <sheetName val="SCH_B-3.3"/>
      <sheetName val="WPB-3.3"/>
      <sheetName val="SCH_B-3.4"/>
      <sheetName val="SCH_B-4"/>
      <sheetName val="SCH_B5s"/>
      <sheetName val="WPB"/>
      <sheetName val="SCH_B6s"/>
      <sheetName val="B6 WP"/>
      <sheetName val="SCH_B7s"/>
      <sheetName val="SCH_B9"/>
      <sheetName val="SCH_C1"/>
      <sheetName val="SCH_C2"/>
      <sheetName val="SCH_C2.1"/>
      <sheetName val="SCH C3"/>
      <sheetName val="SCH_C3.1"/>
      <sheetName val="SCH_C3.2"/>
      <sheetName val="SCH_C3.3"/>
      <sheetName val="SCH_C3.4"/>
      <sheetName val="SCH_C3.5"/>
      <sheetName val="SCH_C3.6"/>
      <sheetName val="SCH_C3.7"/>
      <sheetName val="SCH_C3.8"/>
      <sheetName val="SCH_C3.9"/>
      <sheetName val="SCH_C3.10"/>
      <sheetName val="SCH_C3.11"/>
      <sheetName val="SCH_C3.12"/>
      <sheetName val="SCH_C3.13"/>
      <sheetName val="SCH_C3.14"/>
      <sheetName val="SCH_C3.15"/>
      <sheetName val="SCH_C3.16"/>
      <sheetName val="SCH_C3.17"/>
      <sheetName val="SCH_C3.18"/>
      <sheetName val="SCH_C3.19"/>
      <sheetName val="SCH_C3.20"/>
      <sheetName val="SCH_C3.21"/>
      <sheetName val="SCH_C3.22"/>
      <sheetName val="SCH_C3.23"/>
      <sheetName val="SCH_C3.24"/>
      <sheetName val="SCH_C3.25"/>
      <sheetName val="SCH_C3.26"/>
      <sheetName val="SCH_C3.27"/>
      <sheetName val="SCH_C3.28"/>
      <sheetName val="SCH_C3.29"/>
      <sheetName val="SCH_C3.30"/>
      <sheetName val="SCH_C4"/>
      <sheetName val="SCH_C5"/>
      <sheetName val="SCH_C6"/>
      <sheetName val="SCH_C7"/>
      <sheetName val="SCH_C8"/>
      <sheetName val="SCH_C9"/>
      <sheetName val="SCH_C9.1"/>
      <sheetName val="SCH C10.1"/>
      <sheetName val="SCH C10.2"/>
      <sheetName val="SCH_C11"/>
      <sheetName val="SCH_C12"/>
      <sheetName val="SCH_D1 DE-Ohio"/>
      <sheetName val="SCH_D1 Cons."/>
      <sheetName val="SCH_D2 DE-Ohio"/>
      <sheetName val="SCH_D2 Cons."/>
      <sheetName val="SCH_D3A DE-Ohio"/>
      <sheetName val="SCH_D3B Cons."/>
      <sheetName val="SCH_D4 DE-Ohio"/>
      <sheetName val="SCH_D4 Cons."/>
      <sheetName val="SCH D5 DE-Ohio"/>
      <sheetName val="SCH D5 Cons."/>
      <sheetName val="SUPP (C)(7)"/>
      <sheetName val="SUPP (C)(9)"/>
      <sheetName val="SUPP (C)(23)"/>
      <sheetName val="SUPP (C)(25)"/>
    </sheetNames>
    <sheetDataSet>
      <sheetData sheetId="0">
        <row r="5">
          <cell r="C5" t="str">
            <v>DUKE ENERGY OHIO, INC.</v>
          </cell>
        </row>
      </sheetData>
      <sheetData sheetId="1">
        <row r="2">
          <cell r="A2" t="str">
            <v>C229</v>
          </cell>
        </row>
      </sheetData>
      <sheetData sheetId="2"/>
      <sheetData sheetId="3"/>
      <sheetData sheetId="4">
        <row r="1">
          <cell r="D1">
            <v>5.4250000000000001E-3</v>
          </cell>
        </row>
        <row r="16">
          <cell r="D16">
            <v>0.83499999999999996</v>
          </cell>
        </row>
      </sheetData>
      <sheetData sheetId="5"/>
      <sheetData sheetId="6"/>
      <sheetData sheetId="7"/>
      <sheetData sheetId="8">
        <row r="12">
          <cell r="A12">
            <v>403400</v>
          </cell>
        </row>
      </sheetData>
      <sheetData sheetId="9">
        <row r="12">
          <cell r="A12">
            <v>440000</v>
          </cell>
        </row>
      </sheetData>
      <sheetData sheetId="10">
        <row r="2">
          <cell r="A2" t="str">
            <v>Account</v>
          </cell>
        </row>
      </sheetData>
      <sheetData sheetId="11"/>
      <sheetData sheetId="12"/>
      <sheetData sheetId="13">
        <row r="37">
          <cell r="H37">
            <v>1.5650023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42">
          <cell r="AK142">
            <v>15568360</v>
          </cell>
        </row>
      </sheetData>
      <sheetData sheetId="33"/>
      <sheetData sheetId="34">
        <row r="104">
          <cell r="AA104">
            <v>-7270777</v>
          </cell>
        </row>
      </sheetData>
      <sheetData sheetId="35"/>
      <sheetData sheetId="36"/>
      <sheetData sheetId="37">
        <row r="23">
          <cell r="G23">
            <v>447125</v>
          </cell>
        </row>
      </sheetData>
      <sheetData sheetId="38"/>
      <sheetData sheetId="39">
        <row r="54">
          <cell r="J54">
            <v>515397375</v>
          </cell>
        </row>
      </sheetData>
      <sheetData sheetId="40">
        <row r="20">
          <cell r="E20">
            <v>-150838097</v>
          </cell>
        </row>
      </sheetData>
      <sheetData sheetId="41"/>
      <sheetData sheetId="42"/>
      <sheetData sheetId="43"/>
      <sheetData sheetId="44"/>
      <sheetData sheetId="45">
        <row r="19">
          <cell r="K19">
            <v>-5498799</v>
          </cell>
        </row>
      </sheetData>
      <sheetData sheetId="46"/>
      <sheetData sheetId="47"/>
      <sheetData sheetId="48"/>
      <sheetData sheetId="49"/>
      <sheetData sheetId="50">
        <row r="87">
          <cell r="AI87">
            <v>-26399957</v>
          </cell>
        </row>
      </sheetData>
      <sheetData sheetId="51"/>
      <sheetData sheetId="52"/>
      <sheetData sheetId="53"/>
      <sheetData sheetId="54"/>
      <sheetData sheetId="55"/>
      <sheetData sheetId="56"/>
      <sheetData sheetId="57">
        <row r="57">
          <cell r="W57">
            <v>2392829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2">
          <cell r="O2">
            <v>0.37390000000000001</v>
          </cell>
        </row>
      </sheetData>
      <sheetData sheetId="77"/>
      <sheetData sheetId="78"/>
      <sheetData sheetId="79"/>
      <sheetData sheetId="80"/>
      <sheetData sheetId="81"/>
      <sheetData sheetId="82">
        <row r="16">
          <cell r="M16">
            <v>2.4799999999999999E-2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COSS ALLOC"/>
      <sheetName val="GOTO"/>
      <sheetName val="PRINT"/>
      <sheetName val="INPUT"/>
      <sheetName val="Jan-Jun 04 Budget"/>
      <sheetName val="NON-LABOR"/>
      <sheetName val="Jan-Jun 04 NonLabor Bdgt"/>
      <sheetName val="ACCTTABLE"/>
      <sheetName val="REV by PRODUCT"/>
      <sheetName val="LABOR"/>
      <sheetName val="Jan-Jun 04 Labor Bdgt"/>
      <sheetName val="SCH_A1"/>
      <sheetName val="SCH_A2"/>
      <sheetName val="SCH_B1"/>
      <sheetName val="SCH_B-2"/>
      <sheetName val="SCH_B-2.1"/>
      <sheetName val="SCH_B-2.2"/>
      <sheetName val="SCH_B-2.3"/>
      <sheetName val="WPB-2.3"/>
      <sheetName val="SCH_B-2.4"/>
      <sheetName val="SCH_B-2.5"/>
      <sheetName val="SCH_B-2.5b"/>
      <sheetName val="SCH_B-3"/>
      <sheetName val="SCH_B-3.1"/>
      <sheetName val="SCH_B-3.2 - Proposed Accrual"/>
      <sheetName val="SCH_B-3.2a - Current Accrual"/>
      <sheetName val="SCH_B-3.3"/>
      <sheetName val="WPB-3.3"/>
      <sheetName val="SCH_B-3.4"/>
      <sheetName val="SCH_B-4"/>
      <sheetName val="SCH_B5s"/>
      <sheetName val="WPB"/>
      <sheetName val="SCH_B6s"/>
      <sheetName val="B6 WP"/>
      <sheetName val="SCH_B7s"/>
      <sheetName val="SCH_B9"/>
      <sheetName val="SCH_C1"/>
      <sheetName val="SCH_C2"/>
      <sheetName val="SCH_C2.1"/>
      <sheetName val="SCH C3"/>
      <sheetName val="SCH_C3.1"/>
      <sheetName val="SCH_C3.2"/>
      <sheetName val="SCH_C3.3"/>
      <sheetName val="SCH_C3.4"/>
      <sheetName val="SCH_C3.5"/>
      <sheetName val="SCH_C3.6"/>
      <sheetName val="SCH_C3.7"/>
      <sheetName val="SCH_C3.8"/>
      <sheetName val="SCH_C3.9"/>
      <sheetName val="SCH_C3.10"/>
      <sheetName val="SCH_C3.11"/>
      <sheetName val="SCH_C3.12"/>
      <sheetName val="SCH_C3.13"/>
      <sheetName val="SCH_C3.14"/>
      <sheetName val="SCH_C3.15"/>
      <sheetName val="SCH_C3.16"/>
      <sheetName val="SCH_C3.17"/>
      <sheetName val="SCH_C3.18"/>
      <sheetName val="SCH_C3.19"/>
      <sheetName val="SCH_C3.20"/>
      <sheetName val="SCH_C3.21"/>
      <sheetName val="SCH_C3.22"/>
      <sheetName val="SCH_C3.23"/>
      <sheetName val="SCH_C3.24"/>
      <sheetName val="SCH_C3.25"/>
      <sheetName val="SCH_C3.26"/>
      <sheetName val="SCH_C3.27"/>
      <sheetName val="SCH_C3.28"/>
      <sheetName val="SCH_C3.29"/>
      <sheetName val="SCH_C3.30"/>
      <sheetName val="SCH_C4"/>
      <sheetName val="SCH_C5"/>
      <sheetName val="SCH_C6"/>
      <sheetName val="SCH_C7"/>
      <sheetName val="SCH_C8"/>
      <sheetName val="SCH_C9"/>
      <sheetName val="SCH_C9.1"/>
      <sheetName val="SCH C10.1"/>
      <sheetName val="SCH C10.2"/>
      <sheetName val="SCH_C11"/>
      <sheetName val="SCH_C12"/>
      <sheetName val="SCH_D1 DE-Ohio"/>
      <sheetName val="SCH_D1 Cons."/>
      <sheetName val="SCH_D2 DE-Ohio"/>
      <sheetName val="SCH_D2 Cons."/>
      <sheetName val="SCH_D3A DE-Ohio"/>
      <sheetName val="SCH_D3B Cons."/>
      <sheetName val="SCH_D4 DE-Ohio"/>
      <sheetName val="SCH_D4 Cons."/>
      <sheetName val="SCH D5 DE-Ohio"/>
      <sheetName val="SCH D5 Cons."/>
      <sheetName val="SUPP (C)(7)"/>
      <sheetName val="SUPP (C)(9)"/>
      <sheetName val="SUPP (C)(23)"/>
      <sheetName val="SUPP (C)(25)"/>
    </sheetNames>
    <sheetDataSet>
      <sheetData sheetId="0"/>
      <sheetData sheetId="1">
        <row r="2">
          <cell r="A2" t="str">
            <v>C229</v>
          </cell>
          <cell r="B2">
            <v>0.44821</v>
          </cell>
          <cell r="C2" t="str">
            <v>WTD Net C &amp; O Plant Ratios</v>
          </cell>
          <cell r="D2" t="str">
            <v>Per B-7</v>
          </cell>
        </row>
        <row r="3">
          <cell r="A3" t="str">
            <v>DALL</v>
          </cell>
          <cell r="B3">
            <v>1</v>
          </cell>
          <cell r="C3" t="str">
            <v>All Jurisdictional</v>
          </cell>
        </row>
        <row r="4">
          <cell r="A4" t="str">
            <v>DNON</v>
          </cell>
          <cell r="B4">
            <v>0</v>
          </cell>
          <cell r="C4" t="str">
            <v>Non-Jurisdictional</v>
          </cell>
        </row>
        <row r="5">
          <cell r="A5" t="str">
            <v>G229</v>
          </cell>
          <cell r="B5">
            <v>0.92257</v>
          </cell>
          <cell r="C5" t="str">
            <v>WTD Net G &amp; I Plant Ratios (T&amp;D Only)</v>
          </cell>
          <cell r="D5" t="str">
            <v>Per B-7</v>
          </cell>
        </row>
        <row r="6">
          <cell r="A6" t="str">
            <v>D595</v>
          </cell>
          <cell r="B6">
            <v>0.54069999999999996</v>
          </cell>
          <cell r="C6" t="str">
            <v>Distribution Revenue ratio</v>
          </cell>
          <cell r="D6" t="str">
            <v>Per WPB-5.1c</v>
          </cell>
        </row>
        <row r="7">
          <cell r="A7" t="str">
            <v>DLAB</v>
          </cell>
          <cell r="B7">
            <v>0.87319000000000002</v>
          </cell>
          <cell r="C7" t="str">
            <v>Labor Distribution</v>
          </cell>
          <cell r="D7" t="str">
            <v>FERC Pages 354 &amp; 355</v>
          </cell>
        </row>
        <row r="8">
          <cell r="A8" t="str">
            <v>DPTX</v>
          </cell>
          <cell r="B8">
            <v>0.79</v>
          </cell>
          <cell r="C8" t="str">
            <v>Distribution Property Tax Split based on 3 months actual</v>
          </cell>
          <cell r="D8" t="str">
            <v>Per Tax Department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Layout" zoomScaleNormal="90" workbookViewId="0">
      <selection activeCell="J8" sqref="J8"/>
    </sheetView>
  </sheetViews>
  <sheetFormatPr defaultRowHeight="15" x14ac:dyDescent="0.25"/>
  <cols>
    <col min="2" max="2" width="2" customWidth="1"/>
    <col min="3" max="3" width="46" customWidth="1"/>
    <col min="4" max="5" width="1.7109375" customWidth="1"/>
    <col min="6" max="6" width="14.7109375" customWidth="1"/>
    <col min="7" max="7" width="1.7109375" customWidth="1"/>
    <col min="8" max="8" width="12.7109375" bestFit="1" customWidth="1"/>
  </cols>
  <sheetData>
    <row r="1" spans="1:7" x14ac:dyDescent="0.25">
      <c r="A1" s="84" t="s">
        <v>74</v>
      </c>
      <c r="B1" s="30"/>
    </row>
    <row r="2" spans="1:7" x14ac:dyDescent="0.25">
      <c r="A2" s="30" t="s">
        <v>73</v>
      </c>
      <c r="B2" s="30"/>
    </row>
    <row r="3" spans="1:7" x14ac:dyDescent="0.25">
      <c r="A3" s="30" t="s">
        <v>75</v>
      </c>
      <c r="B3" s="30"/>
    </row>
    <row r="4" spans="1:7" ht="19.5" thickBot="1" x14ac:dyDescent="0.35">
      <c r="A4" s="69"/>
      <c r="B4" s="69"/>
      <c r="C4" s="70"/>
      <c r="D4" s="71"/>
      <c r="E4" s="72"/>
      <c r="F4" s="72"/>
      <c r="G4" s="72"/>
    </row>
    <row r="5" spans="1:7" ht="18.75" x14ac:dyDescent="0.3">
      <c r="C5" s="33"/>
      <c r="D5" s="32"/>
      <c r="E5" s="33"/>
      <c r="F5" s="33"/>
      <c r="G5" s="33"/>
    </row>
    <row r="6" spans="1:7" x14ac:dyDescent="0.25">
      <c r="A6" s="73" t="s">
        <v>68</v>
      </c>
      <c r="B6" s="74"/>
      <c r="C6" s="73" t="s">
        <v>69</v>
      </c>
      <c r="E6" s="82"/>
      <c r="F6" s="75" t="s">
        <v>80</v>
      </c>
      <c r="G6" s="82"/>
    </row>
    <row r="8" spans="1:7" ht="17.25" x14ac:dyDescent="0.25">
      <c r="A8" s="76">
        <v>1</v>
      </c>
      <c r="C8" s="1" t="s">
        <v>76</v>
      </c>
      <c r="E8" s="28"/>
      <c r="F8" s="28">
        <v>2508971</v>
      </c>
      <c r="G8" s="28"/>
    </row>
    <row r="9" spans="1:7" ht="17.25" x14ac:dyDescent="0.25">
      <c r="A9" s="76">
        <f>MAX(A8:A$8)+1</f>
        <v>2</v>
      </c>
      <c r="C9" s="1" t="s">
        <v>89</v>
      </c>
      <c r="E9" s="85"/>
      <c r="F9" s="85">
        <v>-83632</v>
      </c>
      <c r="G9" s="31"/>
    </row>
    <row r="10" spans="1:7" x14ac:dyDescent="0.25">
      <c r="A10" s="76">
        <f>MAX(A$8:A9)+1</f>
        <v>3</v>
      </c>
      <c r="C10" s="1" t="s">
        <v>77</v>
      </c>
      <c r="E10" s="83"/>
      <c r="F10" s="88">
        <f>+F8+F9</f>
        <v>2425339</v>
      </c>
      <c r="G10" s="89"/>
    </row>
    <row r="11" spans="1:7" x14ac:dyDescent="0.25">
      <c r="A11" s="76"/>
      <c r="E11" s="87"/>
      <c r="F11" s="89"/>
      <c r="G11" s="89"/>
    </row>
    <row r="12" spans="1:7" ht="17.25" x14ac:dyDescent="0.25">
      <c r="A12" s="76">
        <f>MAX(A$8:A11)+1</f>
        <v>4</v>
      </c>
      <c r="C12" s="1" t="s">
        <v>84</v>
      </c>
      <c r="E12" s="83"/>
      <c r="F12" s="90">
        <v>-8781</v>
      </c>
      <c r="G12" s="31"/>
    </row>
    <row r="13" spans="1:7" x14ac:dyDescent="0.25">
      <c r="A13" s="76"/>
      <c r="E13" s="87"/>
      <c r="F13" s="89"/>
      <c r="G13" s="89"/>
    </row>
    <row r="14" spans="1:7" ht="15.75" thickBot="1" x14ac:dyDescent="0.3">
      <c r="A14" s="76">
        <f>MAX(A$8:A13)+1</f>
        <v>5</v>
      </c>
      <c r="C14" s="1" t="s">
        <v>78</v>
      </c>
      <c r="E14" s="92"/>
      <c r="F14" s="91">
        <f>+F10+F12</f>
        <v>2416558</v>
      </c>
      <c r="G14" s="31"/>
    </row>
    <row r="15" spans="1:7" ht="15.75" thickTop="1" x14ac:dyDescent="0.25">
      <c r="A15" s="76"/>
      <c r="E15" s="93"/>
      <c r="F15" s="87"/>
      <c r="G15" s="87"/>
    </row>
    <row r="16" spans="1:7" ht="17.25" x14ac:dyDescent="0.25">
      <c r="A16" s="76">
        <f>MAX(A$8:A15)+1</f>
        <v>6</v>
      </c>
      <c r="C16" s="1" t="s">
        <v>83</v>
      </c>
      <c r="E16" s="94"/>
      <c r="F16" s="94">
        <v>8.9569999999999997E-2</v>
      </c>
      <c r="G16" s="89"/>
    </row>
    <row r="17" spans="1:8" x14ac:dyDescent="0.25">
      <c r="A17" s="76"/>
      <c r="E17" s="87"/>
      <c r="F17" s="89"/>
      <c r="G17" s="89"/>
    </row>
    <row r="18" spans="1:8" x14ac:dyDescent="0.25">
      <c r="A18" s="76">
        <f>MAX(A$8:A17)+1</f>
        <v>7</v>
      </c>
      <c r="C18" s="1" t="s">
        <v>0</v>
      </c>
      <c r="E18" s="95"/>
      <c r="F18" s="95">
        <f>+F14*F16</f>
        <v>216451.10006</v>
      </c>
      <c r="G18" s="89"/>
    </row>
    <row r="19" spans="1:8" x14ac:dyDescent="0.25">
      <c r="A19" s="76"/>
      <c r="C19" s="1"/>
      <c r="E19" s="87"/>
      <c r="F19" s="89"/>
      <c r="G19" s="89"/>
    </row>
    <row r="20" spans="1:8" x14ac:dyDescent="0.25">
      <c r="A20" s="76">
        <f>MAX(A$8:A19)+1</f>
        <v>8</v>
      </c>
      <c r="C20" s="1" t="s">
        <v>71</v>
      </c>
      <c r="E20" s="85"/>
      <c r="F20" s="85">
        <v>83632</v>
      </c>
      <c r="G20" s="96"/>
      <c r="H20" s="117"/>
    </row>
    <row r="21" spans="1:8" ht="17.25" x14ac:dyDescent="0.25">
      <c r="A21" s="76">
        <f>MAX(A$8:A20)+1</f>
        <v>9</v>
      </c>
      <c r="C21" s="1" t="s">
        <v>82</v>
      </c>
      <c r="E21" s="97"/>
      <c r="F21" s="97">
        <f>0.019*F10</f>
        <v>46081.440999999999</v>
      </c>
      <c r="G21" s="98"/>
      <c r="H21" s="117"/>
    </row>
    <row r="22" spans="1:8" x14ac:dyDescent="0.25">
      <c r="A22" s="76"/>
      <c r="E22" s="99"/>
      <c r="F22" s="100"/>
      <c r="G22" s="101"/>
    </row>
    <row r="23" spans="1:8" ht="15.75" thickBot="1" x14ac:dyDescent="0.3">
      <c r="A23" s="76">
        <f>MAX(A$8:A22)+1</f>
        <v>10</v>
      </c>
      <c r="C23" s="1" t="s">
        <v>79</v>
      </c>
      <c r="E23" s="95"/>
      <c r="F23" s="104">
        <f>SUM(F18:F21)</f>
        <v>346164.54105999996</v>
      </c>
      <c r="G23" s="105"/>
    </row>
    <row r="24" spans="1:8" ht="15.75" thickTop="1" x14ac:dyDescent="0.25">
      <c r="A24" s="76"/>
    </row>
    <row r="26" spans="1:8" ht="14.25" customHeight="1" x14ac:dyDescent="0.25">
      <c r="A26" s="77"/>
      <c r="C26" s="86" t="s">
        <v>72</v>
      </c>
      <c r="D26" s="86"/>
      <c r="E26" s="68"/>
      <c r="F26" s="68"/>
      <c r="G26" s="68"/>
    </row>
    <row r="27" spans="1:8" ht="17.25" x14ac:dyDescent="0.25">
      <c r="C27" s="102" t="s">
        <v>88</v>
      </c>
    </row>
    <row r="28" spans="1:8" ht="17.25" x14ac:dyDescent="0.25">
      <c r="C28" s="102" t="s">
        <v>90</v>
      </c>
    </row>
    <row r="29" spans="1:8" ht="47.25" x14ac:dyDescent="0.25">
      <c r="C29" s="119" t="s">
        <v>91</v>
      </c>
    </row>
    <row r="30" spans="1:8" ht="17.25" x14ac:dyDescent="0.25">
      <c r="C30" s="103" t="s">
        <v>81</v>
      </c>
    </row>
    <row r="31" spans="1:8" x14ac:dyDescent="0.25">
      <c r="C31" s="103"/>
    </row>
    <row r="32" spans="1:8" x14ac:dyDescent="0.25">
      <c r="C32" s="106"/>
    </row>
    <row r="33" spans="3:3" x14ac:dyDescent="0.25">
      <c r="C33" s="106"/>
    </row>
  </sheetData>
  <pageMargins left="0.2" right="0.2" top="0.75" bottom="0.75" header="0.3" footer="0.3"/>
  <pageSetup orientation="landscape" r:id="rId1"/>
  <headerFooter>
    <oddHeader>&amp;R&amp;"Times New Roman,Bold"&amp;10KyPSC Case No. 2019-00271
STAFF-DR-02-086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J8" sqref="J8"/>
    </sheetView>
  </sheetViews>
  <sheetFormatPr defaultRowHeight="15" x14ac:dyDescent="0.25"/>
  <cols>
    <col min="1" max="1" width="8.28515625" customWidth="1"/>
    <col min="2" max="2" width="34.140625" bestFit="1" customWidth="1"/>
    <col min="3" max="3" width="1.42578125" style="42" customWidth="1"/>
    <col min="4" max="16" width="10.85546875" customWidth="1"/>
  </cols>
  <sheetData>
    <row r="1" spans="1:16" x14ac:dyDescent="0.25">
      <c r="A1" s="84" t="s">
        <v>74</v>
      </c>
      <c r="B1" s="30"/>
      <c r="C1" s="114"/>
    </row>
    <row r="2" spans="1:16" x14ac:dyDescent="0.25">
      <c r="A2" s="30" t="s">
        <v>73</v>
      </c>
      <c r="B2" s="30"/>
      <c r="C2" s="114"/>
    </row>
    <row r="3" spans="1:16" x14ac:dyDescent="0.25">
      <c r="A3" s="30" t="s">
        <v>75</v>
      </c>
      <c r="B3" s="30"/>
      <c r="C3" s="114"/>
    </row>
    <row r="4" spans="1:16" ht="19.5" thickBot="1" x14ac:dyDescent="0.35">
      <c r="A4" s="69"/>
      <c r="B4" s="69"/>
      <c r="C4" s="69"/>
      <c r="D4" s="70"/>
      <c r="E4" s="71"/>
      <c r="F4" s="72"/>
      <c r="G4" s="72"/>
      <c r="H4" s="69"/>
      <c r="I4" s="69"/>
      <c r="J4" s="69"/>
      <c r="K4" s="69"/>
      <c r="L4" s="69"/>
      <c r="M4" s="69"/>
      <c r="N4" s="69"/>
      <c r="O4" s="69"/>
      <c r="P4" s="69"/>
    </row>
    <row r="5" spans="1:16" ht="18.75" x14ac:dyDescent="0.3">
      <c r="D5" s="33"/>
      <c r="E5" s="32"/>
      <c r="F5" s="33"/>
      <c r="G5" s="33"/>
    </row>
    <row r="6" spans="1:16" x14ac:dyDescent="0.25">
      <c r="A6" s="73" t="s">
        <v>68</v>
      </c>
      <c r="B6" s="73" t="s">
        <v>69</v>
      </c>
      <c r="C6" s="115"/>
      <c r="D6" s="107" t="s">
        <v>80</v>
      </c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10"/>
    </row>
    <row r="8" spans="1:16" x14ac:dyDescent="0.25">
      <c r="D8" s="111">
        <v>43891</v>
      </c>
      <c r="E8" s="111">
        <v>43922</v>
      </c>
      <c r="F8" s="111">
        <v>43952</v>
      </c>
      <c r="G8" s="111">
        <v>43983</v>
      </c>
      <c r="H8" s="111">
        <v>44013</v>
      </c>
      <c r="I8" s="111">
        <v>44044</v>
      </c>
      <c r="J8" s="111">
        <v>44075</v>
      </c>
      <c r="K8" s="111">
        <v>44105</v>
      </c>
      <c r="L8" s="111">
        <v>44136</v>
      </c>
      <c r="M8" s="111">
        <v>44166</v>
      </c>
      <c r="N8" s="111">
        <v>44197</v>
      </c>
      <c r="O8" s="111">
        <v>44228</v>
      </c>
      <c r="P8" s="111">
        <v>44256</v>
      </c>
    </row>
    <row r="9" spans="1:16" x14ac:dyDescent="0.25">
      <c r="A9" s="76">
        <v>1</v>
      </c>
      <c r="B9" t="s">
        <v>85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8154156.2936364273</v>
      </c>
      <c r="N9" s="112">
        <v>0</v>
      </c>
      <c r="O9" s="112">
        <v>0</v>
      </c>
      <c r="P9" s="112">
        <v>0</v>
      </c>
    </row>
    <row r="10" spans="1:16" x14ac:dyDescent="0.25">
      <c r="A10" s="76">
        <v>2</v>
      </c>
      <c r="B10" t="s">
        <v>86</v>
      </c>
      <c r="D10" s="113">
        <v>0</v>
      </c>
      <c r="E10" s="113">
        <v>0</v>
      </c>
      <c r="F10" s="113">
        <v>0</v>
      </c>
      <c r="G10" s="113">
        <f t="shared" ref="G10:P10" si="0">F10+G9</f>
        <v>0</v>
      </c>
      <c r="H10" s="113">
        <f t="shared" si="0"/>
        <v>0</v>
      </c>
      <c r="I10" s="113">
        <f t="shared" si="0"/>
        <v>0</v>
      </c>
      <c r="J10" s="113">
        <f t="shared" si="0"/>
        <v>0</v>
      </c>
      <c r="K10" s="113">
        <f t="shared" si="0"/>
        <v>0</v>
      </c>
      <c r="L10" s="113">
        <f t="shared" si="0"/>
        <v>0</v>
      </c>
      <c r="M10" s="113">
        <f t="shared" si="0"/>
        <v>8154156.2936364273</v>
      </c>
      <c r="N10" s="113">
        <f t="shared" si="0"/>
        <v>8154156.2936364273</v>
      </c>
      <c r="O10" s="113">
        <f t="shared" si="0"/>
        <v>8154156.2936364273</v>
      </c>
      <c r="P10" s="113">
        <f t="shared" si="0"/>
        <v>8154156.2936364273</v>
      </c>
    </row>
    <row r="11" spans="1:16" x14ac:dyDescent="0.25">
      <c r="A11" s="76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16" ht="15.75" thickBot="1" x14ac:dyDescent="0.3">
      <c r="A12" s="76">
        <v>3</v>
      </c>
      <c r="B12" t="s">
        <v>87</v>
      </c>
      <c r="D12" s="118">
        <f>ROUND(AVERAGE(D10:P10),0)</f>
        <v>2508971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6" ht="15.75" thickTop="1" x14ac:dyDescent="0.25"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7" spans="2:14" x14ac:dyDescent="0.25">
      <c r="B17" s="112"/>
      <c r="C17" s="116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2:14" x14ac:dyDescent="0.25">
      <c r="B18" s="112"/>
      <c r="C18" s="116"/>
      <c r="D18" s="112"/>
      <c r="E18" s="112"/>
      <c r="F18" s="112"/>
      <c r="G18" s="112"/>
    </row>
    <row r="19" spans="2:14" x14ac:dyDescent="0.25">
      <c r="B19" s="112"/>
      <c r="C19" s="116"/>
      <c r="D19" s="112"/>
      <c r="E19" s="112"/>
      <c r="F19" s="112"/>
      <c r="G19" s="112"/>
    </row>
    <row r="20" spans="2:14" x14ac:dyDescent="0.25">
      <c r="B20" s="112"/>
      <c r="C20" s="116"/>
      <c r="D20" s="112"/>
      <c r="E20" s="112"/>
      <c r="F20" s="112"/>
      <c r="G20" s="112"/>
    </row>
    <row r="21" spans="2:14" x14ac:dyDescent="0.25">
      <c r="B21" s="112"/>
      <c r="C21" s="116"/>
      <c r="D21" s="112"/>
      <c r="E21" s="112"/>
      <c r="F21" s="112"/>
      <c r="G21" s="112"/>
    </row>
    <row r="22" spans="2:14" x14ac:dyDescent="0.25">
      <c r="B22" s="112"/>
      <c r="C22" s="116"/>
      <c r="D22" s="112"/>
      <c r="E22" s="112"/>
      <c r="F22" s="112"/>
      <c r="G22" s="112"/>
    </row>
    <row r="23" spans="2:14" x14ac:dyDescent="0.25">
      <c r="B23" s="112"/>
      <c r="C23" s="116"/>
      <c r="D23" s="112"/>
      <c r="E23" s="112"/>
      <c r="F23" s="112"/>
      <c r="G23" s="112"/>
    </row>
  </sheetData>
  <pageMargins left="0.2" right="0.2" top="0.75" bottom="0.75" header="0.3" footer="0.3"/>
  <pageSetup scale="73" orientation="landscape" r:id="rId1"/>
  <headerFooter>
    <oddHeader>&amp;R&amp;"Times New Roman,Bold"&amp;10KyPSC Case No. 2019-00271
STAFF-DR-02-086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60"/>
  <sheetViews>
    <sheetView zoomScaleNormal="100" workbookViewId="0">
      <selection activeCell="I30" sqref="I30"/>
    </sheetView>
  </sheetViews>
  <sheetFormatPr defaultColWidth="12.5703125" defaultRowHeight="15.75" x14ac:dyDescent="0.25"/>
  <cols>
    <col min="1" max="1" width="8" style="2" customWidth="1"/>
    <col min="2" max="3" width="15.7109375" style="2" customWidth="1"/>
    <col min="4" max="4" width="44.85546875" style="2" customWidth="1"/>
    <col min="5" max="7" width="18.7109375" style="2" customWidth="1"/>
    <col min="8" max="12" width="20.28515625" style="2" customWidth="1"/>
    <col min="13" max="13" width="2.28515625" style="2" customWidth="1"/>
    <col min="14" max="14" width="12.5703125" style="2"/>
    <col min="15" max="15" width="15.140625" style="2" customWidth="1"/>
    <col min="16" max="16" width="12.5703125" style="2"/>
    <col min="17" max="17" width="52.42578125" style="2" customWidth="1"/>
    <col min="18" max="20" width="20.28515625" style="2" customWidth="1"/>
    <col min="21" max="21" width="2.28515625" style="2" customWidth="1"/>
    <col min="22" max="22" width="12.5703125" style="2"/>
    <col min="23" max="23" width="15.140625" style="2" customWidth="1"/>
    <col min="24" max="24" width="12.5703125" style="2"/>
    <col min="25" max="25" width="65.28515625" style="2" customWidth="1"/>
    <col min="26" max="30" width="20.28515625" style="2" customWidth="1"/>
    <col min="31" max="31" width="33.140625" style="2" customWidth="1"/>
    <col min="32" max="32" width="20.28515625" style="2" customWidth="1"/>
    <col min="33" max="33" width="2.28515625" style="2" customWidth="1"/>
    <col min="34" max="34" width="15.140625" style="2" customWidth="1"/>
    <col min="35" max="40" width="22.85546875" style="2" customWidth="1"/>
    <col min="41" max="41" width="26.7109375" style="2" customWidth="1"/>
    <col min="42" max="42" width="22.85546875" style="2" customWidth="1"/>
    <col min="43" max="43" width="20.28515625" style="2" customWidth="1"/>
    <col min="44" max="44" width="2.28515625" style="2" customWidth="1"/>
    <col min="45" max="45" width="26.7109375" style="2" customWidth="1"/>
    <col min="46" max="46" width="37" style="2" customWidth="1"/>
    <col min="47" max="47" width="46" style="2" customWidth="1"/>
    <col min="48" max="50" width="15.140625" style="2" customWidth="1"/>
    <col min="51" max="51" width="26.7109375" style="2" customWidth="1"/>
    <col min="52" max="52" width="15.140625" style="2" customWidth="1"/>
    <col min="53" max="53" width="2.28515625" style="2" customWidth="1"/>
    <col min="54" max="54" width="10" style="2" customWidth="1"/>
    <col min="55" max="55" width="12.5703125" style="2"/>
    <col min="56" max="56" width="39.5703125" style="2" customWidth="1"/>
    <col min="57" max="57" width="16.42578125" style="2" customWidth="1"/>
    <col min="58" max="60" width="20.28515625" style="2" customWidth="1"/>
    <col min="61" max="62" width="16.42578125" style="2" customWidth="1"/>
    <col min="63" max="63" width="26.7109375" style="2" customWidth="1"/>
    <col min="64" max="64" width="39.5703125" style="2" customWidth="1"/>
    <col min="65" max="65" width="12.5703125" style="2"/>
    <col min="66" max="66" width="16.42578125" style="2" customWidth="1"/>
    <col min="67" max="67" width="17.7109375" style="2" customWidth="1"/>
    <col min="68" max="16384" width="12.5703125" style="2"/>
  </cols>
  <sheetData>
    <row r="1" spans="1:67" ht="18.75" x14ac:dyDescent="0.3">
      <c r="A1" s="121" t="s">
        <v>47</v>
      </c>
      <c r="B1" s="122"/>
      <c r="C1" s="122"/>
      <c r="D1" s="122"/>
      <c r="E1" s="122"/>
      <c r="F1" s="122"/>
      <c r="G1" s="122"/>
      <c r="BN1" s="3"/>
      <c r="BO1" s="3"/>
    </row>
    <row r="2" spans="1:67" ht="18.75" x14ac:dyDescent="0.3">
      <c r="A2" s="121" t="s">
        <v>63</v>
      </c>
      <c r="B2" s="122"/>
      <c r="C2" s="122"/>
      <c r="D2" s="122"/>
      <c r="E2" s="122"/>
      <c r="F2" s="122"/>
      <c r="G2" s="122"/>
      <c r="BN2" s="3"/>
      <c r="BO2" s="3"/>
    </row>
    <row r="3" spans="1:67" ht="16.5" thickBot="1" x14ac:dyDescent="0.3">
      <c r="A3" s="4"/>
      <c r="B3" s="4"/>
      <c r="C3" s="4"/>
      <c r="D3" s="4"/>
      <c r="E3" s="4"/>
      <c r="F3" s="5"/>
      <c r="G3" s="4"/>
      <c r="BN3" s="3"/>
      <c r="BO3" s="3"/>
    </row>
    <row r="4" spans="1:67" x14ac:dyDescent="0.25">
      <c r="A4" s="6"/>
      <c r="B4" s="6"/>
      <c r="C4" s="6"/>
      <c r="D4" s="6"/>
      <c r="E4" s="6"/>
      <c r="F4" s="6"/>
      <c r="G4" s="6"/>
      <c r="BN4" s="3"/>
      <c r="BO4" s="3"/>
    </row>
    <row r="5" spans="1:6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BN5" s="3"/>
      <c r="BO5" s="3"/>
    </row>
    <row r="6" spans="1:67" x14ac:dyDescent="0.25">
      <c r="A6" s="123" t="s">
        <v>52</v>
      </c>
      <c r="B6" s="124" t="s">
        <v>50</v>
      </c>
      <c r="C6" s="125"/>
      <c r="D6" s="8"/>
      <c r="E6" s="8"/>
      <c r="F6" s="8"/>
      <c r="G6" s="9" t="s">
        <v>46</v>
      </c>
    </row>
    <row r="7" spans="1:67" ht="18" x14ac:dyDescent="0.25">
      <c r="A7" s="123"/>
      <c r="B7" s="10" t="s">
        <v>51</v>
      </c>
      <c r="C7" s="10" t="s">
        <v>45</v>
      </c>
      <c r="D7" s="10" t="s">
        <v>53</v>
      </c>
      <c r="E7" s="10" t="s">
        <v>54</v>
      </c>
      <c r="F7" s="11" t="s">
        <v>57</v>
      </c>
      <c r="G7" s="12" t="s">
        <v>55</v>
      </c>
    </row>
    <row r="9" spans="1:67" x14ac:dyDescent="0.25">
      <c r="B9" s="120" t="s">
        <v>56</v>
      </c>
      <c r="C9" s="120"/>
      <c r="D9" s="120"/>
    </row>
    <row r="10" spans="1:67" x14ac:dyDescent="0.25">
      <c r="A10" s="14">
        <f>MAX(A9:A$9)+1</f>
        <v>1</v>
      </c>
      <c r="B10" s="15">
        <v>360</v>
      </c>
      <c r="C10" s="14">
        <v>3600</v>
      </c>
      <c r="D10" s="16" t="s">
        <v>19</v>
      </c>
      <c r="E10" s="34">
        <v>13811257.98</v>
      </c>
      <c r="F10" s="34"/>
      <c r="G10" s="22">
        <f>+E10+F10</f>
        <v>13811257.98</v>
      </c>
    </row>
    <row r="11" spans="1:67" x14ac:dyDescent="0.25">
      <c r="A11" s="14">
        <f>MAX(A$9:A10)+1</f>
        <v>2</v>
      </c>
      <c r="B11" s="15">
        <v>360</v>
      </c>
      <c r="C11" s="14">
        <v>3601</v>
      </c>
      <c r="D11" s="16" t="s">
        <v>20</v>
      </c>
      <c r="E11" s="24">
        <v>26233545.710000001</v>
      </c>
      <c r="F11" s="24"/>
      <c r="G11" s="17">
        <f t="shared" ref="G11:G33" si="0">+E11+F11</f>
        <v>26233545.710000001</v>
      </c>
    </row>
    <row r="12" spans="1:67" x14ac:dyDescent="0.25">
      <c r="A12" s="14">
        <f>MAX(A$9:A11)+1</f>
        <v>3</v>
      </c>
      <c r="B12" s="15">
        <v>361</v>
      </c>
      <c r="C12" s="14">
        <v>3610</v>
      </c>
      <c r="D12" s="16" t="s">
        <v>21</v>
      </c>
      <c r="E12" s="24">
        <v>17295205.030000001</v>
      </c>
      <c r="F12" s="24"/>
      <c r="G12" s="17">
        <f t="shared" si="0"/>
        <v>17295205.030000001</v>
      </c>
    </row>
    <row r="13" spans="1:67" x14ac:dyDescent="0.25">
      <c r="A13" s="14">
        <f>MAX(A$9:A12)+1</f>
        <v>4</v>
      </c>
      <c r="B13" s="15">
        <v>362</v>
      </c>
      <c r="C13" s="14">
        <v>3620</v>
      </c>
      <c r="D13" s="16" t="s">
        <v>22</v>
      </c>
      <c r="E13" s="24">
        <v>206982425.69999999</v>
      </c>
      <c r="F13" s="24">
        <v>-30848428</v>
      </c>
      <c r="G13" s="17">
        <f t="shared" si="0"/>
        <v>176133997.69999999</v>
      </c>
    </row>
    <row r="14" spans="1:67" x14ac:dyDescent="0.25">
      <c r="A14" s="14">
        <f>MAX(A$9:A13)+1</f>
        <v>5</v>
      </c>
      <c r="B14" s="15">
        <v>362</v>
      </c>
      <c r="C14" s="14">
        <v>3622</v>
      </c>
      <c r="D14" s="16" t="s">
        <v>23</v>
      </c>
      <c r="E14" s="24">
        <v>110602629.66</v>
      </c>
      <c r="F14" s="24">
        <v>-3617026</v>
      </c>
      <c r="G14" s="17">
        <f t="shared" si="0"/>
        <v>106985603.66</v>
      </c>
    </row>
    <row r="15" spans="1:67" x14ac:dyDescent="0.25">
      <c r="A15" s="14">
        <f>MAX(A$9:A14)+1</f>
        <v>6</v>
      </c>
      <c r="B15" s="18">
        <v>362</v>
      </c>
      <c r="C15" s="19">
        <v>3635</v>
      </c>
      <c r="D15" s="20" t="s">
        <v>24</v>
      </c>
      <c r="E15" s="24">
        <v>918431.52</v>
      </c>
      <c r="F15" s="24">
        <v>-917190</v>
      </c>
      <c r="G15" s="17">
        <f t="shared" si="0"/>
        <v>1241.5200000000186</v>
      </c>
    </row>
    <row r="16" spans="1:67" x14ac:dyDescent="0.25">
      <c r="A16" s="14">
        <f>MAX(A$9:A15)+1</f>
        <v>7</v>
      </c>
      <c r="B16" s="15">
        <v>364</v>
      </c>
      <c r="C16" s="14">
        <v>3640</v>
      </c>
      <c r="D16" s="16" t="s">
        <v>25</v>
      </c>
      <c r="E16" s="24">
        <v>285124441.00999999</v>
      </c>
      <c r="F16" s="24">
        <v>-3581655</v>
      </c>
      <c r="G16" s="17">
        <f t="shared" si="0"/>
        <v>281542786.00999999</v>
      </c>
    </row>
    <row r="17" spans="1:7" x14ac:dyDescent="0.25">
      <c r="A17" s="14">
        <f>MAX(A$9:A16)+1</f>
        <v>8</v>
      </c>
      <c r="B17" s="15">
        <v>365</v>
      </c>
      <c r="C17" s="14" t="s">
        <v>26</v>
      </c>
      <c r="D17" s="16" t="s">
        <v>27</v>
      </c>
      <c r="E17" s="24">
        <f>496532259.14+14966620.14</f>
        <v>511498879.27999997</v>
      </c>
      <c r="F17" s="24">
        <v>-28765939</v>
      </c>
      <c r="G17" s="17">
        <f t="shared" si="0"/>
        <v>482732940.27999997</v>
      </c>
    </row>
    <row r="18" spans="1:7" x14ac:dyDescent="0.25">
      <c r="A18" s="14">
        <f>MAX(A$9:A17)+1</f>
        <v>9</v>
      </c>
      <c r="B18" s="15">
        <v>366</v>
      </c>
      <c r="C18" s="14">
        <v>3660</v>
      </c>
      <c r="D18" s="16" t="s">
        <v>28</v>
      </c>
      <c r="E18" s="24">
        <v>99489609.010000005</v>
      </c>
      <c r="F18" s="24"/>
      <c r="G18" s="17">
        <f t="shared" si="0"/>
        <v>99489609.010000005</v>
      </c>
    </row>
    <row r="19" spans="1:7" x14ac:dyDescent="0.25">
      <c r="A19" s="14">
        <f>MAX(A$9:A18)+1</f>
        <v>10</v>
      </c>
      <c r="B19" s="15">
        <v>367</v>
      </c>
      <c r="C19" s="14">
        <v>3670</v>
      </c>
      <c r="D19" s="16" t="s">
        <v>29</v>
      </c>
      <c r="E19" s="24">
        <v>311123111.23000002</v>
      </c>
      <c r="F19" s="24"/>
      <c r="G19" s="17">
        <f t="shared" si="0"/>
        <v>311123111.23000002</v>
      </c>
    </row>
    <row r="20" spans="1:7" x14ac:dyDescent="0.25">
      <c r="A20" s="14">
        <f>MAX(A$9:A19)+1</f>
        <v>11</v>
      </c>
      <c r="B20" s="15">
        <v>368</v>
      </c>
      <c r="C20" s="14" t="s">
        <v>30</v>
      </c>
      <c r="D20" s="16" t="s">
        <v>31</v>
      </c>
      <c r="E20" s="24">
        <v>334454432.89999998</v>
      </c>
      <c r="F20" s="24"/>
      <c r="G20" s="17">
        <f t="shared" si="0"/>
        <v>334454432.89999998</v>
      </c>
    </row>
    <row r="21" spans="1:7" x14ac:dyDescent="0.25">
      <c r="A21" s="14">
        <f>MAX(A$9:A20)+1</f>
        <v>12</v>
      </c>
      <c r="B21" s="15">
        <v>368</v>
      </c>
      <c r="C21" s="14">
        <v>3682</v>
      </c>
      <c r="D21" s="16" t="s">
        <v>32</v>
      </c>
      <c r="E21" s="24">
        <v>5183057</v>
      </c>
      <c r="F21" s="24"/>
      <c r="G21" s="17">
        <f t="shared" si="0"/>
        <v>5183057</v>
      </c>
    </row>
    <row r="22" spans="1:7" x14ac:dyDescent="0.25">
      <c r="A22" s="14">
        <f>MAX(A$9:A21)+1</f>
        <v>13</v>
      </c>
      <c r="B22" s="15">
        <v>369</v>
      </c>
      <c r="C22" s="14">
        <v>3691</v>
      </c>
      <c r="D22" s="16" t="s">
        <v>33</v>
      </c>
      <c r="E22" s="24">
        <v>5923249.4800000004</v>
      </c>
      <c r="F22" s="24"/>
      <c r="G22" s="17">
        <f t="shared" si="0"/>
        <v>5923249.4800000004</v>
      </c>
    </row>
    <row r="23" spans="1:7" x14ac:dyDescent="0.25">
      <c r="A23" s="14">
        <f>MAX(A$9:A22)+1</f>
        <v>14</v>
      </c>
      <c r="B23" s="15">
        <v>369</v>
      </c>
      <c r="C23" s="14">
        <v>3692</v>
      </c>
      <c r="D23" s="16" t="s">
        <v>34</v>
      </c>
      <c r="E23" s="24">
        <v>76284822.540000007</v>
      </c>
      <c r="F23" s="24"/>
      <c r="G23" s="17">
        <f t="shared" si="0"/>
        <v>76284822.540000007</v>
      </c>
    </row>
    <row r="24" spans="1:7" x14ac:dyDescent="0.25">
      <c r="A24" s="14">
        <f>MAX(A$9:A23)+1</f>
        <v>15</v>
      </c>
      <c r="B24" s="15">
        <v>370</v>
      </c>
      <c r="C24" s="14">
        <v>3700</v>
      </c>
      <c r="D24" s="16" t="s">
        <v>35</v>
      </c>
      <c r="E24" s="24">
        <f>6038206.97+6485042.98</f>
        <v>12523249.949999999</v>
      </c>
      <c r="F24" s="24"/>
      <c r="G24" s="17">
        <f t="shared" si="0"/>
        <v>12523249.949999999</v>
      </c>
    </row>
    <row r="25" spans="1:7" x14ac:dyDescent="0.25">
      <c r="A25" s="14">
        <f>MAX(A$9:A24)+1</f>
        <v>16</v>
      </c>
      <c r="B25" s="18">
        <v>370</v>
      </c>
      <c r="C25" s="19">
        <v>3701</v>
      </c>
      <c r="D25" s="20" t="s">
        <v>36</v>
      </c>
      <c r="E25" s="24">
        <f>10217982.08+5983622.14</f>
        <v>16201604.219999999</v>
      </c>
      <c r="F25" s="24"/>
      <c r="G25" s="17">
        <f t="shared" si="0"/>
        <v>16201604.219999999</v>
      </c>
    </row>
    <row r="26" spans="1:7" x14ac:dyDescent="0.25">
      <c r="A26" s="14">
        <f>MAX(A$9:A25)+1</f>
        <v>17</v>
      </c>
      <c r="B26" s="18">
        <v>370</v>
      </c>
      <c r="C26" s="19">
        <v>3702</v>
      </c>
      <c r="D26" s="20" t="s">
        <v>37</v>
      </c>
      <c r="E26" s="24">
        <v>65188887.079999998</v>
      </c>
      <c r="F26" s="24">
        <f>-E26</f>
        <v>-65188887.079999998</v>
      </c>
      <c r="G26" s="17">
        <f t="shared" si="0"/>
        <v>0</v>
      </c>
    </row>
    <row r="27" spans="1:7" x14ac:dyDescent="0.25">
      <c r="A27" s="14">
        <f>MAX(A$9:A26)+1</f>
        <v>18</v>
      </c>
      <c r="B27" s="18">
        <v>371</v>
      </c>
      <c r="C27" s="19">
        <v>3710</v>
      </c>
      <c r="D27" s="20" t="s">
        <v>38</v>
      </c>
      <c r="E27" s="24">
        <v>4658801.83</v>
      </c>
      <c r="F27" s="24"/>
      <c r="G27" s="17">
        <f t="shared" si="0"/>
        <v>4658801.83</v>
      </c>
    </row>
    <row r="28" spans="1:7" x14ac:dyDescent="0.25">
      <c r="A28" s="14">
        <f>MAX(A$9:A27)+1</f>
        <v>19</v>
      </c>
      <c r="B28" s="18">
        <v>371</v>
      </c>
      <c r="C28" s="19">
        <v>3712</v>
      </c>
      <c r="D28" s="20" t="s">
        <v>48</v>
      </c>
      <c r="E28" s="24">
        <v>1016162.03</v>
      </c>
      <c r="F28" s="24">
        <f>-E28</f>
        <v>-1016162.03</v>
      </c>
      <c r="G28" s="17">
        <f t="shared" si="0"/>
        <v>0</v>
      </c>
    </row>
    <row r="29" spans="1:7" x14ac:dyDescent="0.25">
      <c r="A29" s="14">
        <f>MAX(A$9:A28)+1</f>
        <v>20</v>
      </c>
      <c r="B29" s="18">
        <v>372</v>
      </c>
      <c r="C29" s="19">
        <v>3720</v>
      </c>
      <c r="D29" s="20" t="s">
        <v>39</v>
      </c>
      <c r="E29" s="24">
        <v>102503</v>
      </c>
      <c r="F29" s="24"/>
      <c r="G29" s="17">
        <f t="shared" si="0"/>
        <v>102503</v>
      </c>
    </row>
    <row r="30" spans="1:7" x14ac:dyDescent="0.25">
      <c r="A30" s="14">
        <f>MAX(A$9:A29)+1</f>
        <v>21</v>
      </c>
      <c r="B30" s="18">
        <v>373</v>
      </c>
      <c r="C30" s="19" t="s">
        <v>40</v>
      </c>
      <c r="D30" s="20" t="s">
        <v>49</v>
      </c>
      <c r="E30" s="24">
        <f>4690589.43+15760319.02</f>
        <v>20450908.449999999</v>
      </c>
      <c r="F30" s="24"/>
      <c r="G30" s="17">
        <f t="shared" si="0"/>
        <v>20450908.449999999</v>
      </c>
    </row>
    <row r="31" spans="1:7" x14ac:dyDescent="0.25">
      <c r="A31" s="14">
        <f>MAX(A$9:A30)+1</f>
        <v>22</v>
      </c>
      <c r="B31" s="18">
        <v>373</v>
      </c>
      <c r="C31" s="19">
        <v>3732</v>
      </c>
      <c r="D31" s="20" t="s">
        <v>42</v>
      </c>
      <c r="E31" s="24">
        <v>27635978.190000001</v>
      </c>
      <c r="F31" s="24"/>
      <c r="G31" s="17">
        <f t="shared" si="0"/>
        <v>27635978.190000001</v>
      </c>
    </row>
    <row r="32" spans="1:7" x14ac:dyDescent="0.25">
      <c r="A32" s="14">
        <f>MAX(A$9:A31)+1</f>
        <v>23</v>
      </c>
      <c r="B32" s="18">
        <v>373</v>
      </c>
      <c r="C32" s="19">
        <v>3733</v>
      </c>
      <c r="D32" s="20" t="s">
        <v>43</v>
      </c>
      <c r="E32" s="24">
        <v>15084071.32</v>
      </c>
      <c r="F32" s="24"/>
      <c r="G32" s="17">
        <f t="shared" si="0"/>
        <v>15084071.32</v>
      </c>
    </row>
    <row r="33" spans="1:7" x14ac:dyDescent="0.25">
      <c r="A33" s="14">
        <f>MAX(A$9:A32)+1</f>
        <v>24</v>
      </c>
      <c r="B33" s="18">
        <v>373</v>
      </c>
      <c r="C33" s="19">
        <v>3734</v>
      </c>
      <c r="D33" s="20" t="s">
        <v>44</v>
      </c>
      <c r="E33" s="24">
        <v>6225676.25</v>
      </c>
      <c r="F33" s="24">
        <f>-E33</f>
        <v>-6225676.25</v>
      </c>
      <c r="G33" s="17">
        <f t="shared" si="0"/>
        <v>0</v>
      </c>
    </row>
    <row r="34" spans="1:7" x14ac:dyDescent="0.25">
      <c r="A34" s="14"/>
      <c r="B34" s="18"/>
      <c r="C34" s="19"/>
      <c r="D34" s="20"/>
      <c r="E34" s="78"/>
      <c r="F34" s="78"/>
      <c r="G34" s="78"/>
    </row>
    <row r="35" spans="1:7" ht="16.5" thickBot="1" x14ac:dyDescent="0.3">
      <c r="A35" s="14">
        <f>MAX(A$9:A33)+1</f>
        <v>25</v>
      </c>
      <c r="C35" s="13"/>
      <c r="D35" s="13"/>
      <c r="E35" s="29">
        <f>SUM(E10:E33)</f>
        <v>2174012940.3699999</v>
      </c>
      <c r="F35" s="29">
        <f>SUM(F10:F33)</f>
        <v>-140160963.36000001</v>
      </c>
      <c r="G35" s="29">
        <f>SUM(G10:G33)</f>
        <v>2033851977.0099998</v>
      </c>
    </row>
    <row r="36" spans="1:7" ht="16.5" thickTop="1" x14ac:dyDescent="0.25">
      <c r="A36" s="80"/>
      <c r="B36" s="80"/>
      <c r="C36" s="80"/>
      <c r="D36" s="80"/>
      <c r="E36" s="80"/>
      <c r="F36" s="80"/>
      <c r="G36" s="80"/>
    </row>
    <row r="37" spans="1:7" x14ac:dyDescent="0.25">
      <c r="A37" s="61"/>
    </row>
    <row r="38" spans="1:7" x14ac:dyDescent="0.25">
      <c r="B38" s="79" t="s">
        <v>70</v>
      </c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45" spans="1:2" x14ac:dyDescent="0.25">
      <c r="A245" s="3" t="s">
        <v>1</v>
      </c>
      <c r="B245" s="3"/>
    </row>
    <row r="247" spans="1:2" x14ac:dyDescent="0.25">
      <c r="A247" s="3" t="s">
        <v>2</v>
      </c>
      <c r="B247" s="3"/>
    </row>
    <row r="249" spans="1:2" x14ac:dyDescent="0.25">
      <c r="A249" s="3" t="s">
        <v>3</v>
      </c>
      <c r="B249" s="3"/>
    </row>
    <row r="251" spans="1:2" x14ac:dyDescent="0.25">
      <c r="A251" s="3" t="s">
        <v>4</v>
      </c>
      <c r="B251" s="3"/>
    </row>
    <row r="252" spans="1:2" x14ac:dyDescent="0.25">
      <c r="B252" s="3"/>
    </row>
    <row r="253" spans="1:2" x14ac:dyDescent="0.25">
      <c r="B253" s="3"/>
    </row>
    <row r="254" spans="1:2" x14ac:dyDescent="0.25">
      <c r="B254" s="3"/>
    </row>
    <row r="255" spans="1:2" x14ac:dyDescent="0.25">
      <c r="B255" s="3"/>
    </row>
    <row r="258" spans="1:2" x14ac:dyDescent="0.25">
      <c r="A258" s="3" t="s">
        <v>5</v>
      </c>
      <c r="B258" s="3"/>
    </row>
    <row r="260" spans="1:2" x14ac:dyDescent="0.25">
      <c r="A260" s="3" t="s">
        <v>6</v>
      </c>
      <c r="B260" s="3"/>
    </row>
  </sheetData>
  <mergeCells count="5">
    <mergeCell ref="B9:D9"/>
    <mergeCell ref="A1:G1"/>
    <mergeCell ref="A2:G2"/>
    <mergeCell ref="A6:A7"/>
    <mergeCell ref="B6:C6"/>
  </mergeCells>
  <pageMargins left="0.2" right="0.2" top="0.75" bottom="0.75" header="0.3" footer="0.3"/>
  <pageSetup scale="85" orientation="landscape" r:id="rId1"/>
  <headerFooter>
    <oddHeader>&amp;RPUCO CaseNo. 15-795-EL-RDR
Attachment B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opLeftCell="A31" zoomScaleNormal="100" workbookViewId="0">
      <selection activeCell="G32" sqref="G32"/>
    </sheetView>
  </sheetViews>
  <sheetFormatPr defaultColWidth="12.5703125" defaultRowHeight="15.75" x14ac:dyDescent="0.25"/>
  <cols>
    <col min="1" max="1" width="7.5703125" style="2" customWidth="1"/>
    <col min="2" max="3" width="15.7109375" style="2" customWidth="1"/>
    <col min="4" max="4" width="44.85546875" style="2" customWidth="1"/>
    <col min="5" max="7" width="18.7109375" style="2" customWidth="1"/>
    <col min="8" max="8" width="20.28515625" style="2" customWidth="1"/>
    <col min="9" max="9" width="2.28515625" style="2" customWidth="1"/>
    <col min="10" max="10" width="12.5703125" style="2"/>
    <col min="11" max="11" width="15.140625" style="2" customWidth="1"/>
    <col min="12" max="12" width="12.5703125" style="2"/>
    <col min="13" max="13" width="65.28515625" style="2" customWidth="1"/>
    <col min="14" max="18" width="20.28515625" style="2" customWidth="1"/>
    <col min="19" max="19" width="33.140625" style="2" customWidth="1"/>
    <col min="20" max="20" width="20.28515625" style="2" customWidth="1"/>
    <col min="21" max="21" width="2.28515625" style="2" customWidth="1"/>
    <col min="22" max="22" width="15.140625" style="2" customWidth="1"/>
    <col min="23" max="28" width="22.85546875" style="2" customWidth="1"/>
    <col min="29" max="29" width="26.7109375" style="2" customWidth="1"/>
    <col min="30" max="30" width="22.85546875" style="2" customWidth="1"/>
    <col min="31" max="31" width="20.28515625" style="2" customWidth="1"/>
    <col min="32" max="32" width="2.28515625" style="2" customWidth="1"/>
    <col min="33" max="33" width="26.7109375" style="2" customWidth="1"/>
    <col min="34" max="34" width="37" style="2" customWidth="1"/>
    <col min="35" max="35" width="46" style="2" customWidth="1"/>
    <col min="36" max="38" width="15.140625" style="2" customWidth="1"/>
    <col min="39" max="39" width="26.7109375" style="2" customWidth="1"/>
    <col min="40" max="40" width="15.140625" style="2" customWidth="1"/>
    <col min="41" max="41" width="2.28515625" style="2" customWidth="1"/>
    <col min="42" max="42" width="10" style="2" customWidth="1"/>
    <col min="43" max="43" width="12.5703125" style="2"/>
    <col min="44" max="44" width="39.5703125" style="2" customWidth="1"/>
    <col min="45" max="45" width="16.42578125" style="2" customWidth="1"/>
    <col min="46" max="48" width="20.28515625" style="2" customWidth="1"/>
    <col min="49" max="50" width="16.42578125" style="2" customWidth="1"/>
    <col min="51" max="51" width="26.7109375" style="2" customWidth="1"/>
    <col min="52" max="52" width="39.5703125" style="2" customWidth="1"/>
    <col min="53" max="53" width="12.5703125" style="2"/>
    <col min="54" max="54" width="16.42578125" style="2" customWidth="1"/>
    <col min="55" max="55" width="17.7109375" style="2" customWidth="1"/>
    <col min="56" max="16384" width="12.5703125" style="2"/>
  </cols>
  <sheetData>
    <row r="1" spans="1:7" x14ac:dyDescent="0.25">
      <c r="A1" s="126" t="s">
        <v>47</v>
      </c>
      <c r="B1" s="127"/>
      <c r="C1" s="127"/>
      <c r="D1" s="127"/>
      <c r="E1" s="127"/>
      <c r="F1" s="127"/>
      <c r="G1" s="127"/>
    </row>
    <row r="2" spans="1:7" x14ac:dyDescent="0.25">
      <c r="A2" s="126" t="s">
        <v>64</v>
      </c>
      <c r="B2" s="127"/>
      <c r="C2" s="127"/>
      <c r="D2" s="127"/>
      <c r="E2" s="127"/>
      <c r="F2" s="127"/>
      <c r="G2" s="127"/>
    </row>
    <row r="3" spans="1:7" ht="16.5" thickBot="1" x14ac:dyDescent="0.3">
      <c r="A3" s="4"/>
      <c r="B3" s="4"/>
      <c r="C3" s="4"/>
      <c r="D3" s="4"/>
      <c r="E3" s="4"/>
      <c r="F3" s="5"/>
      <c r="G3" s="4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123" t="s">
        <v>52</v>
      </c>
      <c r="B5" s="124" t="s">
        <v>50</v>
      </c>
      <c r="C5" s="125"/>
      <c r="D5" s="8"/>
      <c r="E5" s="8"/>
      <c r="F5" s="8"/>
      <c r="G5" s="9" t="s">
        <v>46</v>
      </c>
    </row>
    <row r="6" spans="1:7" ht="18" x14ac:dyDescent="0.25">
      <c r="A6" s="123"/>
      <c r="B6" s="10" t="s">
        <v>51</v>
      </c>
      <c r="C6" s="10" t="s">
        <v>45</v>
      </c>
      <c r="D6" s="10" t="s">
        <v>53</v>
      </c>
      <c r="E6" s="10" t="s">
        <v>54</v>
      </c>
      <c r="F6" s="11" t="s">
        <v>57</v>
      </c>
      <c r="G6" s="12" t="s">
        <v>55</v>
      </c>
    </row>
    <row r="8" spans="1:7" x14ac:dyDescent="0.25">
      <c r="B8" s="120" t="s">
        <v>56</v>
      </c>
      <c r="C8" s="120"/>
      <c r="D8" s="120"/>
    </row>
    <row r="9" spans="1:7" x14ac:dyDescent="0.25">
      <c r="A9" s="14">
        <f>MAX(A$8:A8)+1</f>
        <v>1</v>
      </c>
      <c r="B9" s="15">
        <v>360</v>
      </c>
      <c r="C9" s="14">
        <v>3600</v>
      </c>
      <c r="D9" s="16" t="s">
        <v>19</v>
      </c>
      <c r="E9" s="35">
        <v>2772.11</v>
      </c>
      <c r="F9" s="35"/>
      <c r="G9" s="22">
        <f>+E9+F9</f>
        <v>2772.11</v>
      </c>
    </row>
    <row r="10" spans="1:7" x14ac:dyDescent="0.25">
      <c r="A10" s="14">
        <f>MAX(A$8:A9)+1</f>
        <v>2</v>
      </c>
      <c r="B10" s="15">
        <v>360</v>
      </c>
      <c r="C10" s="14">
        <v>3601</v>
      </c>
      <c r="D10" s="16" t="s">
        <v>20</v>
      </c>
      <c r="E10" s="36">
        <v>3564848.22</v>
      </c>
      <c r="F10" s="36"/>
      <c r="G10" s="17">
        <f t="shared" ref="G10:G33" si="0">+E10+F10</f>
        <v>3564848.22</v>
      </c>
    </row>
    <row r="11" spans="1:7" x14ac:dyDescent="0.25">
      <c r="A11" s="14">
        <f>MAX(A$8:A10)+1</f>
        <v>3</v>
      </c>
      <c r="B11" s="15">
        <v>361</v>
      </c>
      <c r="C11" s="14">
        <v>3610</v>
      </c>
      <c r="D11" s="16" t="s">
        <v>21</v>
      </c>
      <c r="E11" s="36">
        <v>4324903.45</v>
      </c>
      <c r="F11" s="36"/>
      <c r="G11" s="17">
        <f t="shared" si="0"/>
        <v>4324903.45</v>
      </c>
    </row>
    <row r="12" spans="1:7" x14ac:dyDescent="0.25">
      <c r="A12" s="14">
        <f>MAX(A$8:A11)+1</f>
        <v>4</v>
      </c>
      <c r="B12" s="15">
        <v>362</v>
      </c>
      <c r="C12" s="14">
        <v>3620</v>
      </c>
      <c r="D12" s="16" t="s">
        <v>22</v>
      </c>
      <c r="E12" s="36">
        <v>77946165.700000003</v>
      </c>
      <c r="F12" s="37">
        <v>-2298117</v>
      </c>
      <c r="G12" s="17">
        <f t="shared" si="0"/>
        <v>75648048.700000003</v>
      </c>
    </row>
    <row r="13" spans="1:7" x14ac:dyDescent="0.25">
      <c r="A13" s="14">
        <f>MAX(A$8:A12)+1</f>
        <v>5</v>
      </c>
      <c r="B13" s="15">
        <v>362</v>
      </c>
      <c r="C13" s="14">
        <v>3622</v>
      </c>
      <c r="D13" s="16" t="s">
        <v>23</v>
      </c>
      <c r="E13" s="36">
        <v>42852707.740000002</v>
      </c>
      <c r="F13" s="37">
        <v>-276191</v>
      </c>
      <c r="G13" s="17">
        <f t="shared" si="0"/>
        <v>42576516.740000002</v>
      </c>
    </row>
    <row r="14" spans="1:7" x14ac:dyDescent="0.25">
      <c r="A14" s="14">
        <f>MAX(A$8:A13)+1</f>
        <v>6</v>
      </c>
      <c r="B14" s="18">
        <v>363</v>
      </c>
      <c r="C14" s="19">
        <v>3635</v>
      </c>
      <c r="D14" s="20" t="s">
        <v>60</v>
      </c>
      <c r="E14" s="37">
        <v>112771.68</v>
      </c>
      <c r="F14" s="37">
        <v>-112502</v>
      </c>
      <c r="G14" s="21">
        <f t="shared" si="0"/>
        <v>269.67999999999302</v>
      </c>
    </row>
    <row r="15" spans="1:7" x14ac:dyDescent="0.25">
      <c r="A15" s="14">
        <f>MAX(A$8:A14)+1</f>
        <v>7</v>
      </c>
      <c r="B15" s="15">
        <v>364</v>
      </c>
      <c r="C15" s="14">
        <v>3640</v>
      </c>
      <c r="D15" s="16" t="s">
        <v>25</v>
      </c>
      <c r="E15" s="36">
        <v>117411737.70999999</v>
      </c>
      <c r="F15" s="37">
        <v>-184693</v>
      </c>
      <c r="G15" s="17">
        <f t="shared" si="0"/>
        <v>117227044.70999999</v>
      </c>
    </row>
    <row r="16" spans="1:7" x14ac:dyDescent="0.25">
      <c r="A16" s="14">
        <f>MAX(A$8:A15)+1</f>
        <v>8</v>
      </c>
      <c r="B16" s="15">
        <v>365</v>
      </c>
      <c r="C16" s="14" t="s">
        <v>26</v>
      </c>
      <c r="D16" s="16" t="s">
        <v>27</v>
      </c>
      <c r="E16" s="36">
        <f>109874194.44+712550.75</f>
        <v>110586745.19</v>
      </c>
      <c r="F16" s="37">
        <v>-2264372</v>
      </c>
      <c r="G16" s="17">
        <f t="shared" si="0"/>
        <v>108322373.19</v>
      </c>
    </row>
    <row r="17" spans="1:7" x14ac:dyDescent="0.25">
      <c r="A17" s="14">
        <f>MAX(A$8:A16)+1</f>
        <v>9</v>
      </c>
      <c r="B17" s="15">
        <v>366</v>
      </c>
      <c r="C17" s="14">
        <v>3660</v>
      </c>
      <c r="D17" s="16" t="s">
        <v>28</v>
      </c>
      <c r="E17" s="36">
        <v>40934953.549999997</v>
      </c>
      <c r="F17" s="36"/>
      <c r="G17" s="17">
        <f t="shared" si="0"/>
        <v>40934953.549999997</v>
      </c>
    </row>
    <row r="18" spans="1:7" x14ac:dyDescent="0.25">
      <c r="A18" s="14">
        <f>MAX(A$8:A17)+1</f>
        <v>10</v>
      </c>
      <c r="B18" s="15">
        <v>367</v>
      </c>
      <c r="C18" s="14">
        <v>3670</v>
      </c>
      <c r="D18" s="16" t="s">
        <v>29</v>
      </c>
      <c r="E18" s="36">
        <v>86291016.260000005</v>
      </c>
      <c r="F18" s="36"/>
      <c r="G18" s="17">
        <f t="shared" si="0"/>
        <v>86291016.260000005</v>
      </c>
    </row>
    <row r="19" spans="1:7" x14ac:dyDescent="0.25">
      <c r="A19" s="14">
        <f>MAX(A$8:A18)+1</f>
        <v>11</v>
      </c>
      <c r="B19" s="15">
        <v>368</v>
      </c>
      <c r="C19" s="14" t="s">
        <v>30</v>
      </c>
      <c r="D19" s="16" t="s">
        <v>31</v>
      </c>
      <c r="E19" s="36">
        <f>143389307.33+304.09</f>
        <v>143389611.42000002</v>
      </c>
      <c r="F19" s="36"/>
      <c r="G19" s="17">
        <f t="shared" si="0"/>
        <v>143389611.42000002</v>
      </c>
    </row>
    <row r="20" spans="1:7" x14ac:dyDescent="0.25">
      <c r="A20" s="14">
        <f>MAX(A$8:A19)+1</f>
        <v>12</v>
      </c>
      <c r="B20" s="15">
        <v>368</v>
      </c>
      <c r="C20" s="14">
        <v>3682</v>
      </c>
      <c r="D20" s="16" t="s">
        <v>32</v>
      </c>
      <c r="E20" s="36">
        <v>2991332.88</v>
      </c>
      <c r="F20" s="36"/>
      <c r="G20" s="17">
        <f t="shared" si="0"/>
        <v>2991332.88</v>
      </c>
    </row>
    <row r="21" spans="1:7" x14ac:dyDescent="0.25">
      <c r="A21" s="14">
        <f>MAX(A$8:A20)+1</f>
        <v>13</v>
      </c>
      <c r="B21" s="15">
        <v>369</v>
      </c>
      <c r="C21" s="14">
        <v>3691</v>
      </c>
      <c r="D21" s="16" t="s">
        <v>33</v>
      </c>
      <c r="E21" s="36">
        <v>2446029.7000000002</v>
      </c>
      <c r="F21" s="36"/>
      <c r="G21" s="17">
        <f t="shared" si="0"/>
        <v>2446029.7000000002</v>
      </c>
    </row>
    <row r="22" spans="1:7" x14ac:dyDescent="0.25">
      <c r="A22" s="14">
        <f>MAX(A$8:A21)+1</f>
        <v>14</v>
      </c>
      <c r="B22" s="15">
        <v>369</v>
      </c>
      <c r="C22" s="14">
        <v>3692</v>
      </c>
      <c r="D22" s="16" t="s">
        <v>34</v>
      </c>
      <c r="E22" s="36">
        <v>43450562.579999998</v>
      </c>
      <c r="F22" s="36"/>
      <c r="G22" s="17">
        <f t="shared" si="0"/>
        <v>43450562.579999998</v>
      </c>
    </row>
    <row r="23" spans="1:7" x14ac:dyDescent="0.25">
      <c r="A23" s="14">
        <f>MAX(A$8:A22)+1</f>
        <v>15</v>
      </c>
      <c r="B23" s="15">
        <v>370</v>
      </c>
      <c r="C23" s="14">
        <v>3700</v>
      </c>
      <c r="D23" s="16" t="s">
        <v>35</v>
      </c>
      <c r="E23" s="36">
        <f>-6593279.28+1580648.53</f>
        <v>-5012630.75</v>
      </c>
      <c r="F23" s="37"/>
      <c r="G23" s="17">
        <f t="shared" si="0"/>
        <v>-5012630.75</v>
      </c>
    </row>
    <row r="24" spans="1:7" x14ac:dyDescent="0.25">
      <c r="A24" s="14">
        <f>MAX(A$8:A23)+1</f>
        <v>16</v>
      </c>
      <c r="B24" s="15">
        <v>370</v>
      </c>
      <c r="C24" s="14">
        <v>3701</v>
      </c>
      <c r="D24" s="16" t="s">
        <v>36</v>
      </c>
      <c r="E24" s="36">
        <f>6137687.03+1095203.96</f>
        <v>7232890.9900000002</v>
      </c>
      <c r="F24" s="37"/>
      <c r="G24" s="17">
        <f t="shared" si="0"/>
        <v>7232890.9900000002</v>
      </c>
    </row>
    <row r="25" spans="1:7" x14ac:dyDescent="0.25">
      <c r="A25" s="14">
        <f>MAX(A$8:A24)+1</f>
        <v>17</v>
      </c>
      <c r="B25" s="15">
        <v>370</v>
      </c>
      <c r="C25" s="14">
        <v>3702</v>
      </c>
      <c r="D25" s="16" t="s">
        <v>37</v>
      </c>
      <c r="E25" s="36">
        <v>13849049.76</v>
      </c>
      <c r="F25" s="37">
        <f>-E25</f>
        <v>-13849049.76</v>
      </c>
      <c r="G25" s="17">
        <f t="shared" si="0"/>
        <v>0</v>
      </c>
    </row>
    <row r="26" spans="1:7" x14ac:dyDescent="0.25">
      <c r="A26" s="14">
        <f>MAX(A$8:A25)+1</f>
        <v>18</v>
      </c>
      <c r="B26" s="15">
        <v>371</v>
      </c>
      <c r="C26" s="14">
        <v>3710</v>
      </c>
      <c r="D26" s="16" t="s">
        <v>38</v>
      </c>
      <c r="E26" s="36">
        <v>304909.43</v>
      </c>
      <c r="F26" s="37"/>
      <c r="G26" s="17">
        <f t="shared" si="0"/>
        <v>304909.43</v>
      </c>
    </row>
    <row r="27" spans="1:7" x14ac:dyDescent="0.25">
      <c r="A27" s="14">
        <f>MAX(A$8:A26)+1</f>
        <v>19</v>
      </c>
      <c r="B27" s="15">
        <v>371</v>
      </c>
      <c r="C27" s="14">
        <v>3712</v>
      </c>
      <c r="D27" s="16" t="s">
        <v>48</v>
      </c>
      <c r="E27" s="36">
        <v>-819947.74</v>
      </c>
      <c r="F27" s="37">
        <f>-E27</f>
        <v>819947.74</v>
      </c>
      <c r="G27" s="17">
        <f t="shared" si="0"/>
        <v>0</v>
      </c>
    </row>
    <row r="28" spans="1:7" x14ac:dyDescent="0.25">
      <c r="A28" s="14">
        <f>MAX(A$8:A27)+1</f>
        <v>20</v>
      </c>
      <c r="B28" s="15">
        <v>372</v>
      </c>
      <c r="C28" s="14">
        <v>3720</v>
      </c>
      <c r="D28" s="16" t="s">
        <v>39</v>
      </c>
      <c r="E28" s="36">
        <v>-63514.74</v>
      </c>
      <c r="F28" s="37"/>
      <c r="G28" s="17">
        <f t="shared" si="0"/>
        <v>-63514.74</v>
      </c>
    </row>
    <row r="29" spans="1:7" x14ac:dyDescent="0.25">
      <c r="A29" s="14">
        <f>MAX(A$8:A28)+1</f>
        <v>21</v>
      </c>
      <c r="B29" s="15">
        <v>373</v>
      </c>
      <c r="C29" s="14" t="s">
        <v>40</v>
      </c>
      <c r="D29" s="16" t="s">
        <v>41</v>
      </c>
      <c r="E29" s="36">
        <f>-1614384.9+11740642.47</f>
        <v>10126257.57</v>
      </c>
      <c r="F29" s="37"/>
      <c r="G29" s="17">
        <f t="shared" si="0"/>
        <v>10126257.57</v>
      </c>
    </row>
    <row r="30" spans="1:7" x14ac:dyDescent="0.25">
      <c r="A30" s="14">
        <f>MAX(A$8:A29)+1</f>
        <v>22</v>
      </c>
      <c r="B30" s="15">
        <v>373</v>
      </c>
      <c r="C30" s="14">
        <v>3732</v>
      </c>
      <c r="D30" s="16" t="s">
        <v>42</v>
      </c>
      <c r="E30" s="36">
        <v>7891550.1299999999</v>
      </c>
      <c r="F30" s="37"/>
      <c r="G30" s="17">
        <f t="shared" si="0"/>
        <v>7891550.1299999999</v>
      </c>
    </row>
    <row r="31" spans="1:7" x14ac:dyDescent="0.25">
      <c r="A31" s="14">
        <f>MAX(A$8:A30)+1</f>
        <v>23</v>
      </c>
      <c r="B31" s="15">
        <v>373</v>
      </c>
      <c r="C31" s="14">
        <v>3733</v>
      </c>
      <c r="D31" s="16" t="s">
        <v>43</v>
      </c>
      <c r="E31" s="36">
        <v>7428638.8499999996</v>
      </c>
      <c r="F31" s="37"/>
      <c r="G31" s="17">
        <f t="shared" si="0"/>
        <v>7428638.8499999996</v>
      </c>
    </row>
    <row r="32" spans="1:7" x14ac:dyDescent="0.25">
      <c r="A32" s="14">
        <f>MAX(A$8:A31)+1</f>
        <v>24</v>
      </c>
      <c r="B32" s="15">
        <v>373</v>
      </c>
      <c r="C32" s="14">
        <v>3734</v>
      </c>
      <c r="D32" s="16" t="s">
        <v>44</v>
      </c>
      <c r="E32" s="36">
        <v>-115827.84</v>
      </c>
      <c r="F32" s="37">
        <f>-E32</f>
        <v>115827.84</v>
      </c>
      <c r="G32" s="17">
        <f t="shared" si="0"/>
        <v>0</v>
      </c>
    </row>
    <row r="33" spans="1:7" x14ac:dyDescent="0.25">
      <c r="A33" s="14">
        <f>MAX(A$8:A32)+1</f>
        <v>25</v>
      </c>
      <c r="C33" s="15">
        <v>108</v>
      </c>
      <c r="D33" s="2" t="s">
        <v>61</v>
      </c>
      <c r="E33" s="37">
        <f>-13910.32-2241620.27</f>
        <v>-2255530.59</v>
      </c>
      <c r="F33" s="37"/>
      <c r="G33" s="17">
        <f t="shared" si="0"/>
        <v>-2255530.59</v>
      </c>
    </row>
    <row r="34" spans="1:7" x14ac:dyDescent="0.25">
      <c r="C34" s="13"/>
      <c r="D34" s="13"/>
      <c r="E34" s="78"/>
      <c r="F34" s="78"/>
      <c r="G34" s="78"/>
    </row>
    <row r="35" spans="1:7" x14ac:dyDescent="0.25">
      <c r="A35" s="14">
        <f>MAX(A$8:A33)+1</f>
        <v>26</v>
      </c>
      <c r="C35" s="13"/>
      <c r="D35" s="13"/>
      <c r="E35" s="58">
        <f>SUM(E9:E33)</f>
        <v>714872003.25999999</v>
      </c>
      <c r="F35" s="59">
        <f>SUM(F9:F33)</f>
        <v>-18049149.18</v>
      </c>
      <c r="G35" s="58">
        <f>SUM(G9:G33)</f>
        <v>696822854.08000004</v>
      </c>
    </row>
    <row r="36" spans="1:7" x14ac:dyDescent="0.25">
      <c r="A36" s="80"/>
      <c r="B36" s="80"/>
      <c r="C36" s="80"/>
      <c r="D36" s="80"/>
      <c r="E36" s="80"/>
      <c r="F36" s="80"/>
      <c r="G36" s="80"/>
    </row>
    <row r="37" spans="1:7" s="6" customFormat="1" x14ac:dyDescent="0.25">
      <c r="A37" s="62"/>
      <c r="B37" s="63"/>
      <c r="C37" s="43"/>
      <c r="D37" s="45"/>
      <c r="E37" s="46"/>
      <c r="F37" s="47"/>
      <c r="G37" s="27"/>
    </row>
    <row r="38" spans="1:7" s="6" customFormat="1" x14ac:dyDescent="0.25">
      <c r="A38" s="43"/>
      <c r="B38" s="79" t="s">
        <v>70</v>
      </c>
      <c r="C38" s="43"/>
      <c r="D38" s="45"/>
      <c r="E38" s="48"/>
      <c r="F38" s="48"/>
      <c r="G38" s="27"/>
    </row>
    <row r="39" spans="1:7" s="6" customFormat="1" x14ac:dyDescent="0.25">
      <c r="A39" s="43"/>
      <c r="B39" s="44"/>
      <c r="C39" s="43"/>
      <c r="D39" s="45"/>
      <c r="E39" s="48"/>
      <c r="F39" s="49"/>
      <c r="G39" s="27"/>
    </row>
    <row r="40" spans="1:7" s="6" customFormat="1" x14ac:dyDescent="0.25">
      <c r="A40" s="43"/>
      <c r="B40" s="44"/>
      <c r="C40" s="43"/>
      <c r="D40" s="45"/>
      <c r="E40" s="48"/>
      <c r="F40" s="48"/>
      <c r="G40" s="27"/>
    </row>
    <row r="41" spans="1:7" s="6" customFormat="1" x14ac:dyDescent="0.25">
      <c r="A41" s="43"/>
      <c r="B41" s="44"/>
      <c r="C41" s="43"/>
      <c r="D41" s="45"/>
      <c r="E41" s="48"/>
      <c r="F41" s="49"/>
      <c r="G41" s="27"/>
    </row>
    <row r="42" spans="1:7" s="6" customFormat="1" x14ac:dyDescent="0.25">
      <c r="A42" s="43"/>
      <c r="B42" s="50"/>
      <c r="C42" s="51"/>
      <c r="D42" s="52"/>
      <c r="E42" s="48"/>
      <c r="F42" s="48"/>
      <c r="G42" s="27"/>
    </row>
    <row r="43" spans="1:7" s="6" customFormat="1" x14ac:dyDescent="0.25">
      <c r="A43" s="43"/>
      <c r="B43" s="44"/>
      <c r="C43" s="43"/>
      <c r="D43" s="45"/>
      <c r="E43" s="48"/>
      <c r="F43" s="48"/>
      <c r="G43" s="27"/>
    </row>
    <row r="44" spans="1:7" s="6" customFormat="1" x14ac:dyDescent="0.25">
      <c r="A44" s="43"/>
      <c r="B44" s="44"/>
      <c r="C44" s="43"/>
      <c r="D44" s="45"/>
      <c r="E44" s="48"/>
      <c r="F44" s="48"/>
      <c r="G44" s="27"/>
    </row>
    <row r="45" spans="1:7" s="6" customFormat="1" x14ac:dyDescent="0.25">
      <c r="A45" s="43"/>
      <c r="B45" s="44"/>
      <c r="C45" s="43"/>
      <c r="D45" s="45"/>
      <c r="E45" s="48"/>
      <c r="F45" s="48"/>
      <c r="G45" s="27"/>
    </row>
    <row r="46" spans="1:7" s="6" customFormat="1" x14ac:dyDescent="0.25">
      <c r="A46" s="43"/>
      <c r="B46" s="44"/>
      <c r="C46" s="43"/>
      <c r="D46" s="45"/>
      <c r="E46" s="48"/>
      <c r="F46" s="48"/>
      <c r="G46" s="27"/>
    </row>
    <row r="47" spans="1:7" s="6" customFormat="1" x14ac:dyDescent="0.25">
      <c r="A47" s="43"/>
      <c r="B47" s="44"/>
      <c r="C47" s="43"/>
      <c r="D47" s="45"/>
      <c r="E47" s="48"/>
      <c r="F47" s="48"/>
      <c r="G47" s="27"/>
    </row>
    <row r="48" spans="1:7" s="6" customFormat="1" x14ac:dyDescent="0.25">
      <c r="A48" s="43"/>
      <c r="B48" s="44"/>
      <c r="C48" s="43"/>
      <c r="D48" s="45"/>
      <c r="E48" s="48"/>
      <c r="F48" s="49"/>
      <c r="G48" s="27"/>
    </row>
    <row r="49" spans="1:7" s="6" customFormat="1" x14ac:dyDescent="0.25">
      <c r="A49" s="43"/>
      <c r="B49" s="44"/>
      <c r="C49" s="43"/>
      <c r="D49" s="45"/>
      <c r="E49" s="48"/>
      <c r="F49" s="49"/>
      <c r="G49" s="27"/>
    </row>
    <row r="50" spans="1:7" s="6" customFormat="1" x14ac:dyDescent="0.25">
      <c r="A50" s="43"/>
      <c r="B50" s="44"/>
      <c r="C50" s="43"/>
      <c r="D50" s="45"/>
      <c r="E50" s="48"/>
      <c r="F50" s="49"/>
      <c r="G50" s="27"/>
    </row>
    <row r="51" spans="1:7" s="6" customFormat="1" x14ac:dyDescent="0.25">
      <c r="A51" s="43"/>
      <c r="B51" s="44"/>
      <c r="C51" s="43"/>
      <c r="D51" s="45"/>
      <c r="E51" s="48"/>
      <c r="F51" s="49"/>
      <c r="G51" s="27"/>
    </row>
    <row r="52" spans="1:7" s="6" customFormat="1" x14ac:dyDescent="0.25">
      <c r="A52" s="43"/>
      <c r="B52" s="44"/>
      <c r="C52" s="43"/>
      <c r="D52" s="45"/>
      <c r="E52" s="48"/>
      <c r="F52" s="48"/>
      <c r="G52" s="27"/>
    </row>
    <row r="53" spans="1:7" s="6" customFormat="1" x14ac:dyDescent="0.25">
      <c r="A53" s="43"/>
      <c r="B53" s="44"/>
      <c r="E53" s="48"/>
      <c r="F53" s="48"/>
      <c r="G53" s="27"/>
    </row>
    <row r="54" spans="1:7" s="6" customFormat="1" x14ac:dyDescent="0.25">
      <c r="A54" s="43"/>
      <c r="B54" s="44"/>
      <c r="C54" s="43"/>
      <c r="D54" s="45"/>
      <c r="E54" s="27"/>
      <c r="F54" s="27"/>
      <c r="G54" s="27"/>
    </row>
    <row r="55" spans="1:7" s="6" customFormat="1" x14ac:dyDescent="0.25">
      <c r="C55" s="53"/>
      <c r="D55" s="53"/>
      <c r="E55" s="53"/>
    </row>
    <row r="56" spans="1:7" s="6" customFormat="1" x14ac:dyDescent="0.25">
      <c r="A56" s="43"/>
      <c r="B56" s="44"/>
      <c r="C56" s="43"/>
      <c r="D56" s="45"/>
      <c r="E56" s="46"/>
      <c r="F56" s="46"/>
      <c r="G56" s="27"/>
    </row>
    <row r="57" spans="1:7" s="6" customFormat="1" x14ac:dyDescent="0.25">
      <c r="A57" s="43"/>
      <c r="B57" s="44"/>
      <c r="C57" s="43"/>
      <c r="D57" s="45"/>
      <c r="E57" s="48"/>
      <c r="F57" s="48"/>
      <c r="G57" s="54"/>
    </row>
    <row r="58" spans="1:7" s="6" customFormat="1" x14ac:dyDescent="0.25">
      <c r="A58" s="43"/>
      <c r="B58" s="44"/>
      <c r="C58" s="43"/>
      <c r="D58" s="45"/>
      <c r="E58" s="48"/>
      <c r="F58" s="48"/>
      <c r="G58" s="54"/>
    </row>
    <row r="59" spans="1:7" s="6" customFormat="1" x14ac:dyDescent="0.25">
      <c r="A59" s="43"/>
      <c r="B59" s="44"/>
      <c r="C59" s="43"/>
      <c r="D59" s="45"/>
      <c r="E59" s="48"/>
      <c r="F59" s="48"/>
      <c r="G59" s="54"/>
    </row>
    <row r="60" spans="1:7" s="6" customFormat="1" x14ac:dyDescent="0.25">
      <c r="A60" s="43"/>
      <c r="B60" s="44"/>
      <c r="C60" s="43"/>
      <c r="D60" s="45"/>
      <c r="E60" s="48"/>
      <c r="F60" s="48"/>
      <c r="G60" s="54"/>
    </row>
    <row r="61" spans="1:7" s="6" customFormat="1" x14ac:dyDescent="0.25">
      <c r="A61" s="43"/>
      <c r="B61" s="44"/>
      <c r="C61" s="43"/>
      <c r="D61" s="45"/>
      <c r="E61" s="48"/>
      <c r="F61" s="49"/>
      <c r="G61" s="54"/>
    </row>
    <row r="62" spans="1:7" s="6" customFormat="1" x14ac:dyDescent="0.25">
      <c r="A62" s="43"/>
      <c r="B62" s="44"/>
      <c r="C62" s="43"/>
      <c r="D62" s="45"/>
      <c r="E62" s="49"/>
      <c r="F62" s="49"/>
      <c r="G62" s="54"/>
    </row>
    <row r="63" spans="1:7" s="6" customFormat="1" x14ac:dyDescent="0.25">
      <c r="A63" s="43"/>
      <c r="B63" s="44"/>
      <c r="C63" s="43"/>
      <c r="D63" s="45"/>
      <c r="E63" s="48"/>
      <c r="F63" s="49"/>
      <c r="G63" s="54"/>
    </row>
    <row r="64" spans="1:7" s="6" customFormat="1" x14ac:dyDescent="0.25">
      <c r="A64" s="43"/>
      <c r="B64" s="44"/>
      <c r="C64" s="43"/>
      <c r="D64" s="45"/>
      <c r="E64" s="48"/>
      <c r="F64" s="49"/>
      <c r="G64" s="54"/>
    </row>
    <row r="65" spans="1:7" s="6" customFormat="1" x14ac:dyDescent="0.25">
      <c r="A65" s="43"/>
      <c r="B65" s="44"/>
      <c r="C65" s="43"/>
      <c r="D65" s="45"/>
      <c r="E65" s="48"/>
      <c r="F65" s="49"/>
      <c r="G65" s="54"/>
    </row>
    <row r="66" spans="1:7" s="6" customFormat="1" x14ac:dyDescent="0.25">
      <c r="A66" s="43"/>
      <c r="B66" s="50"/>
      <c r="C66" s="51"/>
      <c r="D66" s="52"/>
      <c r="E66" s="49"/>
      <c r="F66" s="49"/>
      <c r="G66" s="54"/>
    </row>
    <row r="67" spans="1:7" s="6" customFormat="1" x14ac:dyDescent="0.25">
      <c r="A67" s="43"/>
      <c r="B67" s="44"/>
      <c r="C67" s="43"/>
      <c r="D67" s="45"/>
      <c r="E67" s="48"/>
      <c r="F67" s="49"/>
      <c r="G67" s="54"/>
    </row>
    <row r="68" spans="1:7" s="6" customFormat="1" x14ac:dyDescent="0.25">
      <c r="A68" s="43"/>
      <c r="B68" s="44"/>
      <c r="C68" s="43"/>
      <c r="D68" s="45"/>
      <c r="E68" s="48"/>
      <c r="F68" s="49"/>
      <c r="G68" s="54"/>
    </row>
    <row r="69" spans="1:7" s="6" customFormat="1" x14ac:dyDescent="0.25">
      <c r="A69" s="43"/>
      <c r="B69" s="44"/>
      <c r="C69" s="43"/>
      <c r="D69" s="45"/>
      <c r="E69" s="48"/>
      <c r="F69" s="49"/>
      <c r="G69" s="54"/>
    </row>
    <row r="70" spans="1:7" s="6" customFormat="1" x14ac:dyDescent="0.25">
      <c r="A70" s="43"/>
      <c r="B70" s="44"/>
      <c r="C70" s="43"/>
      <c r="D70" s="45"/>
      <c r="E70" s="48"/>
      <c r="F70" s="49"/>
      <c r="G70" s="54"/>
    </row>
    <row r="71" spans="1:7" s="6" customFormat="1" x14ac:dyDescent="0.25">
      <c r="A71" s="43"/>
      <c r="B71" s="44"/>
      <c r="C71" s="43"/>
      <c r="D71" s="45"/>
      <c r="E71" s="48"/>
      <c r="F71" s="49"/>
      <c r="G71" s="54"/>
    </row>
    <row r="72" spans="1:7" s="6" customFormat="1" x14ac:dyDescent="0.25">
      <c r="A72" s="43"/>
      <c r="B72" s="44"/>
      <c r="C72" s="43"/>
      <c r="D72" s="45"/>
      <c r="E72" s="48"/>
      <c r="F72" s="49"/>
      <c r="G72" s="54"/>
    </row>
    <row r="73" spans="1:7" s="6" customFormat="1" x14ac:dyDescent="0.25">
      <c r="A73" s="43"/>
      <c r="C73" s="55"/>
      <c r="D73" s="53"/>
      <c r="E73" s="49"/>
      <c r="F73" s="49"/>
      <c r="G73" s="54"/>
    </row>
    <row r="74" spans="1:7" s="6" customFormat="1" x14ac:dyDescent="0.25">
      <c r="A74" s="43"/>
      <c r="C74" s="55"/>
      <c r="D74" s="53"/>
      <c r="E74" s="49"/>
      <c r="F74" s="49"/>
      <c r="G74" s="56"/>
    </row>
    <row r="75" spans="1:7" s="6" customFormat="1" x14ac:dyDescent="0.25">
      <c r="A75" s="43"/>
      <c r="C75" s="55"/>
      <c r="D75" s="53"/>
      <c r="E75" s="48"/>
      <c r="F75" s="49"/>
      <c r="G75" s="56"/>
    </row>
    <row r="76" spans="1:7" s="6" customFormat="1" x14ac:dyDescent="0.25">
      <c r="A76" s="43"/>
      <c r="C76" s="55"/>
      <c r="D76" s="53"/>
      <c r="E76" s="48"/>
      <c r="F76" s="49"/>
      <c r="G76" s="56"/>
    </row>
    <row r="77" spans="1:7" s="6" customFormat="1" x14ac:dyDescent="0.25">
      <c r="A77" s="43"/>
      <c r="E77" s="49"/>
      <c r="F77" s="49"/>
      <c r="G77" s="56"/>
    </row>
    <row r="78" spans="1:7" s="6" customFormat="1" x14ac:dyDescent="0.25">
      <c r="E78" s="27"/>
      <c r="F78" s="41"/>
      <c r="G78" s="41"/>
    </row>
    <row r="79" spans="1:7" s="6" customFormat="1" x14ac:dyDescent="0.25">
      <c r="E79" s="27"/>
      <c r="F79" s="41"/>
      <c r="G79" s="41"/>
    </row>
    <row r="80" spans="1:7" s="6" customFormat="1" x14ac:dyDescent="0.25">
      <c r="A80" s="43"/>
      <c r="C80" s="57"/>
      <c r="D80" s="42"/>
      <c r="E80" s="58"/>
      <c r="F80" s="59"/>
      <c r="G80" s="59"/>
    </row>
    <row r="81" spans="1:7" s="6" customFormat="1" x14ac:dyDescent="0.25">
      <c r="C81" s="53"/>
      <c r="D81" s="53"/>
      <c r="E81" s="53"/>
      <c r="G81" s="27"/>
    </row>
    <row r="82" spans="1:7" s="6" customFormat="1" x14ac:dyDescent="0.25">
      <c r="A82" s="43"/>
      <c r="C82" s="53"/>
      <c r="D82" s="60"/>
      <c r="E82" s="58"/>
      <c r="F82" s="58"/>
      <c r="G82" s="58"/>
    </row>
    <row r="83" spans="1:7" s="6" customFormat="1" x14ac:dyDescent="0.25"/>
    <row r="84" spans="1:7" s="6" customFormat="1" x14ac:dyDescent="0.25"/>
    <row r="85" spans="1:7" x14ac:dyDescent="0.25">
      <c r="E85" s="38"/>
    </row>
  </sheetData>
  <mergeCells count="5">
    <mergeCell ref="B8:D8"/>
    <mergeCell ref="A1:G1"/>
    <mergeCell ref="A2:G2"/>
    <mergeCell ref="A5:A6"/>
    <mergeCell ref="B5:C5"/>
  </mergeCells>
  <pageMargins left="0.2" right="0.2" top="0.75" bottom="0.75" header="0.3" footer="0.3"/>
  <pageSetup scale="86" orientation="landscape" r:id="rId1"/>
  <headerFooter>
    <oddHeader>&amp;RPUCO CaseNo. 15-795-EL-RDR
Attachment B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8"/>
  <sheetViews>
    <sheetView topLeftCell="A19" zoomScaleNormal="100" workbookViewId="0">
      <selection activeCell="G32" sqref="G32"/>
    </sheetView>
  </sheetViews>
  <sheetFormatPr defaultColWidth="12.5703125" defaultRowHeight="15.75" x14ac:dyDescent="0.25"/>
  <cols>
    <col min="1" max="1" width="8" style="2" customWidth="1"/>
    <col min="2" max="3" width="15.7109375" style="2" customWidth="1"/>
    <col min="4" max="4" width="37.85546875" style="2" customWidth="1"/>
    <col min="5" max="6" width="18.7109375" style="2" customWidth="1"/>
    <col min="7" max="7" width="6.42578125" style="2" customWidth="1"/>
    <col min="8" max="8" width="18.7109375" style="2" customWidth="1"/>
    <col min="9" max="13" width="20.28515625" style="2" customWidth="1"/>
    <col min="14" max="14" width="2.28515625" style="2" customWidth="1"/>
    <col min="15" max="15" width="12.5703125" style="2"/>
    <col min="16" max="16" width="15.140625" style="2" customWidth="1"/>
    <col min="17" max="17" width="12.5703125" style="2"/>
    <col min="18" max="18" width="52.42578125" style="2" customWidth="1"/>
    <col min="19" max="21" width="20.28515625" style="2" customWidth="1"/>
    <col min="22" max="22" width="2.28515625" style="2" customWidth="1"/>
    <col min="23" max="23" width="12.5703125" style="2"/>
    <col min="24" max="24" width="15.140625" style="2" customWidth="1"/>
    <col min="25" max="25" width="12.5703125" style="2"/>
    <col min="26" max="26" width="65.28515625" style="2" customWidth="1"/>
    <col min="27" max="31" width="20.28515625" style="2" customWidth="1"/>
    <col min="32" max="32" width="33.140625" style="2" customWidth="1"/>
    <col min="33" max="33" width="20.28515625" style="2" customWidth="1"/>
    <col min="34" max="34" width="2.28515625" style="2" customWidth="1"/>
    <col min="35" max="35" width="15.140625" style="2" customWidth="1"/>
    <col min="36" max="41" width="22.85546875" style="2" customWidth="1"/>
    <col min="42" max="42" width="26.7109375" style="2" customWidth="1"/>
    <col min="43" max="43" width="22.85546875" style="2" customWidth="1"/>
    <col min="44" max="44" width="20.28515625" style="2" customWidth="1"/>
    <col min="45" max="45" width="2.28515625" style="2" customWidth="1"/>
    <col min="46" max="46" width="26.7109375" style="2" customWidth="1"/>
    <col min="47" max="47" width="37" style="2" customWidth="1"/>
    <col min="48" max="48" width="46" style="2" customWidth="1"/>
    <col min="49" max="51" width="15.140625" style="2" customWidth="1"/>
    <col min="52" max="52" width="26.7109375" style="2" customWidth="1"/>
    <col min="53" max="53" width="15.140625" style="2" customWidth="1"/>
    <col min="54" max="54" width="2.28515625" style="2" customWidth="1"/>
    <col min="55" max="55" width="10" style="2" customWidth="1"/>
    <col min="56" max="56" width="12.5703125" style="2"/>
    <col min="57" max="57" width="39.5703125" style="2" customWidth="1"/>
    <col min="58" max="58" width="16.42578125" style="2" customWidth="1"/>
    <col min="59" max="61" width="20.28515625" style="2" customWidth="1"/>
    <col min="62" max="63" width="16.42578125" style="2" customWidth="1"/>
    <col min="64" max="64" width="26.7109375" style="2" customWidth="1"/>
    <col min="65" max="65" width="39.5703125" style="2" customWidth="1"/>
    <col min="66" max="66" width="12.5703125" style="2"/>
    <col min="67" max="67" width="16.42578125" style="2" customWidth="1"/>
    <col min="68" max="68" width="17.7109375" style="2" customWidth="1"/>
    <col min="69" max="16384" width="12.5703125" style="2"/>
  </cols>
  <sheetData>
    <row r="1" spans="1:68" ht="18.75" x14ac:dyDescent="0.3">
      <c r="A1" s="122" t="s">
        <v>47</v>
      </c>
      <c r="B1" s="122"/>
      <c r="C1" s="122"/>
      <c r="D1" s="122"/>
      <c r="E1" s="122"/>
      <c r="F1" s="122"/>
      <c r="G1" s="122"/>
      <c r="H1" s="122"/>
      <c r="BO1" s="3"/>
      <c r="BP1" s="3"/>
    </row>
    <row r="2" spans="1:68" ht="18.75" x14ac:dyDescent="0.3">
      <c r="A2" s="121" t="s">
        <v>65</v>
      </c>
      <c r="B2" s="122"/>
      <c r="C2" s="122"/>
      <c r="D2" s="122"/>
      <c r="E2" s="122"/>
      <c r="F2" s="122"/>
      <c r="G2" s="122"/>
      <c r="H2" s="122"/>
      <c r="BO2" s="3"/>
      <c r="BP2" s="3"/>
    </row>
    <row r="3" spans="1:68" ht="16.5" thickBot="1" x14ac:dyDescent="0.3">
      <c r="A3" s="4"/>
      <c r="B3" s="4"/>
      <c r="C3" s="4"/>
      <c r="D3" s="4"/>
      <c r="E3" s="4"/>
      <c r="F3" s="5"/>
      <c r="G3" s="5"/>
      <c r="H3" s="4"/>
      <c r="BO3" s="3"/>
      <c r="BP3" s="3"/>
    </row>
    <row r="4" spans="1:68" x14ac:dyDescent="0.25">
      <c r="A4" s="6"/>
      <c r="B4" s="6"/>
      <c r="C4" s="6"/>
      <c r="D4" s="6"/>
      <c r="E4" s="6"/>
      <c r="F4" s="6"/>
      <c r="G4" s="6"/>
      <c r="H4" s="6"/>
      <c r="BO4" s="3"/>
      <c r="BP4" s="3"/>
    </row>
    <row r="5" spans="1:68" x14ac:dyDescent="0.25">
      <c r="A5" s="123" t="s">
        <v>52</v>
      </c>
      <c r="B5" s="124" t="s">
        <v>50</v>
      </c>
      <c r="C5" s="125"/>
      <c r="D5" s="8"/>
      <c r="E5" s="8"/>
      <c r="F5" s="8"/>
      <c r="G5" s="8"/>
      <c r="H5" s="9" t="s">
        <v>46</v>
      </c>
    </row>
    <row r="6" spans="1:68" x14ac:dyDescent="0.25">
      <c r="A6" s="123"/>
      <c r="B6" s="10" t="s">
        <v>51</v>
      </c>
      <c r="C6" s="10" t="s">
        <v>45</v>
      </c>
      <c r="D6" s="10" t="s">
        <v>53</v>
      </c>
      <c r="E6" s="10" t="s">
        <v>54</v>
      </c>
      <c r="F6" s="64" t="s">
        <v>67</v>
      </c>
      <c r="G6" s="66"/>
      <c r="H6" s="12" t="s">
        <v>55</v>
      </c>
    </row>
    <row r="8" spans="1:68" x14ac:dyDescent="0.25">
      <c r="B8" s="120" t="s">
        <v>7</v>
      </c>
      <c r="C8" s="120"/>
      <c r="D8" s="120"/>
    </row>
    <row r="9" spans="1:68" x14ac:dyDescent="0.25">
      <c r="A9" s="14">
        <f>MAX(A8:A$8)+1</f>
        <v>1</v>
      </c>
      <c r="B9" s="15">
        <v>282</v>
      </c>
      <c r="C9" s="15" t="s">
        <v>58</v>
      </c>
      <c r="D9" s="16" t="s">
        <v>8</v>
      </c>
      <c r="E9" s="40">
        <v>-42048747.796507388</v>
      </c>
      <c r="F9" s="39">
        <v>0</v>
      </c>
      <c r="G9" s="39"/>
      <c r="H9" s="22">
        <f>+E9+F9</f>
        <v>-42048747.796507388</v>
      </c>
    </row>
    <row r="10" spans="1:68" x14ac:dyDescent="0.25">
      <c r="A10" s="14">
        <f>MAX(A$8:A9)+1</f>
        <v>2</v>
      </c>
      <c r="B10" s="15">
        <v>282</v>
      </c>
      <c r="C10" s="15" t="s">
        <v>58</v>
      </c>
      <c r="D10" s="16" t="s">
        <v>9</v>
      </c>
      <c r="E10" s="37">
        <v>-2061213.1272797743</v>
      </c>
      <c r="F10" s="37">
        <v>0</v>
      </c>
      <c r="G10" s="37"/>
      <c r="H10" s="17">
        <f t="shared" ref="H10:H20" si="0">+E10+F10</f>
        <v>-2061213.1272797743</v>
      </c>
    </row>
    <row r="11" spans="1:68" x14ac:dyDescent="0.25">
      <c r="A11" s="14">
        <f>MAX(A$8:A10)+1</f>
        <v>3</v>
      </c>
      <c r="B11" s="15">
        <v>282</v>
      </c>
      <c r="C11" s="15" t="s">
        <v>58</v>
      </c>
      <c r="D11" s="16" t="s">
        <v>10</v>
      </c>
      <c r="E11" s="37">
        <v>-14304819.103321634</v>
      </c>
      <c r="F11" s="37">
        <v>0</v>
      </c>
      <c r="G11" s="37"/>
      <c r="H11" s="17">
        <f t="shared" si="0"/>
        <v>-14304819.103321634</v>
      </c>
    </row>
    <row r="12" spans="1:68" x14ac:dyDescent="0.25">
      <c r="A12" s="14">
        <f>MAX(A$8:A11)+1</f>
        <v>4</v>
      </c>
      <c r="B12" s="15">
        <v>282</v>
      </c>
      <c r="C12" s="15" t="s">
        <v>58</v>
      </c>
      <c r="D12" s="16" t="s">
        <v>11</v>
      </c>
      <c r="E12" s="37">
        <v>16695826.330966173</v>
      </c>
      <c r="F12" s="37">
        <v>0</v>
      </c>
      <c r="G12" s="37"/>
      <c r="H12" s="17">
        <f t="shared" si="0"/>
        <v>16695826.330966173</v>
      </c>
    </row>
    <row r="13" spans="1:68" x14ac:dyDescent="0.25">
      <c r="A13" s="14">
        <f>MAX(A$8:A12)+1</f>
        <v>5</v>
      </c>
      <c r="B13" s="15">
        <v>282</v>
      </c>
      <c r="C13" s="15" t="s">
        <v>58</v>
      </c>
      <c r="D13" s="16" t="s">
        <v>12</v>
      </c>
      <c r="E13" s="37">
        <v>1236727.8763678644</v>
      </c>
      <c r="F13" s="37">
        <v>0</v>
      </c>
      <c r="G13" s="37"/>
      <c r="H13" s="17">
        <f t="shared" si="0"/>
        <v>1236727.8763678644</v>
      </c>
    </row>
    <row r="14" spans="1:68" x14ac:dyDescent="0.25">
      <c r="A14" s="14">
        <f>MAX(A$8:A13)+1</f>
        <v>6</v>
      </c>
      <c r="B14" s="15">
        <v>282</v>
      </c>
      <c r="C14" s="15" t="s">
        <v>58</v>
      </c>
      <c r="D14" s="20" t="s">
        <v>13</v>
      </c>
      <c r="E14" s="37">
        <v>-36318575.302669622</v>
      </c>
      <c r="F14" s="37">
        <f>-E14</f>
        <v>36318575.302669622</v>
      </c>
      <c r="G14" s="37"/>
      <c r="H14" s="17">
        <f t="shared" si="0"/>
        <v>0</v>
      </c>
    </row>
    <row r="15" spans="1:68" x14ac:dyDescent="0.25">
      <c r="A15" s="14">
        <f>MAX(A$8:A14)+1</f>
        <v>7</v>
      </c>
      <c r="B15" s="15">
        <v>282</v>
      </c>
      <c r="C15" s="15" t="s">
        <v>58</v>
      </c>
      <c r="D15" s="16" t="s">
        <v>14</v>
      </c>
      <c r="E15" s="37">
        <v>3421613.7912844252</v>
      </c>
      <c r="F15" s="37">
        <v>0</v>
      </c>
      <c r="G15" s="37"/>
      <c r="H15" s="17">
        <f t="shared" si="0"/>
        <v>3421613.7912844252</v>
      </c>
    </row>
    <row r="16" spans="1:68" x14ac:dyDescent="0.25">
      <c r="A16" s="14">
        <f>MAX(A$8:A15)+1</f>
        <v>8</v>
      </c>
      <c r="B16" s="15">
        <v>282</v>
      </c>
      <c r="C16" s="15" t="s">
        <v>58</v>
      </c>
      <c r="D16" s="25" t="s">
        <v>15</v>
      </c>
      <c r="E16" s="37">
        <v>21519065.048800845</v>
      </c>
      <c r="F16" s="37">
        <v>0</v>
      </c>
      <c r="G16" s="37"/>
      <c r="H16" s="17">
        <f t="shared" si="0"/>
        <v>21519065.048800845</v>
      </c>
    </row>
    <row r="17" spans="1:8" x14ac:dyDescent="0.25">
      <c r="A17" s="14">
        <f>MAX(A$8:A16)+1</f>
        <v>9</v>
      </c>
      <c r="B17" s="15">
        <v>282</v>
      </c>
      <c r="C17" s="15" t="s">
        <v>58</v>
      </c>
      <c r="D17" s="16" t="s">
        <v>16</v>
      </c>
      <c r="E17" s="37">
        <v>-288569.8378191684</v>
      </c>
      <c r="F17" s="37">
        <f>-E17</f>
        <v>288569.8378191684</v>
      </c>
      <c r="G17" s="37"/>
      <c r="H17" s="17">
        <f t="shared" si="0"/>
        <v>0</v>
      </c>
    </row>
    <row r="18" spans="1:8" x14ac:dyDescent="0.25">
      <c r="A18" s="14">
        <f>MAX(A$8:A17)+1</f>
        <v>10</v>
      </c>
      <c r="B18" s="15">
        <v>282</v>
      </c>
      <c r="C18" s="15" t="s">
        <v>58</v>
      </c>
      <c r="D18" s="16" t="s">
        <v>17</v>
      </c>
      <c r="E18" s="37">
        <v>0</v>
      </c>
      <c r="F18" s="37">
        <v>0</v>
      </c>
      <c r="G18" s="37"/>
      <c r="H18" s="17">
        <f t="shared" si="0"/>
        <v>0</v>
      </c>
    </row>
    <row r="19" spans="1:8" x14ac:dyDescent="0.25">
      <c r="A19" s="14">
        <f>MAX(A$8:A18)+1</f>
        <v>11</v>
      </c>
      <c r="B19" s="15">
        <v>282</v>
      </c>
      <c r="C19" s="15" t="s">
        <v>58</v>
      </c>
      <c r="D19" s="16" t="s">
        <v>18</v>
      </c>
      <c r="E19" s="37">
        <v>-364175135.3277905</v>
      </c>
      <c r="F19" s="37">
        <v>63020426</v>
      </c>
      <c r="G19" s="67" t="s">
        <v>66</v>
      </c>
      <c r="H19" s="17">
        <f t="shared" si="0"/>
        <v>-301154709.3277905</v>
      </c>
    </row>
    <row r="20" spans="1:8" x14ac:dyDescent="0.25">
      <c r="A20" s="14">
        <f>MAX(A$8:A19)+1</f>
        <v>12</v>
      </c>
      <c r="B20" s="15">
        <v>282</v>
      </c>
      <c r="C20" s="15" t="s">
        <v>58</v>
      </c>
      <c r="D20" s="20" t="s">
        <v>62</v>
      </c>
      <c r="E20" s="37">
        <v>4039977.7294683573</v>
      </c>
      <c r="F20" s="37">
        <v>0</v>
      </c>
      <c r="G20" s="37"/>
      <c r="H20" s="17">
        <f t="shared" si="0"/>
        <v>4039977.7294683573</v>
      </c>
    </row>
    <row r="21" spans="1:8" x14ac:dyDescent="0.25">
      <c r="A21" s="14"/>
      <c r="B21" s="15"/>
      <c r="C21" s="14"/>
      <c r="D21" s="16"/>
      <c r="E21" s="23"/>
      <c r="F21" s="23"/>
      <c r="G21" s="27"/>
      <c r="H21" s="23"/>
    </row>
    <row r="22" spans="1:8" ht="16.5" thickBot="1" x14ac:dyDescent="0.3">
      <c r="A22" s="14">
        <f>MAX(A$8:A20)+1</f>
        <v>13</v>
      </c>
      <c r="C22" s="26" t="s">
        <v>59</v>
      </c>
      <c r="E22" s="65">
        <f>SUM(E9:E21)</f>
        <v>-412283849.71850044</v>
      </c>
      <c r="F22" s="65">
        <f>SUM(F9:F21)</f>
        <v>99627571.140488788</v>
      </c>
      <c r="G22" s="65"/>
      <c r="H22" s="65">
        <f>SUM(H9:H21)</f>
        <v>-312656278.57801163</v>
      </c>
    </row>
    <row r="23" spans="1:8" ht="16.5" thickTop="1" x14ac:dyDescent="0.25">
      <c r="A23" s="80"/>
      <c r="B23" s="80"/>
      <c r="C23" s="81"/>
      <c r="D23" s="81"/>
      <c r="E23" s="81"/>
      <c r="F23" s="80"/>
      <c r="G23" s="80"/>
      <c r="H23" s="80"/>
    </row>
    <row r="24" spans="1:8" x14ac:dyDescent="0.25">
      <c r="C24" s="13"/>
      <c r="D24" s="13"/>
      <c r="E24" s="13"/>
    </row>
    <row r="25" spans="1:8" x14ac:dyDescent="0.25">
      <c r="B25" s="79" t="s">
        <v>70</v>
      </c>
      <c r="C25" s="13"/>
      <c r="D25" s="13"/>
      <c r="E25" s="13"/>
    </row>
    <row r="26" spans="1:8" x14ac:dyDescent="0.25">
      <c r="C26" s="13"/>
      <c r="D26" s="13"/>
      <c r="E26" s="13"/>
    </row>
    <row r="27" spans="1:8" x14ac:dyDescent="0.25">
      <c r="C27" s="13"/>
      <c r="D27" s="13"/>
      <c r="E27" s="13"/>
    </row>
    <row r="28" spans="1:8" x14ac:dyDescent="0.25">
      <c r="C28" s="13"/>
      <c r="D28" s="13"/>
      <c r="E28" s="13"/>
    </row>
  </sheetData>
  <mergeCells count="5">
    <mergeCell ref="B8:D8"/>
    <mergeCell ref="A1:H1"/>
    <mergeCell ref="A2:H2"/>
    <mergeCell ref="A5:A6"/>
    <mergeCell ref="B5:C5"/>
  </mergeCells>
  <pageMargins left="0.2" right="0.2" top="0.75" bottom="0.75" header="0.3" footer="0.3"/>
  <pageSetup scale="96" orientation="landscape" r:id="rId1"/>
  <headerFooter>
    <oddHeader>&amp;RPUCO CaseNo. 15-795-EL-RDR
Attachment B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Lawler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C3E24-2687-4B81-B2BB-20CB1E0720D9}">
  <ds:schemaRefs>
    <ds:schemaRef ds:uri="http://purl.org/dc/elements/1.1/"/>
    <ds:schemaRef ds:uri="http://schemas.microsoft.com/office/2006/metadata/properties"/>
    <ds:schemaRef ds:uri="a1b08b4f-a83f-4c03-90bd-2a79b6ed54d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b86b3f3-0c45-4486-810b-39aa0a1cbb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3EE63F-33A0-46C7-9263-7C124A216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ABE00E-FF97-4552-BDD9-F8A32851B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Rev Req Summary</vt:lpstr>
      <vt:lpstr>13 month average calc</vt:lpstr>
      <vt:lpstr>Plant Data (Mar15)</vt:lpstr>
      <vt:lpstr>Accum Depr (Mar15)</vt:lpstr>
      <vt:lpstr>Accum Def Inc Tax (Mar15)</vt:lpstr>
      <vt:lpstr>'Plant Data (Mar15)'!Print_Area</vt:lpstr>
      <vt:lpstr>'Rev Req Summary'!Print_Area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Battery Rev Req Calc</dc:subject>
  <dc:creator>T19577</dc:creator>
  <cp:lastModifiedBy>Gates, Debbie</cp:lastModifiedBy>
  <cp:lastPrinted>2019-10-25T18:28:30Z</cp:lastPrinted>
  <dcterms:created xsi:type="dcterms:W3CDTF">2013-09-30T17:41:08Z</dcterms:created>
  <dcterms:modified xsi:type="dcterms:W3CDTF">2019-10-25T18:29:35Z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