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-120" yWindow="-120" windowWidth="29040" windowHeight="15840"/>
  </bookViews>
  <sheets>
    <sheet name="includes budget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F31" i="2"/>
  <c r="E31" i="2"/>
  <c r="G29" i="2"/>
  <c r="F29" i="2"/>
  <c r="E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C31" i="2" s="1"/>
  <c r="B15" i="2"/>
  <c r="D14" i="2"/>
  <c r="C14" i="2"/>
  <c r="B14" i="2"/>
  <c r="D13" i="2"/>
  <c r="C13" i="2"/>
  <c r="B13" i="2"/>
  <c r="D12" i="2"/>
  <c r="C12" i="2"/>
  <c r="B12" i="2"/>
  <c r="D10" i="2"/>
  <c r="C10" i="2"/>
  <c r="B10" i="2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0" i="1"/>
  <c r="C10" i="1"/>
  <c r="B10" i="1"/>
  <c r="C29" i="2" l="1"/>
  <c r="B31" i="2"/>
  <c r="B29" i="1"/>
  <c r="B29" i="2"/>
  <c r="D29" i="2"/>
  <c r="D31" i="2"/>
  <c r="C31" i="1"/>
  <c r="B31" i="1"/>
  <c r="C29" i="1"/>
  <c r="D31" i="1"/>
  <c r="D29" i="1"/>
  <c r="F31" i="1"/>
  <c r="G31" i="1" l="1"/>
  <c r="E31" i="1"/>
  <c r="E29" i="1"/>
  <c r="F29" i="1"/>
  <c r="G29" i="1"/>
</calcChain>
</file>

<file path=xl/sharedStrings.xml><?xml version="1.0" encoding="utf-8"?>
<sst xmlns="http://schemas.openxmlformats.org/spreadsheetml/2006/main" count="57" uniqueCount="30">
  <si>
    <t>Circuit Miles</t>
  </si>
  <si>
    <t>Circuit Miles and Electric Peak Load</t>
  </si>
  <si>
    <t>Construction</t>
  </si>
  <si>
    <t>CPU Seconds (MIPS)</t>
  </si>
  <si>
    <t>Customers</t>
  </si>
  <si>
    <t>Customers and Employees</t>
  </si>
  <si>
    <t>Electric Peak Load</t>
  </si>
  <si>
    <t>Employees</t>
  </si>
  <si>
    <t>Generation Capacity</t>
  </si>
  <si>
    <t>Interest</t>
  </si>
  <si>
    <t>Procurement</t>
  </si>
  <si>
    <t>Sales</t>
  </si>
  <si>
    <t>Servers</t>
  </si>
  <si>
    <t>Square Footage</t>
  </si>
  <si>
    <t>Three Factor Formula</t>
  </si>
  <si>
    <t>Workstations</t>
  </si>
  <si>
    <t>Duke Energy Kentucky</t>
  </si>
  <si>
    <t>Summarized by Allocation Basis</t>
  </si>
  <si>
    <t>Direct Charges</t>
  </si>
  <si>
    <t>Allocated Charges:</t>
  </si>
  <si>
    <t>12 Months Ended</t>
  </si>
  <si>
    <t>November 30,</t>
  </si>
  <si>
    <t>Analysis of Amounts Allocated and Directly Charged to Duke Energy Kentucky Electric from DEBS</t>
  </si>
  <si>
    <t>Accounting</t>
  </si>
  <si>
    <t>Total Allocated Charges</t>
  </si>
  <si>
    <t>Total Direct and Allocated Charges</t>
  </si>
  <si>
    <t>2019 (1)</t>
  </si>
  <si>
    <t>(1) Includes 10 Months ended September 2019</t>
  </si>
  <si>
    <t>add budget??</t>
  </si>
  <si>
    <t>(1) 10 Months Actuals ended September 2019,  Oct/Nov Budget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</si>
</sst>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1" applyNumberFormat="1" applyFont="1"/>
    <xf numFmtId="164" fontId="0" fillId="0" borderId="2" xfId="1" applyNumberFormat="1" applyFont="1" applyBorder="1"/>
    <xf numFmtId="165" fontId="0" fillId="0" borderId="0" xfId="0" applyNumberFormat="1"/>
    <xf numFmtId="165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 indent="1"/>
    </xf>
    <xf numFmtId="43" fontId="0" fillId="0" borderId="0" xfId="1" applyFont="1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65" fontId="0" fillId="0" borderId="3" xfId="2" applyNumberFormat="1" applyFont="1" applyBorder="1"/>
    <xf numFmtId="0" fontId="0" fillId="0" borderId="0" xfId="0" applyAlignment="1">
      <alignment horizontal="left" indent="2"/>
    </xf>
    <xf numFmtId="164" fontId="0" fillId="0" borderId="2" xfId="1" applyNumberFormat="1" applyFont="1" applyFill="1" applyBorder="1"/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zoomScaleNormal="100" workbookViewId="0">
      <selection activeCell="A35" sqref="A35"/>
    </sheetView>
  </sheetViews>
  <sheetFormatPr defaultRowHeight="15" x14ac:dyDescent="0.25"/>
  <cols>
    <col min="1" max="1" width="33" customWidth="1"/>
    <col min="2" max="5" width="12.5703125" bestFit="1" customWidth="1"/>
    <col min="6" max="6" width="15.42578125" customWidth="1"/>
    <col min="7" max="7" width="16.5703125" customWidth="1"/>
    <col min="11" max="11" width="14.28515625" bestFit="1" customWidth="1"/>
    <col min="12" max="12" width="14.28515625" style="7" bestFit="1" customWidth="1"/>
  </cols>
  <sheetData>
    <row r="1" spans="1:11" x14ac:dyDescent="0.25">
      <c r="A1" t="s">
        <v>16</v>
      </c>
    </row>
    <row r="2" spans="1:11" x14ac:dyDescent="0.25">
      <c r="A2" t="s">
        <v>22</v>
      </c>
    </row>
    <row r="3" spans="1:11" x14ac:dyDescent="0.25">
      <c r="A3" t="s">
        <v>17</v>
      </c>
    </row>
    <row r="7" spans="1:11" x14ac:dyDescent="0.25">
      <c r="B7" s="13" t="s">
        <v>20</v>
      </c>
      <c r="C7" s="13"/>
      <c r="D7" s="13"/>
      <c r="E7" s="13"/>
      <c r="F7" s="13"/>
      <c r="G7" s="13"/>
    </row>
    <row r="8" spans="1:11" x14ac:dyDescent="0.25">
      <c r="B8" s="13" t="s">
        <v>21</v>
      </c>
      <c r="C8" s="13"/>
      <c r="D8" s="13"/>
      <c r="E8" s="13"/>
      <c r="F8" s="13"/>
      <c r="G8" s="13"/>
    </row>
    <row r="9" spans="1:11" x14ac:dyDescent="0.25">
      <c r="B9" s="1">
        <v>2014</v>
      </c>
      <c r="C9" s="1">
        <v>2015</v>
      </c>
      <c r="D9" s="1">
        <v>2016</v>
      </c>
      <c r="E9" s="1">
        <v>2017</v>
      </c>
      <c r="F9" s="1">
        <v>2018</v>
      </c>
      <c r="G9" s="1" t="s">
        <v>26</v>
      </c>
    </row>
    <row r="10" spans="1:11" x14ac:dyDescent="0.25">
      <c r="A10" t="s">
        <v>18</v>
      </c>
      <c r="B10" s="5">
        <f>4628591.5+43448941.3+984.48+3329377.36</f>
        <v>51407894.639999993</v>
      </c>
      <c r="C10" s="5">
        <f>4451863.55+49006214.94+253184.03</f>
        <v>53711262.519999996</v>
      </c>
      <c r="D10" s="5">
        <f>4388689.06+56968184.77</f>
        <v>61356873.830000006</v>
      </c>
      <c r="E10" s="5">
        <v>82821740.859999985</v>
      </c>
      <c r="F10" s="5">
        <v>87254415.479999974</v>
      </c>
      <c r="G10" s="5">
        <v>89244736.364900008</v>
      </c>
    </row>
    <row r="11" spans="1:11" x14ac:dyDescent="0.25">
      <c r="A11" t="s">
        <v>19</v>
      </c>
      <c r="B11" s="8"/>
      <c r="C11" s="8"/>
      <c r="D11" s="8"/>
      <c r="E11" s="8"/>
      <c r="F11" s="8"/>
      <c r="G11" s="8"/>
    </row>
    <row r="12" spans="1:11" x14ac:dyDescent="0.25">
      <c r="A12" s="6" t="s">
        <v>23</v>
      </c>
      <c r="B12" s="2">
        <f>187263.08+-6787.52+1166490.93+4300.56</f>
        <v>1351267.05</v>
      </c>
      <c r="C12" s="2">
        <f>84315.7+545500.27</f>
        <v>629815.97</v>
      </c>
      <c r="D12" s="2">
        <f>40402.28+607558.18</f>
        <v>647960.46000000008</v>
      </c>
      <c r="E12" s="2">
        <v>611835.49</v>
      </c>
      <c r="F12" s="2">
        <v>652047.87</v>
      </c>
      <c r="G12" s="2">
        <v>873803.86999999988</v>
      </c>
      <c r="K12" s="7"/>
    </row>
    <row r="13" spans="1:11" x14ac:dyDescent="0.25">
      <c r="A13" s="6" t="s">
        <v>0</v>
      </c>
      <c r="B13" s="2">
        <f>22639.55+164697.18</f>
        <v>187336.72999999998</v>
      </c>
      <c r="C13" s="2">
        <f>15074.87+186.27+168199.13</f>
        <v>183460.27000000002</v>
      </c>
      <c r="D13" s="2">
        <f>18809.7+225115.11</f>
        <v>243924.81</v>
      </c>
      <c r="E13" s="2">
        <v>278831.37000000005</v>
      </c>
      <c r="F13" s="2">
        <v>362381.06000000017</v>
      </c>
      <c r="G13" s="2">
        <v>338848.3400000002</v>
      </c>
      <c r="K13" s="7"/>
    </row>
    <row r="14" spans="1:11" x14ac:dyDescent="0.25">
      <c r="A14" s="6" t="s">
        <v>1</v>
      </c>
      <c r="B14" s="2">
        <f>3421.37+9553.26</f>
        <v>12974.630000000001</v>
      </c>
      <c r="C14" s="2">
        <f>1065.14+12354.7</f>
        <v>13419.84</v>
      </c>
      <c r="D14" s="2">
        <f>1538.61+8408.63</f>
        <v>9947.24</v>
      </c>
      <c r="E14" s="2">
        <v>3463.44</v>
      </c>
      <c r="F14" s="2">
        <v>1131.1099999999999</v>
      </c>
      <c r="G14" s="2">
        <v>1097.6000000000001</v>
      </c>
    </row>
    <row r="15" spans="1:11" x14ac:dyDescent="0.25">
      <c r="A15" s="6" t="s">
        <v>2</v>
      </c>
      <c r="B15" s="2">
        <f>46392.46+1198578.58</f>
        <v>1244971.04</v>
      </c>
      <c r="C15" s="2">
        <f>100704.03+834784.13</f>
        <v>935488.16</v>
      </c>
      <c r="D15" s="2">
        <f>65359.84+1113437.63</f>
        <v>1178797.47</v>
      </c>
      <c r="E15" s="2">
        <v>2221097.1699999971</v>
      </c>
      <c r="F15" s="2">
        <v>1975944.4999999998</v>
      </c>
      <c r="G15" s="2">
        <v>1398583.3399999989</v>
      </c>
      <c r="K15" s="7"/>
    </row>
    <row r="16" spans="1:11" x14ac:dyDescent="0.25">
      <c r="A16" s="6" t="s">
        <v>3</v>
      </c>
      <c r="B16" s="2">
        <f>25554.1+178682.31</f>
        <v>204236.41</v>
      </c>
      <c r="C16" s="2">
        <f>12997.34+162207.49</f>
        <v>175204.83</v>
      </c>
      <c r="D16" s="2">
        <f>12260.82+165958.45</f>
        <v>178219.27000000002</v>
      </c>
      <c r="E16" s="2">
        <v>195534.10999999981</v>
      </c>
      <c r="F16" s="2">
        <v>181323.84999999983</v>
      </c>
      <c r="G16" s="2">
        <v>168728.57000000004</v>
      </c>
      <c r="K16" s="7"/>
    </row>
    <row r="17" spans="1:11" x14ac:dyDescent="0.25">
      <c r="A17" s="6" t="s">
        <v>4</v>
      </c>
      <c r="B17" s="2">
        <f>273934.59+3162107.03</f>
        <v>3436041.6199999996</v>
      </c>
      <c r="C17" s="2">
        <f>244959.26+3026782.38</f>
        <v>3271741.6399999997</v>
      </c>
      <c r="D17" s="2">
        <f>204324.71+2681338.7</f>
        <v>2885663.41</v>
      </c>
      <c r="E17" s="2">
        <v>2928668.5199999833</v>
      </c>
      <c r="F17" s="2">
        <v>4729130.3199999779</v>
      </c>
      <c r="G17" s="2">
        <v>5500687.4899999751</v>
      </c>
      <c r="K17" s="7"/>
    </row>
    <row r="18" spans="1:11" x14ac:dyDescent="0.25">
      <c r="A18" s="6" t="s">
        <v>5</v>
      </c>
      <c r="B18" s="2">
        <f>846.61+55396.61</f>
        <v>56243.22</v>
      </c>
      <c r="C18" s="2">
        <f>841.69+57695.56</f>
        <v>58537.25</v>
      </c>
      <c r="D18" s="2">
        <f>600.91+58756.95</f>
        <v>59357.86</v>
      </c>
      <c r="E18" s="2">
        <v>48187.720000000023</v>
      </c>
      <c r="F18" s="2">
        <v>42956.479999999989</v>
      </c>
      <c r="G18" s="2">
        <v>42997.500000000007</v>
      </c>
      <c r="K18" s="7"/>
    </row>
    <row r="19" spans="1:11" x14ac:dyDescent="0.25">
      <c r="A19" s="6" t="s">
        <v>6</v>
      </c>
      <c r="B19" s="2">
        <f>402.89+5206.63</f>
        <v>5609.52</v>
      </c>
      <c r="C19" s="2">
        <f>190.42+2463.29</f>
        <v>2653.71</v>
      </c>
      <c r="D19" s="2">
        <f>281.57+4347.69</f>
        <v>4629.2599999999993</v>
      </c>
      <c r="E19" s="2">
        <v>4127.6899999999987</v>
      </c>
      <c r="F19" s="2">
        <v>1519.6300000000003</v>
      </c>
      <c r="G19" s="2">
        <v>1289.1199999999994</v>
      </c>
      <c r="K19" s="7"/>
    </row>
    <row r="20" spans="1:11" x14ac:dyDescent="0.25">
      <c r="A20" s="6" t="s">
        <v>7</v>
      </c>
      <c r="B20" s="2">
        <f>112919.22+3281.32+778770</f>
        <v>894970.54</v>
      </c>
      <c r="C20" s="2">
        <f>86981.45+716106.1</f>
        <v>803087.54999999993</v>
      </c>
      <c r="D20" s="2">
        <f>86950.35+745001.03</f>
        <v>831951.38</v>
      </c>
      <c r="E20" s="2">
        <v>647606.02000002179</v>
      </c>
      <c r="F20" s="2">
        <v>630851.28000000666</v>
      </c>
      <c r="G20" s="2">
        <v>578936.82000000693</v>
      </c>
    </row>
    <row r="21" spans="1:11" x14ac:dyDescent="0.25">
      <c r="A21" s="6" t="s">
        <v>8</v>
      </c>
      <c r="B21" s="2">
        <f>87179.33+1190376.23</f>
        <v>1277555.56</v>
      </c>
      <c r="C21" s="2">
        <f>99312.41+974170.04</f>
        <v>1073482.45</v>
      </c>
      <c r="D21" s="2">
        <f>39541.53+1053842.27</f>
        <v>1093383.8</v>
      </c>
      <c r="E21" s="2">
        <v>1342014.5000000014</v>
      </c>
      <c r="F21" s="2">
        <v>1218561.7900000012</v>
      </c>
      <c r="G21" s="2">
        <v>1195484.2100000011</v>
      </c>
    </row>
    <row r="22" spans="1:11" x14ac:dyDescent="0.25">
      <c r="A22" s="6" t="s">
        <v>9</v>
      </c>
      <c r="B22" s="2">
        <f>3197.82+35031.83</f>
        <v>38229.65</v>
      </c>
      <c r="C22" s="2">
        <f>2486.78+60664.23</f>
        <v>63151.01</v>
      </c>
      <c r="D22" s="2">
        <f>8254.47+60398.2</f>
        <v>68652.67</v>
      </c>
      <c r="E22" s="2">
        <v>102465.72</v>
      </c>
      <c r="F22" s="2">
        <v>274678.26000000007</v>
      </c>
      <c r="G22" s="2">
        <v>264689.52999999997</v>
      </c>
    </row>
    <row r="23" spans="1:11" x14ac:dyDescent="0.25">
      <c r="A23" s="6" t="s">
        <v>10</v>
      </c>
      <c r="B23" s="2">
        <f>39897.07+998.38+332287.73</f>
        <v>373183.18</v>
      </c>
      <c r="C23" s="2">
        <f>43387.19+459403.76</f>
        <v>502790.95</v>
      </c>
      <c r="D23" s="2">
        <f>49533.15+717571.12</f>
        <v>767104.27</v>
      </c>
      <c r="E23" s="2">
        <v>649184.26000000304</v>
      </c>
      <c r="F23" s="2">
        <v>726767.5899999988</v>
      </c>
      <c r="G23" s="2">
        <v>1014958.0200000019</v>
      </c>
    </row>
    <row r="24" spans="1:11" x14ac:dyDescent="0.25">
      <c r="A24" s="6" t="s">
        <v>11</v>
      </c>
      <c r="B24" s="2">
        <f>59549.6+266933.54</f>
        <v>326483.13999999996</v>
      </c>
      <c r="C24" s="2">
        <f>38927.85+122079.58</f>
        <v>161007.43</v>
      </c>
      <c r="D24" s="2">
        <f>-1499.97+57733.59</f>
        <v>56233.619999999995</v>
      </c>
      <c r="E24" s="2">
        <v>99045.489999999889</v>
      </c>
      <c r="F24" s="2">
        <v>106646.61999999998</v>
      </c>
      <c r="G24" s="2">
        <v>110368.63000000003</v>
      </c>
    </row>
    <row r="25" spans="1:11" x14ac:dyDescent="0.25">
      <c r="A25" s="6" t="s">
        <v>12</v>
      </c>
      <c r="B25" s="2">
        <f>94781.72+726763.1</f>
        <v>821544.82</v>
      </c>
      <c r="C25" s="2">
        <f>88403.2+583042.11</f>
        <v>671445.30999999994</v>
      </c>
      <c r="D25" s="2">
        <f>56444.94+534386.14</f>
        <v>590831.08000000007</v>
      </c>
      <c r="E25" s="2">
        <v>493985.86000000185</v>
      </c>
      <c r="F25" s="2">
        <v>567023.29</v>
      </c>
      <c r="G25" s="2">
        <v>323614.070000001</v>
      </c>
    </row>
    <row r="26" spans="1:11" x14ac:dyDescent="0.25">
      <c r="A26" s="6" t="s">
        <v>13</v>
      </c>
      <c r="B26" s="2">
        <f>33043.16+261.63+332106.52</f>
        <v>365411.31</v>
      </c>
      <c r="C26" s="2">
        <f>32378.66+173828.22</f>
        <v>206206.88</v>
      </c>
      <c r="D26" s="2">
        <f>18310.86+76170.68</f>
        <v>94481.54</v>
      </c>
      <c r="E26" s="2">
        <v>116466.34999999986</v>
      </c>
      <c r="F26" s="2">
        <v>127136.64999999985</v>
      </c>
      <c r="G26" s="2">
        <v>90617.919999999925</v>
      </c>
    </row>
    <row r="27" spans="1:11" x14ac:dyDescent="0.25">
      <c r="A27" s="6" t="s">
        <v>14</v>
      </c>
      <c r="B27" s="2">
        <f>857102.06+49843.56+6408612.89</f>
        <v>7315558.5099999998</v>
      </c>
      <c r="C27" s="2">
        <f>736756.75+5981569.39</f>
        <v>6718326.1399999997</v>
      </c>
      <c r="D27" s="2">
        <f>904564.44+5136678.73</f>
        <v>6041243.1699999999</v>
      </c>
      <c r="E27" s="2">
        <v>6059630.9800000023</v>
      </c>
      <c r="F27" s="2">
        <v>4911047.6999999909</v>
      </c>
      <c r="G27" s="2">
        <v>5497943.5700000077</v>
      </c>
    </row>
    <row r="28" spans="1:11" x14ac:dyDescent="0.25">
      <c r="A28" s="6" t="s">
        <v>15</v>
      </c>
      <c r="B28" s="3">
        <f>10815.73+47590.3</f>
        <v>58406.03</v>
      </c>
      <c r="C28" s="3">
        <f>3749.51+33110.41</f>
        <v>36859.920000000006</v>
      </c>
      <c r="D28" s="12">
        <f>3241.16+36183.96</f>
        <v>39425.119999999995</v>
      </c>
      <c r="E28" s="3">
        <v>491775.55000002158</v>
      </c>
      <c r="F28" s="3">
        <v>550516.35000000824</v>
      </c>
      <c r="G28" s="3">
        <v>653750.39000002609</v>
      </c>
    </row>
    <row r="29" spans="1:11" x14ac:dyDescent="0.25">
      <c r="A29" s="11" t="s">
        <v>24</v>
      </c>
      <c r="B29" s="2">
        <f t="shared" ref="B29:G29" si="0">SUM(B12:B28)</f>
        <v>17970022.960000001</v>
      </c>
      <c r="C29" s="2">
        <f t="shared" si="0"/>
        <v>15506679.310000001</v>
      </c>
      <c r="D29" s="2">
        <f t="shared" si="0"/>
        <v>14791806.43</v>
      </c>
      <c r="E29" s="2">
        <f t="shared" si="0"/>
        <v>16293920.24000003</v>
      </c>
      <c r="F29" s="2">
        <f t="shared" si="0"/>
        <v>17059664.349999983</v>
      </c>
      <c r="G29" s="2">
        <f t="shared" si="0"/>
        <v>18056398.990000021</v>
      </c>
    </row>
    <row r="30" spans="1:11" ht="6" customHeight="1" x14ac:dyDescent="0.25">
      <c r="B30" s="3"/>
      <c r="C30" s="3"/>
      <c r="D30" s="3"/>
      <c r="E30" s="3"/>
      <c r="F30" s="3"/>
      <c r="G30" s="3"/>
    </row>
    <row r="31" spans="1:11" ht="15.75" thickBot="1" x14ac:dyDescent="0.3">
      <c r="A31" s="9" t="s">
        <v>25</v>
      </c>
      <c r="B31" s="10">
        <f t="shared" ref="B31:G31" si="1">SUM(B12:B28)+B10</f>
        <v>69377917.599999994</v>
      </c>
      <c r="C31" s="10">
        <f t="shared" si="1"/>
        <v>69217941.829999998</v>
      </c>
      <c r="D31" s="10">
        <f t="shared" si="1"/>
        <v>76148680.260000005</v>
      </c>
      <c r="E31" s="10">
        <f t="shared" si="1"/>
        <v>99115661.100000009</v>
      </c>
      <c r="F31" s="10">
        <f t="shared" si="1"/>
        <v>104314079.82999995</v>
      </c>
      <c r="G31" s="10">
        <f t="shared" si="1"/>
        <v>107301135.35490003</v>
      </c>
    </row>
    <row r="32" spans="1:11" ht="15.75" thickTop="1" x14ac:dyDescent="0.25"/>
    <row r="33" spans="1:7" x14ac:dyDescent="0.25">
      <c r="B33" s="4"/>
      <c r="C33" s="4"/>
      <c r="D33" s="4"/>
      <c r="E33" s="4"/>
      <c r="F33" s="4"/>
      <c r="G33" s="4"/>
    </row>
    <row r="35" spans="1:7" x14ac:dyDescent="0.25">
      <c r="A35" t="s">
        <v>29</v>
      </c>
    </row>
  </sheetData>
  <mergeCells count="2">
    <mergeCell ref="B7:G7"/>
    <mergeCell ref="B8:G8"/>
  </mergeCells>
  <pageMargins left="0.7" right="0.7" top="0.75" bottom="0.75" header="0.3" footer="0.3"/>
  <pageSetup orientation="landscape" r:id="rId1"/>
  <headerFooter>
    <oddHeader>&amp;R&amp;"Times New Roman,Bold"KyPSC Case No. 2019-00271
STAFF-DR-02-004(b)(f)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Layout" zoomScaleNormal="100" workbookViewId="0">
      <selection activeCell="D36" sqref="D36"/>
    </sheetView>
  </sheetViews>
  <sheetFormatPr defaultRowHeight="15" x14ac:dyDescent="0.25"/>
  <cols>
    <col min="1" max="1" width="33" customWidth="1"/>
    <col min="2" max="5" width="12.5703125" bestFit="1" customWidth="1"/>
    <col min="6" max="6" width="15.42578125" customWidth="1"/>
    <col min="7" max="7" width="12.5703125" bestFit="1" customWidth="1"/>
    <col min="11" max="11" width="14.28515625" bestFit="1" customWidth="1"/>
    <col min="12" max="12" width="14.28515625" style="7" bestFit="1" customWidth="1"/>
  </cols>
  <sheetData>
    <row r="1" spans="1:11" x14ac:dyDescent="0.25">
      <c r="A1" t="s">
        <v>16</v>
      </c>
    </row>
    <row r="2" spans="1:11" x14ac:dyDescent="0.25">
      <c r="A2" t="s">
        <v>22</v>
      </c>
    </row>
    <row r="3" spans="1:11" x14ac:dyDescent="0.25">
      <c r="A3" t="s">
        <v>17</v>
      </c>
    </row>
    <row r="7" spans="1:11" x14ac:dyDescent="0.25">
      <c r="B7" s="13" t="s">
        <v>20</v>
      </c>
      <c r="C7" s="13"/>
      <c r="D7" s="13"/>
      <c r="E7" s="13"/>
      <c r="F7" s="13"/>
      <c r="G7" s="13"/>
    </row>
    <row r="8" spans="1:11" x14ac:dyDescent="0.25">
      <c r="B8" s="13" t="s">
        <v>21</v>
      </c>
      <c r="C8" s="13"/>
      <c r="D8" s="13"/>
      <c r="E8" s="13"/>
      <c r="F8" s="13"/>
      <c r="G8" s="13"/>
    </row>
    <row r="9" spans="1:11" x14ac:dyDescent="0.25">
      <c r="B9" s="1">
        <v>2014</v>
      </c>
      <c r="C9" s="1">
        <v>2015</v>
      </c>
      <c r="D9" s="1">
        <v>2016</v>
      </c>
      <c r="E9" s="1">
        <v>2017</v>
      </c>
      <c r="F9" s="1">
        <v>2018</v>
      </c>
      <c r="G9" s="1" t="s">
        <v>26</v>
      </c>
    </row>
    <row r="10" spans="1:11" x14ac:dyDescent="0.25">
      <c r="A10" t="s">
        <v>18</v>
      </c>
      <c r="B10" s="5">
        <f>4628591.5+43448941.3+984.48+3329377.36</f>
        <v>51407894.639999993</v>
      </c>
      <c r="C10" s="5">
        <f>4451863.55+49006214.94+253184.03</f>
        <v>53711262.519999996</v>
      </c>
      <c r="D10" s="5">
        <f>4388689.06+56968184.77</f>
        <v>61356873.830000006</v>
      </c>
      <c r="E10" s="5">
        <v>82821740.859999985</v>
      </c>
      <c r="F10" s="5">
        <v>87254415.479999974</v>
      </c>
      <c r="G10" s="5">
        <v>80966185.909999996</v>
      </c>
      <c r="H10" t="s">
        <v>28</v>
      </c>
    </row>
    <row r="11" spans="1:11" x14ac:dyDescent="0.25">
      <c r="A11" t="s">
        <v>19</v>
      </c>
      <c r="B11" s="8"/>
      <c r="C11" s="8"/>
      <c r="D11" s="8"/>
      <c r="E11" s="8"/>
      <c r="F11" s="8"/>
      <c r="G11" s="8"/>
    </row>
    <row r="12" spans="1:11" x14ac:dyDescent="0.25">
      <c r="A12" s="6" t="s">
        <v>23</v>
      </c>
      <c r="B12" s="2">
        <f>187263.08+-6787.52+1166490.93+4300.56</f>
        <v>1351267.05</v>
      </c>
      <c r="C12" s="2">
        <f>84315.7+545500.27</f>
        <v>629815.97</v>
      </c>
      <c r="D12" s="2">
        <f>40402.28+607558.18</f>
        <v>647960.46000000008</v>
      </c>
      <c r="E12" s="2">
        <v>611835.49</v>
      </c>
      <c r="F12" s="2">
        <v>652047.87</v>
      </c>
      <c r="G12" s="2">
        <v>703138.54</v>
      </c>
      <c r="K12" s="7"/>
    </row>
    <row r="13" spans="1:11" x14ac:dyDescent="0.25">
      <c r="A13" s="6" t="s">
        <v>0</v>
      </c>
      <c r="B13" s="2">
        <f>22639.55+164697.18</f>
        <v>187336.72999999998</v>
      </c>
      <c r="C13" s="2">
        <f>15074.87+186.27+168199.13</f>
        <v>183460.27000000002</v>
      </c>
      <c r="D13" s="2">
        <f>18809.7+225115.11</f>
        <v>243924.81</v>
      </c>
      <c r="E13" s="2">
        <v>278831.37000000005</v>
      </c>
      <c r="F13" s="2">
        <v>362381.06000000017</v>
      </c>
      <c r="G13" s="2">
        <v>305933.27</v>
      </c>
      <c r="K13" s="7"/>
    </row>
    <row r="14" spans="1:11" x14ac:dyDescent="0.25">
      <c r="A14" s="6" t="s">
        <v>1</v>
      </c>
      <c r="B14" s="2">
        <f>3421.37+9553.26</f>
        <v>12974.630000000001</v>
      </c>
      <c r="C14" s="2">
        <f>1065.14+12354.7</f>
        <v>13419.84</v>
      </c>
      <c r="D14" s="2">
        <f>1538.61+8408.63</f>
        <v>9947.24</v>
      </c>
      <c r="E14" s="2">
        <v>3463.44</v>
      </c>
      <c r="F14" s="2">
        <v>1131.1099999999999</v>
      </c>
      <c r="G14" s="2">
        <v>1097.6000000000001</v>
      </c>
    </row>
    <row r="15" spans="1:11" x14ac:dyDescent="0.25">
      <c r="A15" s="6" t="s">
        <v>2</v>
      </c>
      <c r="B15" s="2">
        <f>46392.46+1198578.58</f>
        <v>1244971.04</v>
      </c>
      <c r="C15" s="2">
        <f>100704.03+834784.13</f>
        <v>935488.16</v>
      </c>
      <c r="D15" s="2">
        <f>65359.84+1113437.63</f>
        <v>1178797.47</v>
      </c>
      <c r="E15" s="2">
        <v>2221097.1699999971</v>
      </c>
      <c r="F15" s="2">
        <v>1975944.4999999998</v>
      </c>
      <c r="G15" s="2">
        <v>1192555.5599999996</v>
      </c>
      <c r="K15" s="7"/>
    </row>
    <row r="16" spans="1:11" x14ac:dyDescent="0.25">
      <c r="A16" s="6" t="s">
        <v>3</v>
      </c>
      <c r="B16" s="2">
        <f>25554.1+178682.31</f>
        <v>204236.41</v>
      </c>
      <c r="C16" s="2">
        <f>12997.34+162207.49</f>
        <v>175204.83</v>
      </c>
      <c r="D16" s="2">
        <f>12260.82+165958.45</f>
        <v>178219.27000000002</v>
      </c>
      <c r="E16" s="2">
        <v>195534.10999999981</v>
      </c>
      <c r="F16" s="2">
        <v>181323.84999999983</v>
      </c>
      <c r="G16" s="2">
        <v>140431.18999999994</v>
      </c>
      <c r="K16" s="7"/>
    </row>
    <row r="17" spans="1:11" x14ac:dyDescent="0.25">
      <c r="A17" s="6" t="s">
        <v>4</v>
      </c>
      <c r="B17" s="2">
        <f>273934.59+3162107.03</f>
        <v>3436041.6199999996</v>
      </c>
      <c r="C17" s="2">
        <f>244959.26+3026782.38</f>
        <v>3271741.6399999997</v>
      </c>
      <c r="D17" s="2">
        <f>204324.71+2681338.7</f>
        <v>2885663.41</v>
      </c>
      <c r="E17" s="2">
        <v>2928668.5199999833</v>
      </c>
      <c r="F17" s="2">
        <v>4729130.3199999779</v>
      </c>
      <c r="G17" s="2">
        <v>5216641.9099999787</v>
      </c>
      <c r="K17" s="7"/>
    </row>
    <row r="18" spans="1:11" x14ac:dyDescent="0.25">
      <c r="A18" s="6" t="s">
        <v>5</v>
      </c>
      <c r="B18" s="2">
        <f>846.61+55396.61</f>
        <v>56243.22</v>
      </c>
      <c r="C18" s="2">
        <f>841.69+57695.56</f>
        <v>58537.25</v>
      </c>
      <c r="D18" s="2">
        <f>600.91+58756.95</f>
        <v>59357.86</v>
      </c>
      <c r="E18" s="2">
        <v>48187.720000000023</v>
      </c>
      <c r="F18" s="2">
        <v>42956.479999999989</v>
      </c>
      <c r="G18" s="2">
        <v>42997.500000000007</v>
      </c>
      <c r="K18" s="7"/>
    </row>
    <row r="19" spans="1:11" x14ac:dyDescent="0.25">
      <c r="A19" s="6" t="s">
        <v>6</v>
      </c>
      <c r="B19" s="2">
        <f>402.89+5206.63</f>
        <v>5609.52</v>
      </c>
      <c r="C19" s="2">
        <f>190.42+2463.29</f>
        <v>2653.71</v>
      </c>
      <c r="D19" s="2">
        <f>281.57+4347.69</f>
        <v>4629.2599999999993</v>
      </c>
      <c r="E19" s="2">
        <v>4127.6899999999987</v>
      </c>
      <c r="F19" s="2">
        <v>1519.6300000000003</v>
      </c>
      <c r="G19" s="2">
        <v>1245.5799999999995</v>
      </c>
      <c r="K19" s="7"/>
    </row>
    <row r="20" spans="1:11" x14ac:dyDescent="0.25">
      <c r="A20" s="6" t="s">
        <v>7</v>
      </c>
      <c r="B20" s="2">
        <f>112919.22+3281.32+778770</f>
        <v>894970.54</v>
      </c>
      <c r="C20" s="2">
        <f>86981.45+716106.1</f>
        <v>803087.54999999993</v>
      </c>
      <c r="D20" s="2">
        <f>86950.35+745001.03</f>
        <v>831951.38</v>
      </c>
      <c r="E20" s="2">
        <v>647606.02000002179</v>
      </c>
      <c r="F20" s="2">
        <v>630851.28000000666</v>
      </c>
      <c r="G20" s="2">
        <v>469630.76000000536</v>
      </c>
    </row>
    <row r="21" spans="1:11" x14ac:dyDescent="0.25">
      <c r="A21" s="6" t="s">
        <v>8</v>
      </c>
      <c r="B21" s="2">
        <f>87179.33+1190376.23</f>
        <v>1277555.56</v>
      </c>
      <c r="C21" s="2">
        <f>99312.41+974170.04</f>
        <v>1073482.45</v>
      </c>
      <c r="D21" s="2">
        <f>39541.53+1053842.27</f>
        <v>1093383.8</v>
      </c>
      <c r="E21" s="2">
        <v>1342014.5000000014</v>
      </c>
      <c r="F21" s="2">
        <v>1218561.7900000012</v>
      </c>
      <c r="G21" s="2">
        <v>1004004.5299999957</v>
      </c>
    </row>
    <row r="22" spans="1:11" x14ac:dyDescent="0.25">
      <c r="A22" s="6" t="s">
        <v>9</v>
      </c>
      <c r="B22" s="2">
        <f>3197.82+35031.83</f>
        <v>38229.65</v>
      </c>
      <c r="C22" s="2">
        <f>2486.78+60664.23</f>
        <v>63151.01</v>
      </c>
      <c r="D22" s="2">
        <f>8254.47+60398.2</f>
        <v>68652.67</v>
      </c>
      <c r="E22" s="2">
        <v>102465.72</v>
      </c>
      <c r="F22" s="2">
        <v>274678.26000000007</v>
      </c>
      <c r="G22" s="2">
        <v>264689.52999999997</v>
      </c>
    </row>
    <row r="23" spans="1:11" x14ac:dyDescent="0.25">
      <c r="A23" s="6" t="s">
        <v>10</v>
      </c>
      <c r="B23" s="2">
        <f>39897.07+998.38+332287.73</f>
        <v>373183.18</v>
      </c>
      <c r="C23" s="2">
        <f>43387.19+459403.76</f>
        <v>502790.95</v>
      </c>
      <c r="D23" s="2">
        <f>49533.15+717571.12</f>
        <v>767104.27</v>
      </c>
      <c r="E23" s="2">
        <v>649184.26000000304</v>
      </c>
      <c r="F23" s="2">
        <v>726767.5899999988</v>
      </c>
      <c r="G23" s="2">
        <v>905569.970000003</v>
      </c>
    </row>
    <row r="24" spans="1:11" x14ac:dyDescent="0.25">
      <c r="A24" s="6" t="s">
        <v>11</v>
      </c>
      <c r="B24" s="2">
        <f>59549.6+266933.54</f>
        <v>326483.13999999996</v>
      </c>
      <c r="C24" s="2">
        <f>38927.85+122079.58</f>
        <v>161007.43</v>
      </c>
      <c r="D24" s="2">
        <f>-1499.97+57733.59</f>
        <v>56233.619999999995</v>
      </c>
      <c r="E24" s="2">
        <v>99045.489999999889</v>
      </c>
      <c r="F24" s="2">
        <v>106646.61999999998</v>
      </c>
      <c r="G24" s="2">
        <v>109945.93000000004</v>
      </c>
    </row>
    <row r="25" spans="1:11" x14ac:dyDescent="0.25">
      <c r="A25" s="6" t="s">
        <v>12</v>
      </c>
      <c r="B25" s="2">
        <f>94781.72+726763.1</f>
        <v>821544.82</v>
      </c>
      <c r="C25" s="2">
        <f>88403.2+583042.11</f>
        <v>671445.30999999994</v>
      </c>
      <c r="D25" s="2">
        <f>56444.94+534386.14</f>
        <v>590831.08000000007</v>
      </c>
      <c r="E25" s="2">
        <v>493985.86000000185</v>
      </c>
      <c r="F25" s="2">
        <v>567023.29</v>
      </c>
      <c r="G25" s="2">
        <v>349076.30000000115</v>
      </c>
    </row>
    <row r="26" spans="1:11" x14ac:dyDescent="0.25">
      <c r="A26" s="6" t="s">
        <v>13</v>
      </c>
      <c r="B26" s="2">
        <f>33043.16+261.63+332106.52</f>
        <v>365411.31</v>
      </c>
      <c r="C26" s="2">
        <f>32378.66+173828.22</f>
        <v>206206.88</v>
      </c>
      <c r="D26" s="2">
        <f>18310.86+76170.68</f>
        <v>94481.54</v>
      </c>
      <c r="E26" s="2">
        <v>116466.34999999986</v>
      </c>
      <c r="F26" s="2">
        <v>127136.64999999985</v>
      </c>
      <c r="G26" s="2">
        <v>80187.199999999953</v>
      </c>
    </row>
    <row r="27" spans="1:11" x14ac:dyDescent="0.25">
      <c r="A27" s="6" t="s">
        <v>14</v>
      </c>
      <c r="B27" s="2">
        <f>857102.06+49843.56+6408612.89</f>
        <v>7315558.5099999998</v>
      </c>
      <c r="C27" s="2">
        <f>736756.75+5981569.39</f>
        <v>6718326.1399999997</v>
      </c>
      <c r="D27" s="2">
        <f>904564.44+5136678.73</f>
        <v>6041243.1699999999</v>
      </c>
      <c r="E27" s="2">
        <v>6059630.9800000023</v>
      </c>
      <c r="F27" s="2">
        <v>4911047.6999999909</v>
      </c>
      <c r="G27" s="2">
        <v>4746123.5500000017</v>
      </c>
    </row>
    <row r="28" spans="1:11" x14ac:dyDescent="0.25">
      <c r="A28" s="6" t="s">
        <v>15</v>
      </c>
      <c r="B28" s="3">
        <f>10815.73+47590.3</f>
        <v>58406.03</v>
      </c>
      <c r="C28" s="3">
        <f>3749.51+33110.41</f>
        <v>36859.920000000006</v>
      </c>
      <c r="D28" s="12">
        <f>3241.16+36183.96</f>
        <v>39425.119999999995</v>
      </c>
      <c r="E28" s="3">
        <v>491775.55000002158</v>
      </c>
      <c r="F28" s="3">
        <v>550516.35000000824</v>
      </c>
      <c r="G28" s="3">
        <v>517915.52000001515</v>
      </c>
    </row>
    <row r="29" spans="1:11" x14ac:dyDescent="0.25">
      <c r="A29" s="11" t="s">
        <v>24</v>
      </c>
      <c r="B29" s="2">
        <f t="shared" ref="B29:G29" si="0">SUM(B12:B28)</f>
        <v>17970022.960000001</v>
      </c>
      <c r="C29" s="2">
        <f t="shared" si="0"/>
        <v>15506679.310000001</v>
      </c>
      <c r="D29" s="2">
        <f t="shared" si="0"/>
        <v>14791806.43</v>
      </c>
      <c r="E29" s="2">
        <f t="shared" si="0"/>
        <v>16293920.24000003</v>
      </c>
      <c r="F29" s="2">
        <f t="shared" si="0"/>
        <v>17059664.349999983</v>
      </c>
      <c r="G29" s="2">
        <f t="shared" si="0"/>
        <v>16051184.439999998</v>
      </c>
    </row>
    <row r="30" spans="1:11" ht="6" customHeight="1" x14ac:dyDescent="0.25">
      <c r="B30" s="3"/>
      <c r="C30" s="3"/>
      <c r="D30" s="3"/>
      <c r="E30" s="3"/>
      <c r="F30" s="3"/>
      <c r="G30" s="3"/>
    </row>
    <row r="31" spans="1:11" ht="15.75" thickBot="1" x14ac:dyDescent="0.3">
      <c r="A31" s="9" t="s">
        <v>25</v>
      </c>
      <c r="B31" s="10">
        <f t="shared" ref="B31:G31" si="1">SUM(B12:B28)+B10</f>
        <v>69377917.599999994</v>
      </c>
      <c r="C31" s="10">
        <f t="shared" si="1"/>
        <v>69217941.829999998</v>
      </c>
      <c r="D31" s="10">
        <f t="shared" si="1"/>
        <v>76148680.260000005</v>
      </c>
      <c r="E31" s="10">
        <f t="shared" si="1"/>
        <v>99115661.100000009</v>
      </c>
      <c r="F31" s="10">
        <f t="shared" si="1"/>
        <v>104314079.82999995</v>
      </c>
      <c r="G31" s="10">
        <f t="shared" si="1"/>
        <v>97017370.349999994</v>
      </c>
    </row>
    <row r="32" spans="1:11" ht="15.75" thickTop="1" x14ac:dyDescent="0.25"/>
    <row r="33" spans="1:7" x14ac:dyDescent="0.25">
      <c r="B33" s="4"/>
      <c r="C33" s="4"/>
      <c r="D33" s="4"/>
      <c r="E33" s="4"/>
      <c r="F33" s="4"/>
      <c r="G33" s="4"/>
    </row>
    <row r="35" spans="1:7" x14ac:dyDescent="0.25">
      <c r="A35" t="s">
        <v>27</v>
      </c>
    </row>
  </sheetData>
  <mergeCells count="2">
    <mergeCell ref="B7:G7"/>
    <mergeCell ref="B8:G8"/>
  </mergeCells>
  <pageMargins left="0.7" right="0.7" top="0.75" bottom="0.75" header="0.3" footer="0.3"/>
  <pageSetup scale="94" orientation="landscape" r:id="rId1"/>
  <headerFooter>
    <oddHeader>&amp;R&amp;"Times New Roman,Bold"KyPSC Case No. 2019-00271
STAFF-DR-02-004(b)(f) Attachment
Page &amp;P of &amp;N</oddHead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084B58A6-8551-4BFB-91C8-D06FD4F44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10BDF-D25B-4E7C-9534-59E3FB7A7D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B3169-15FD-45EE-847B-82CAD65C46B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includes budget</vt:lpstr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Scrivanich, Amy B</dc:creator>
  <cp:lastModifiedBy>Gates, Debbie</cp:lastModifiedBy>
  <cp:lastPrinted>2019-10-28T13:47:24Z</cp:lastPrinted>
  <dcterms:created xsi:type="dcterms:W3CDTF">2017-07-26T16:30:10Z</dcterms:created>
  <dcterms:modified xsi:type="dcterms:W3CDTF">2019-10-28T13:49:49Z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0x01010009E323CE4F42204A9B662899E3EA5D1A</vt:lpwstr>
  </property>
</Properties>
</file>