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-12" yWindow="-12" windowWidth="25236" windowHeight="6180"/>
  </bookViews>
  <sheets>
    <sheet name="Pole Attachment ADMIN 251" sheetId="7" r:id="rId1"/>
    <sheet name="DEK Deferred Tax Calc - Pole " sheetId="5" r:id="rId2"/>
  </sheets>
  <definedNames>
    <definedName name="_xlnm.Print_Area" localSheetId="0">'Pole Attachment ADMIN 251'!$A$1:$J$30</definedName>
  </definedNames>
  <calcPr calcId="171027"/>
</workbook>
</file>

<file path=xl/calcChain.xml><?xml version="1.0" encoding="utf-8"?>
<calcChain xmlns="http://schemas.openxmlformats.org/spreadsheetml/2006/main">
  <c r="G36" i="7" l="1"/>
  <c r="H36" i="7" s="1"/>
  <c r="I36" i="7" s="1"/>
  <c r="J36" i="7" s="1"/>
  <c r="G37" i="7"/>
  <c r="H37" i="7" s="1"/>
  <c r="I37" i="7" s="1"/>
  <c r="J37" i="7" s="1"/>
  <c r="G38" i="7"/>
  <c r="H38" i="7"/>
  <c r="I38" i="7" s="1"/>
  <c r="J38" i="7" s="1"/>
  <c r="H61" i="7" l="1"/>
  <c r="I61" i="7" s="1"/>
  <c r="J61" i="7" s="1"/>
  <c r="G61" i="7"/>
  <c r="G44" i="7" l="1"/>
  <c r="H44" i="7" s="1"/>
  <c r="I44" i="7" s="1"/>
  <c r="J44" i="7" s="1"/>
  <c r="G40" i="7" l="1"/>
  <c r="H40" i="7" s="1"/>
  <c r="I40" i="7" s="1"/>
  <c r="J40" i="7" s="1"/>
  <c r="P10" i="7" l="1"/>
  <c r="Q10" i="7"/>
  <c r="P11" i="7"/>
  <c r="P15" i="7" s="1"/>
  <c r="P13" i="7" l="1"/>
  <c r="P12" i="7"/>
  <c r="P14" i="7"/>
  <c r="G45" i="7"/>
  <c r="G41" i="7"/>
  <c r="H41" i="7" s="1"/>
  <c r="I41" i="7" s="1"/>
  <c r="J41" i="7" s="1"/>
  <c r="G50" i="7"/>
  <c r="H50" i="7" s="1"/>
  <c r="I50" i="7" s="1"/>
  <c r="J50" i="7" s="1"/>
  <c r="G48" i="7"/>
  <c r="H48" i="7" s="1"/>
  <c r="I48" i="7" s="1"/>
  <c r="J48" i="7" s="1"/>
  <c r="G49" i="7"/>
  <c r="H49" i="7" s="1"/>
  <c r="I49" i="7" s="1"/>
  <c r="J49" i="7" s="1"/>
  <c r="G56" i="7"/>
  <c r="H56" i="7" s="1"/>
  <c r="I56" i="7" s="1"/>
  <c r="J56" i="7" s="1"/>
  <c r="G55" i="7"/>
  <c r="H55" i="7" s="1"/>
  <c r="I55" i="7" s="1"/>
  <c r="J55" i="7" s="1"/>
  <c r="G54" i="7"/>
  <c r="H54" i="7" s="1"/>
  <c r="I54" i="7" s="1"/>
  <c r="J54" i="7" s="1"/>
  <c r="G53" i="7"/>
  <c r="H53" i="7" s="1"/>
  <c r="I53" i="7" s="1"/>
  <c r="J53" i="7" s="1"/>
  <c r="G52" i="7"/>
  <c r="H52" i="7" s="1"/>
  <c r="I52" i="7" s="1"/>
  <c r="J52" i="7" s="1"/>
  <c r="G51" i="7"/>
  <c r="H51" i="7" s="1"/>
  <c r="I51" i="7" s="1"/>
  <c r="J51" i="7" s="1"/>
  <c r="G47" i="7"/>
  <c r="H47" i="7" s="1"/>
  <c r="I47" i="7" s="1"/>
  <c r="J47" i="7" s="1"/>
  <c r="G46" i="7"/>
  <c r="H46" i="7" s="1"/>
  <c r="I46" i="7" s="1"/>
  <c r="J46" i="7" s="1"/>
  <c r="G43" i="7"/>
  <c r="H43" i="7" s="1"/>
  <c r="I43" i="7" s="1"/>
  <c r="J43" i="7" s="1"/>
  <c r="G42" i="7"/>
  <c r="H42" i="7" s="1"/>
  <c r="I42" i="7" s="1"/>
  <c r="J42" i="7" s="1"/>
  <c r="G39" i="7"/>
  <c r="H39" i="7" s="1"/>
  <c r="I39" i="7" s="1"/>
  <c r="J39" i="7" s="1"/>
  <c r="G35" i="7"/>
  <c r="H35" i="7" s="1"/>
  <c r="I35" i="7" s="1"/>
  <c r="J35" i="7" s="1"/>
  <c r="G34" i="7"/>
  <c r="H34" i="7" s="1"/>
  <c r="I34" i="7" s="1"/>
  <c r="J34" i="7" s="1"/>
  <c r="H45" i="7" l="1"/>
  <c r="I45" i="7" l="1"/>
  <c r="J29" i="7"/>
  <c r="I20" i="7"/>
  <c r="I29" i="7"/>
  <c r="I27" i="7"/>
  <c r="I19" i="7"/>
  <c r="I18" i="7"/>
  <c r="J45" i="7" l="1"/>
  <c r="J27" i="7"/>
  <c r="J20" i="7"/>
  <c r="J19" i="7"/>
  <c r="J18" i="7"/>
  <c r="H27" i="7"/>
  <c r="H19" i="7"/>
  <c r="H18" i="7"/>
  <c r="H20" i="7"/>
  <c r="G20" i="7"/>
  <c r="G27" i="7"/>
  <c r="G19" i="7"/>
  <c r="G18" i="7"/>
  <c r="G10" i="7" l="1"/>
  <c r="H15" i="7"/>
  <c r="F15" i="7"/>
  <c r="F11" i="7"/>
  <c r="G15" i="7"/>
  <c r="G11" i="7"/>
  <c r="F27" i="7"/>
  <c r="F18" i="7"/>
  <c r="I15" i="7" l="1"/>
  <c r="I11" i="7"/>
  <c r="F20" i="7"/>
  <c r="F10" i="7"/>
  <c r="I10" i="7" s="1"/>
  <c r="J15" i="7"/>
  <c r="H10" i="7"/>
  <c r="H11" i="7"/>
  <c r="F19" i="7"/>
  <c r="J11" i="7" l="1"/>
  <c r="J10" i="7"/>
  <c r="F25" i="5"/>
  <c r="F24" i="5"/>
  <c r="F23" i="5"/>
  <c r="H18" i="5"/>
  <c r="H23" i="5" l="1"/>
  <c r="H24" i="5"/>
  <c r="H25" i="5"/>
  <c r="F57" i="7"/>
  <c r="F59" i="7" l="1"/>
  <c r="F58" i="7"/>
  <c r="F25" i="7"/>
  <c r="F60" i="7"/>
  <c r="F21" i="7"/>
  <c r="F22" i="7" s="1"/>
  <c r="F23" i="7" s="1"/>
  <c r="H27" i="5"/>
  <c r="G57" i="7"/>
  <c r="F26" i="7"/>
  <c r="G59" i="7"/>
  <c r="G60" i="7" l="1"/>
  <c r="I57" i="7"/>
  <c r="I25" i="7" s="1"/>
  <c r="G25" i="7"/>
  <c r="G58" i="7"/>
  <c r="F13" i="7"/>
  <c r="H57" i="7"/>
  <c r="H25" i="7" s="1"/>
  <c r="G26" i="7"/>
  <c r="G13" i="7"/>
  <c r="H60" i="7"/>
  <c r="J60" i="7" s="1"/>
  <c r="I60" i="7"/>
  <c r="G21" i="7"/>
  <c r="G22" i="7" s="1"/>
  <c r="G23" i="7" s="1"/>
  <c r="H59" i="7"/>
  <c r="J59" i="7" s="1"/>
  <c r="I59" i="7"/>
  <c r="I26" i="7"/>
  <c r="J57" i="7"/>
  <c r="J25" i="7" s="1"/>
  <c r="H26" i="7"/>
  <c r="G24" i="7" l="1"/>
  <c r="G12" i="7"/>
  <c r="F14" i="7"/>
  <c r="F24" i="7"/>
  <c r="F28" i="7" s="1"/>
  <c r="F12" i="7"/>
  <c r="H58" i="7"/>
  <c r="I58" i="7"/>
  <c r="I21" i="7" s="1"/>
  <c r="I22" i="7" s="1"/>
  <c r="I23" i="7" s="1"/>
  <c r="G14" i="7"/>
  <c r="I13" i="7"/>
  <c r="I24" i="7" s="1"/>
  <c r="G28" i="7"/>
  <c r="J26" i="7"/>
  <c r="I14" i="7" l="1"/>
  <c r="J58" i="7"/>
  <c r="J21" i="7" s="1"/>
  <c r="J22" i="7" s="1"/>
  <c r="J23" i="7" s="1"/>
  <c r="H13" i="7"/>
  <c r="H21" i="7"/>
  <c r="H22" i="7" s="1"/>
  <c r="H23" i="7" s="1"/>
  <c r="I28" i="7"/>
  <c r="H12" i="7" l="1"/>
  <c r="H24" i="7"/>
  <c r="H28" i="7" s="1"/>
  <c r="J13" i="7"/>
  <c r="J24" i="7" s="1"/>
  <c r="J28" i="7" s="1"/>
  <c r="H14" i="7"/>
  <c r="J14" i="7" s="1"/>
  <c r="F16" i="7"/>
  <c r="I12" i="7"/>
  <c r="I16" i="7" s="1"/>
  <c r="I30" i="7" s="1"/>
  <c r="G16" i="7"/>
  <c r="J12" i="7"/>
  <c r="J16" i="7" s="1"/>
  <c r="J30" i="7" s="1"/>
  <c r="H16" i="7" l="1"/>
</calcChain>
</file>

<file path=xl/sharedStrings.xml><?xml version="1.0" encoding="utf-8"?>
<sst xmlns="http://schemas.openxmlformats.org/spreadsheetml/2006/main" count="188" uniqueCount="168">
  <si>
    <t>Amount</t>
  </si>
  <si>
    <t>Gross Pole Investment</t>
  </si>
  <si>
    <t>Pole Depreciation Reserve</t>
  </si>
  <si>
    <t>Pole Maintenance</t>
  </si>
  <si>
    <t xml:space="preserve">  C. Depreciation Reserve</t>
  </si>
  <si>
    <t xml:space="preserve">  D. Accumulated Deferred Taxes</t>
  </si>
  <si>
    <t>Depreciation</t>
  </si>
  <si>
    <t>Administration</t>
  </si>
  <si>
    <t>Taxes (Normalized)</t>
  </si>
  <si>
    <t>Rate of Return</t>
  </si>
  <si>
    <t>Total Carrying Charge</t>
  </si>
  <si>
    <t>Allocated Space</t>
  </si>
  <si>
    <t>Input Data</t>
  </si>
  <si>
    <t xml:space="preserve">A. </t>
  </si>
  <si>
    <t>B.</t>
  </si>
  <si>
    <t>3. Accum Depr. for FERC Acctg 369</t>
  </si>
  <si>
    <t>C.</t>
  </si>
  <si>
    <t>D.</t>
  </si>
  <si>
    <t>E.</t>
  </si>
  <si>
    <t>F.</t>
  </si>
  <si>
    <t>G.</t>
  </si>
  <si>
    <t>H.</t>
  </si>
  <si>
    <t xml:space="preserve">Depreciation Rate - Distribution Property </t>
  </si>
  <si>
    <t>I.</t>
  </si>
  <si>
    <t>J.</t>
  </si>
  <si>
    <t>K.</t>
  </si>
  <si>
    <t>Accum. Depr. - Utility Plant in Service</t>
  </si>
  <si>
    <t>L.</t>
  </si>
  <si>
    <t>M.</t>
  </si>
  <si>
    <t xml:space="preserve">N. </t>
  </si>
  <si>
    <t>O.</t>
  </si>
  <si>
    <t>1. ADIT for Poles (Acct 364)</t>
  </si>
  <si>
    <t>Deferred Tax Calculation Worksheet</t>
  </si>
  <si>
    <t>2. ADIT for Overhead Conductor (Acct 365)</t>
  </si>
  <si>
    <t>3. ADIT for Services (Acct 369)</t>
  </si>
  <si>
    <t>P.</t>
  </si>
  <si>
    <t>Q.</t>
  </si>
  <si>
    <t>R.</t>
  </si>
  <si>
    <t>S.</t>
  </si>
  <si>
    <t>T.</t>
  </si>
  <si>
    <t>U.</t>
  </si>
  <si>
    <t>V.</t>
  </si>
  <si>
    <t>FCC Pole Attachment Rate Formula</t>
  </si>
  <si>
    <t>Reference/Source</t>
  </si>
  <si>
    <t>B1 below</t>
  </si>
  <si>
    <t>Net Pole Investment</t>
  </si>
  <si>
    <t>Number of Poles</t>
  </si>
  <si>
    <t>Net Investment Per Bare Pole</t>
  </si>
  <si>
    <t xml:space="preserve">  A. Maintenance of Overhead Lines </t>
  </si>
  <si>
    <t xml:space="preserve">B1+B2+B3 </t>
  </si>
  <si>
    <t>R1+R2+R3</t>
  </si>
  <si>
    <t xml:space="preserve">  E. Total Investment in Poles - Net</t>
  </si>
  <si>
    <t xml:space="preserve">  F. Pole Maintenance Ratio</t>
  </si>
  <si>
    <t>Poles, Towers, &amp; Fixtures (Acctg.364)</t>
  </si>
  <si>
    <t>Accum. Depr. - Distribution Plant</t>
  </si>
  <si>
    <t>1. Accum Depr. for FERC Acctg 364</t>
  </si>
  <si>
    <t>2. Accum Depr. for FERC Acctg 365</t>
  </si>
  <si>
    <t>Gross Investment - Distribution Plant</t>
  </si>
  <si>
    <t>Number of Distribution Poles</t>
  </si>
  <si>
    <t xml:space="preserve">Provided by Cost Accounting </t>
  </si>
  <si>
    <t>Mtce of Overhead Lines (Acctg. 593)</t>
  </si>
  <si>
    <t>Overhead Conductors &amp; Devices (Acctg. 365)</t>
  </si>
  <si>
    <t>Services (Acctg. 369)</t>
  </si>
  <si>
    <t xml:space="preserve">Provided by Plant Accounting </t>
  </si>
  <si>
    <t>Admin. &amp; Gen. Exps. (Acctgs. 920-935)</t>
  </si>
  <si>
    <t>Utility Plant in Service</t>
  </si>
  <si>
    <t>Taxes Other Than Income Taxes (Acctg. 408.1)</t>
  </si>
  <si>
    <t>Income Taxes - Federal (Acctg. 409.1)</t>
  </si>
  <si>
    <t>Income Taxes - Other (Acctg. 409.1)</t>
  </si>
  <si>
    <t>Prov. for Deferred Inc. Taxes (Acctg 410.1)</t>
  </si>
  <si>
    <r>
      <t>(Less)</t>
    </r>
    <r>
      <rPr>
        <sz val="8"/>
        <rFont val="Arial"/>
        <family val="2"/>
      </rPr>
      <t xml:space="preserve"> Prov. for Def. Inc. Taxes - Cr. (Acctg 411.1)</t>
    </r>
  </si>
  <si>
    <t>Investment Tax Credit Adj. - Net (Acctg 411.4)</t>
  </si>
  <si>
    <t>Allocation of Accumulated Deferred Tax Balances (Acct. 190)</t>
  </si>
  <si>
    <t>To Plant Accounts 364, 365 and 369</t>
  </si>
  <si>
    <t>FERC</t>
  </si>
  <si>
    <t>Allocated ADIT</t>
  </si>
  <si>
    <t>Form No. 1</t>
  </si>
  <si>
    <t>Amounts</t>
  </si>
  <si>
    <t>Source</t>
  </si>
  <si>
    <t>($)</t>
  </si>
  <si>
    <t>Accumulated Deferred Taxes (Acct. 190)</t>
  </si>
  <si>
    <t xml:space="preserve">     </t>
  </si>
  <si>
    <t>Accumulated Deferred Taxes for Electric</t>
  </si>
  <si>
    <t>% of Total</t>
  </si>
  <si>
    <t>Electric Plant in Service</t>
  </si>
  <si>
    <t xml:space="preserve">    Total Plant</t>
  </si>
  <si>
    <t xml:space="preserve">       Total Accts 364, 365 and 369</t>
  </si>
  <si>
    <t xml:space="preserve">       Poles (Acct. 364)</t>
  </si>
  <si>
    <t xml:space="preserve">       Overhead Conductor (Acct. 365)</t>
  </si>
  <si>
    <t xml:space="preserve">       Services (Acct. 369)</t>
  </si>
  <si>
    <t>Poles</t>
  </si>
  <si>
    <t>X.</t>
  </si>
  <si>
    <t>8B - 8C - 8D</t>
  </si>
  <si>
    <t>A + F + G</t>
  </si>
  <si>
    <t>FERC Form 1, Page 207, Line 75, Column g</t>
  </si>
  <si>
    <t>FERC Form 1, Page 323, Line 197, Column b.</t>
  </si>
  <si>
    <t>FERC Form 1, Page 200, Line 8, Column c.</t>
  </si>
  <si>
    <t>FERC Form 1, Page 200, Line 22, Column c.</t>
  </si>
  <si>
    <t>FERC Form 1, Page 219, Line 26, Column c.</t>
  </si>
  <si>
    <t>FERC Form 1, Page 207, Line 64, Column g</t>
  </si>
  <si>
    <t>FERC Form 1, Page 322, Line 149, Column b.</t>
  </si>
  <si>
    <t>FERC Form 1, Page 207, Line 65, Column g.</t>
  </si>
  <si>
    <t>FERC Form 1, Page 207, Line 69, Column g.</t>
  </si>
  <si>
    <t>(5 - 3) / 6</t>
  </si>
  <si>
    <t>8A  / 8E</t>
  </si>
  <si>
    <t>A Below</t>
  </si>
  <si>
    <t>S Below</t>
  </si>
  <si>
    <t>E Below</t>
  </si>
  <si>
    <t>8F + 9 + 10 + 11 + 12</t>
  </si>
  <si>
    <t>7 * 13 * 14</t>
  </si>
  <si>
    <t>Maximum Rate Per Attachment</t>
  </si>
  <si>
    <t>Space Occupied (feet)</t>
  </si>
  <si>
    <t>D Below</t>
  </si>
  <si>
    <t>T / U</t>
  </si>
  <si>
    <t>ADIT - Accelerated Amort. Property (Acctg. 281)</t>
  </si>
  <si>
    <t>ADIT - Other Property (Acctg. 282)</t>
  </si>
  <si>
    <t>ADIT - Other  (Acctg. 283)</t>
  </si>
  <si>
    <t>Accumulated Deferred Taxes (Poles)</t>
  </si>
  <si>
    <t>R1 Below</t>
  </si>
  <si>
    <t>1. ADIT - Accelerated Amort. Property (Acctg. 281)</t>
  </si>
  <si>
    <t>2. ADIT - Other Property (Acctg. 282)</t>
  </si>
  <si>
    <t>3. ADIT - Other  (Acctg. 283)</t>
  </si>
  <si>
    <t>Accumulated Deferred Inc. Taxes (Acct 190, 281, 282, 283)</t>
  </si>
  <si>
    <t>Pg 272, Line 8, Column k.</t>
  </si>
  <si>
    <t>Pg 274, Line 2, Column k.</t>
  </si>
  <si>
    <t>Pg 276, Line 9, Column k.</t>
  </si>
  <si>
    <t xml:space="preserve">  B. Total Investment in Poles, Conductors, Services</t>
  </si>
  <si>
    <t>1 - 2 + R1</t>
  </si>
  <si>
    <t>(L + M + N + O + P + Q) / (J - K + R)</t>
  </si>
  <si>
    <t>Pg 234, line 8, column c</t>
  </si>
  <si>
    <t>Administrative Case No. 251</t>
  </si>
  <si>
    <t>Usable Space ( feet) - Two Users</t>
  </si>
  <si>
    <t>Usable Space ( feet) - Three Users</t>
  </si>
  <si>
    <t>W.</t>
  </si>
  <si>
    <t>Pole Height ( feet) - Two Users</t>
  </si>
  <si>
    <t>Pole Height ( feet) - Three Users</t>
  </si>
  <si>
    <t>Duke Energy Kentucky</t>
  </si>
  <si>
    <t>Pg 207, line 104, column g</t>
  </si>
  <si>
    <t>Appurtenance Factor</t>
  </si>
  <si>
    <t>FERC Form 1, Page 273, Line 8, Column k.</t>
  </si>
  <si>
    <t>FERC Form 1, Page 275, Line 2, Column k.</t>
  </si>
  <si>
    <t>FERC Form 1, Page 277, Line 9, Column k.</t>
  </si>
  <si>
    <t>35'</t>
  </si>
  <si>
    <t>40'</t>
  </si>
  <si>
    <t>45'</t>
  </si>
  <si>
    <t>Three User</t>
  </si>
  <si>
    <t>Two User</t>
  </si>
  <si>
    <t>CATV Pole Attachment Formula - Adminstrative Case No. 251</t>
  </si>
  <si>
    <t>For Use of Electric Utility Poles</t>
  </si>
  <si>
    <t>ATTACHMENT JLK-X:  Witness J.L. Kern</t>
  </si>
  <si>
    <t>BASED UPON 2018 FERC FORM 1 DATA</t>
  </si>
  <si>
    <t>FERC Form 1, Page 115, Line 14, Column g.</t>
  </si>
  <si>
    <t>FERC Form 1, Page 115, Line 15, Column g.</t>
  </si>
  <si>
    <t>FERC Form 1, Page 115, Line 16, Column g.</t>
  </si>
  <si>
    <t>FERC Form 1, Page 115, Line 17, Column g.</t>
  </si>
  <si>
    <t>FERC Form 1, Page 115, Line 18, Column g.</t>
  </si>
  <si>
    <t>FERC Form 1, Page 115, Line 19, Column g.</t>
  </si>
  <si>
    <t>Twelve Months Ended December 31, 2018</t>
  </si>
  <si>
    <t>Source:  Duke Energy Kentucky 2018 FERC Form No. 1</t>
  </si>
  <si>
    <t># of Poles</t>
  </si>
  <si>
    <t>Sum</t>
  </si>
  <si>
    <t>Poles, Towers &amp; Fixtures</t>
  </si>
  <si>
    <t>Cost</t>
  </si>
  <si>
    <t>KYPSC Case No. 2017-00321</t>
  </si>
  <si>
    <t>(1 - 2 + R1) * 15%</t>
  </si>
  <si>
    <t>(1 / (1 - 2 + R1)) * H.</t>
  </si>
  <si>
    <t>I / (J - K + R)</t>
  </si>
  <si>
    <t>Case No. 2019-00271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</si>
</sst>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12" fillId="0" borderId="1">
      <alignment horizontal="center"/>
    </xf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6" fillId="0" borderId="0" xfId="0" applyFont="1" applyAlignment="1">
      <alignment horizontal="center"/>
    </xf>
    <xf numFmtId="5" fontId="6" fillId="0" borderId="0" xfId="2" applyNumberFormat="1" applyFont="1" applyFill="1"/>
    <xf numFmtId="5" fontId="6" fillId="0" borderId="0" xfId="0" applyNumberFormat="1" applyFont="1" applyFill="1" applyAlignment="1">
      <alignment horizontal="right"/>
    </xf>
    <xf numFmtId="7" fontId="6" fillId="0" borderId="0" xfId="2" applyNumberFormat="1" applyFont="1" applyFill="1"/>
    <xf numFmtId="10" fontId="6" fillId="0" borderId="0" xfId="0" applyNumberFormat="1" applyFont="1" applyFill="1"/>
    <xf numFmtId="10" fontId="6" fillId="0" borderId="0" xfId="3" applyNumberFormat="1" applyFont="1" applyFill="1"/>
    <xf numFmtId="164" fontId="0" fillId="0" borderId="0" xfId="0" applyNumberFormat="1"/>
    <xf numFmtId="7" fontId="8" fillId="0" borderId="0" xfId="2" applyNumberFormat="1" applyFont="1" applyFill="1"/>
    <xf numFmtId="0" fontId="0" fillId="0" borderId="0" xfId="0" applyFill="1"/>
    <xf numFmtId="0" fontId="8" fillId="0" borderId="0" xfId="0" applyFont="1"/>
    <xf numFmtId="0" fontId="10" fillId="0" borderId="0" xfId="0" applyFont="1"/>
    <xf numFmtId="5" fontId="6" fillId="0" borderId="0" xfId="0" applyNumberFormat="1" applyFont="1" applyFill="1"/>
    <xf numFmtId="0" fontId="9" fillId="0" borderId="0" xfId="0" applyFont="1"/>
    <xf numFmtId="0" fontId="0" fillId="0" borderId="0" xfId="0" applyBorder="1"/>
    <xf numFmtId="0" fontId="6" fillId="0" borderId="0" xfId="0" applyFont="1"/>
    <xf numFmtId="164" fontId="6" fillId="0" borderId="0" xfId="0" applyNumberFormat="1" applyFont="1" applyFill="1"/>
    <xf numFmtId="165" fontId="6" fillId="0" borderId="0" xfId="1" applyNumberFormat="1" applyFont="1" applyFill="1"/>
    <xf numFmtId="0" fontId="7" fillId="0" borderId="0" xfId="8"/>
    <xf numFmtId="0" fontId="7" fillId="0" borderId="0" xfId="8" applyAlignment="1">
      <alignment horizontal="center"/>
    </xf>
    <xf numFmtId="0" fontId="7" fillId="0" borderId="0" xfId="8" applyBorder="1" applyAlignment="1">
      <alignment horizontal="center"/>
    </xf>
    <xf numFmtId="0" fontId="7" fillId="0" borderId="2" xfId="8" applyBorder="1" applyAlignment="1">
      <alignment horizontal="center"/>
    </xf>
    <xf numFmtId="0" fontId="7" fillId="0" borderId="0" xfId="8" quotePrefix="1" applyAlignment="1">
      <alignment horizontal="center"/>
    </xf>
    <xf numFmtId="165" fontId="0" fillId="0" borderId="0" xfId="1" applyNumberFormat="1" applyFont="1"/>
    <xf numFmtId="44" fontId="0" fillId="0" borderId="0" xfId="2" quotePrefix="1" applyFont="1" applyAlignment="1">
      <alignment horizontal="center"/>
    </xf>
    <xf numFmtId="10" fontId="0" fillId="0" borderId="2" xfId="3" applyNumberFormat="1" applyFont="1" applyBorder="1"/>
    <xf numFmtId="165" fontId="0" fillId="0" borderId="0" xfId="1" applyNumberFormat="1" applyFont="1" applyFill="1"/>
    <xf numFmtId="10" fontId="0" fillId="0" borderId="0" xfId="3" applyNumberFormat="1" applyFont="1"/>
    <xf numFmtId="165" fontId="0" fillId="0" borderId="2" xfId="1" applyNumberFormat="1" applyFont="1" applyFill="1" applyBorder="1"/>
    <xf numFmtId="0" fontId="7" fillId="0" borderId="0" xfId="8" applyBorder="1"/>
    <xf numFmtId="5" fontId="0" fillId="0" borderId="0" xfId="1" applyNumberFormat="1" applyFont="1" applyFill="1"/>
    <xf numFmtId="5" fontId="7" fillId="0" borderId="3" xfId="8" applyNumberFormat="1" applyBorder="1"/>
    <xf numFmtId="5" fontId="0" fillId="0" borderId="3" xfId="1" applyNumberFormat="1" applyFont="1" applyBorder="1"/>
    <xf numFmtId="0" fontId="7" fillId="0" borderId="0" xfId="8" quotePrefix="1" applyAlignment="1">
      <alignment horizontal="left"/>
    </xf>
    <xf numFmtId="0" fontId="13" fillId="0" borderId="0" xfId="0" applyFont="1" applyFill="1"/>
    <xf numFmtId="5" fontId="7" fillId="0" borderId="0" xfId="8" applyNumberFormat="1"/>
    <xf numFmtId="10" fontId="6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0" fontId="0" fillId="2" borderId="0" xfId="0" applyFill="1"/>
    <xf numFmtId="2" fontId="6" fillId="2" borderId="0" xfId="0" applyNumberFormat="1" applyFont="1" applyFill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8" applyFont="1"/>
    <xf numFmtId="0" fontId="7" fillId="0" borderId="0" xfId="8"/>
    <xf numFmtId="0" fontId="7" fillId="0" borderId="0" xfId="8" quotePrefix="1" applyFont="1" applyFill="1" applyAlignment="1">
      <alignment horizontal="left"/>
    </xf>
    <xf numFmtId="0" fontId="7" fillId="0" borderId="0" xfId="8" applyAlignment="1">
      <alignment horizontal="left"/>
    </xf>
    <xf numFmtId="5" fontId="0" fillId="2" borderId="2" xfId="1" applyNumberFormat="1" applyFont="1" applyFill="1" applyBorder="1"/>
    <xf numFmtId="0" fontId="6" fillId="0" borderId="0" xfId="0" applyFont="1" applyFill="1"/>
    <xf numFmtId="0" fontId="6" fillId="0" borderId="0" xfId="0" quotePrefix="1" applyFont="1" applyFill="1" applyAlignment="1">
      <alignment horizontal="left"/>
    </xf>
    <xf numFmtId="5" fontId="0" fillId="0" borderId="0" xfId="1" applyNumberFormat="1" applyFont="1" applyFill="1"/>
    <xf numFmtId="5" fontId="6" fillId="2" borderId="0" xfId="0" applyNumberFormat="1" applyFont="1" applyFill="1" applyAlignment="1">
      <alignment horizontal="right"/>
    </xf>
    <xf numFmtId="5" fontId="0" fillId="2" borderId="0" xfId="1" applyNumberFormat="1" applyFont="1" applyFill="1"/>
    <xf numFmtId="165" fontId="6" fillId="2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6" fillId="0" borderId="0" xfId="1" applyNumberFormat="1" applyFont="1" applyFill="1" applyBorder="1"/>
    <xf numFmtId="10" fontId="6" fillId="0" borderId="0" xfId="0" applyNumberFormat="1" applyFont="1" applyFill="1" applyBorder="1"/>
    <xf numFmtId="165" fontId="6" fillId="0" borderId="0" xfId="1" applyNumberFormat="1" applyFont="1" applyFill="1" applyAlignment="1">
      <alignment horizontal="right"/>
    </xf>
    <xf numFmtId="0" fontId="6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Continuous"/>
    </xf>
    <xf numFmtId="7" fontId="3" fillId="0" borderId="0" xfId="2" applyNumberFormat="1" applyFont="1" applyFill="1"/>
  </cellXfs>
  <cellStyles count="15">
    <cellStyle name="Comma" xfId="1" builtinId="3"/>
    <cellStyle name="Comma 2" xfId="10"/>
    <cellStyle name="Comma 3" xfId="13"/>
    <cellStyle name="Currency" xfId="2" builtinId="4"/>
    <cellStyle name="Currency 2" xfId="11"/>
    <cellStyle name="Normal" xfId="0" builtinId="0"/>
    <cellStyle name="Normal 2" xfId="4"/>
    <cellStyle name="Normal 3" xfId="8"/>
    <cellStyle name="Normal 4" xfId="9"/>
    <cellStyle name="Normal 48" xfId="14"/>
    <cellStyle name="Percent" xfId="3" builtinId="5"/>
    <cellStyle name="Percent 2" xfId="12"/>
    <cellStyle name="PSChar" xfId="5"/>
    <cellStyle name="PSDec" xfId="6"/>
    <cellStyle name="PSHeading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8"/>
  <sheetViews>
    <sheetView tabSelected="1" view="pageLayout" topLeftCell="H1" zoomScale="130" zoomScaleNormal="150" zoomScalePageLayoutView="130" workbookViewId="0">
      <selection activeCell="E37" sqref="E37"/>
    </sheetView>
  </sheetViews>
  <sheetFormatPr defaultRowHeight="13.2" x14ac:dyDescent="0.25"/>
  <cols>
    <col min="1" max="1" width="4.33203125" customWidth="1"/>
    <col min="2" max="2" width="13" customWidth="1"/>
    <col min="5" max="10" width="11.6640625" customWidth="1"/>
    <col min="11" max="11" width="5.5546875" customWidth="1"/>
    <col min="12" max="12" width="12.109375" customWidth="1"/>
    <col min="14" max="14" width="11.33203125" customWidth="1"/>
    <col min="16" max="16" width="12.109375" bestFit="1" customWidth="1"/>
  </cols>
  <sheetData>
    <row r="1" spans="1:18" x14ac:dyDescent="0.25">
      <c r="A1" s="45" t="s">
        <v>136</v>
      </c>
      <c r="B1" s="1"/>
      <c r="C1" s="1"/>
      <c r="D1" s="1"/>
      <c r="E1" s="1"/>
      <c r="F1" s="1"/>
      <c r="G1" s="1"/>
      <c r="H1" s="1"/>
      <c r="I1" s="1"/>
      <c r="J1" s="1"/>
      <c r="K1" s="63"/>
      <c r="L1" s="63"/>
      <c r="M1" s="63"/>
      <c r="N1" s="63"/>
    </row>
    <row r="2" spans="1:18" hidden="1" x14ac:dyDescent="0.25">
      <c r="A2" s="1" t="s">
        <v>149</v>
      </c>
      <c r="B2" s="1"/>
      <c r="C2" s="1"/>
      <c r="D2" s="1"/>
      <c r="E2" s="1"/>
      <c r="F2" s="1"/>
      <c r="G2" s="1"/>
      <c r="H2" s="1"/>
      <c r="I2" s="1"/>
      <c r="J2" s="1"/>
      <c r="K2" s="63"/>
      <c r="L2" s="63"/>
      <c r="M2" s="63"/>
      <c r="N2" s="63"/>
    </row>
    <row r="3" spans="1:18" x14ac:dyDescent="0.25">
      <c r="A3" s="66" t="s">
        <v>167</v>
      </c>
      <c r="B3" s="2"/>
      <c r="C3" s="2"/>
      <c r="D3" s="2"/>
      <c r="E3" s="2"/>
      <c r="F3" s="2"/>
      <c r="G3" s="2"/>
      <c r="H3" s="2"/>
      <c r="I3" s="2"/>
      <c r="J3" s="2"/>
      <c r="K3" s="65"/>
      <c r="L3" s="65"/>
      <c r="M3" s="65"/>
      <c r="N3" s="65"/>
    </row>
    <row r="4" spans="1:18" x14ac:dyDescent="0.25">
      <c r="A4" s="2" t="s">
        <v>147</v>
      </c>
      <c r="B4" s="1"/>
      <c r="C4" s="1"/>
      <c r="D4" s="1"/>
      <c r="E4" s="1"/>
      <c r="F4" s="1"/>
      <c r="G4" s="1"/>
      <c r="H4" s="1"/>
      <c r="I4" s="1"/>
      <c r="J4" s="1"/>
      <c r="K4" s="63"/>
      <c r="L4" s="63"/>
      <c r="M4" s="63"/>
      <c r="N4" s="63"/>
    </row>
    <row r="5" spans="1:18" x14ac:dyDescent="0.25">
      <c r="A5" s="2" t="s">
        <v>148</v>
      </c>
      <c r="B5" s="1"/>
      <c r="C5" s="1"/>
      <c r="D5" s="1"/>
      <c r="E5" s="1"/>
      <c r="F5" s="1"/>
      <c r="G5" s="1"/>
      <c r="H5" s="1"/>
      <c r="I5" s="1"/>
      <c r="J5" s="1"/>
      <c r="K5" s="63"/>
      <c r="L5" s="63"/>
      <c r="M5" s="63"/>
      <c r="N5" s="63"/>
    </row>
    <row r="6" spans="1:18" x14ac:dyDescent="0.25">
      <c r="A6" s="46" t="s">
        <v>150</v>
      </c>
      <c r="B6" s="46"/>
      <c r="C6" s="46"/>
      <c r="D6" s="46"/>
      <c r="E6" s="46"/>
      <c r="F6" s="46"/>
      <c r="G6" s="46"/>
      <c r="H6" s="46"/>
      <c r="I6" s="46"/>
      <c r="J6" s="46"/>
      <c r="K6" s="64"/>
      <c r="L6" s="64"/>
      <c r="M6" s="64"/>
      <c r="N6" s="64"/>
      <c r="P6" t="s">
        <v>162</v>
      </c>
      <c r="Q6" t="s">
        <v>159</v>
      </c>
    </row>
    <row r="7" spans="1:18" x14ac:dyDescent="0.25">
      <c r="P7" s="55">
        <v>4729951.72</v>
      </c>
      <c r="Q7" s="57">
        <v>6692</v>
      </c>
      <c r="R7" t="s">
        <v>142</v>
      </c>
    </row>
    <row r="8" spans="1:18" x14ac:dyDescent="0.25">
      <c r="B8" s="3" t="s">
        <v>42</v>
      </c>
      <c r="F8" s="3" t="s">
        <v>0</v>
      </c>
      <c r="G8" s="3"/>
      <c r="H8" s="3"/>
      <c r="I8" s="3"/>
      <c r="J8" s="3"/>
      <c r="L8" s="3" t="s">
        <v>43</v>
      </c>
      <c r="P8" s="55">
        <v>15600971.25</v>
      </c>
      <c r="Q8" s="57">
        <v>16849</v>
      </c>
      <c r="R8" t="s">
        <v>143</v>
      </c>
    </row>
    <row r="9" spans="1:18" x14ac:dyDescent="0.25">
      <c r="F9" s="58" t="s">
        <v>142</v>
      </c>
      <c r="G9" s="58" t="s">
        <v>143</v>
      </c>
      <c r="H9" s="58" t="s">
        <v>144</v>
      </c>
      <c r="I9" s="58" t="s">
        <v>146</v>
      </c>
      <c r="J9" s="58" t="s">
        <v>145</v>
      </c>
      <c r="P9" s="55">
        <v>16598071.43</v>
      </c>
      <c r="Q9" s="57">
        <v>10517</v>
      </c>
      <c r="R9" t="s">
        <v>144</v>
      </c>
    </row>
    <row r="10" spans="1:18" x14ac:dyDescent="0.25">
      <c r="A10" s="4">
        <v>1</v>
      </c>
      <c r="B10" s="18" t="s">
        <v>1</v>
      </c>
      <c r="C10" s="18"/>
      <c r="D10" s="18"/>
      <c r="E10" s="18"/>
      <c r="F10" s="5">
        <f>ROUND(F34*$P$12,0)</f>
        <v>4729952</v>
      </c>
      <c r="G10" s="5">
        <f>ROUND(G34*$P$13,0)</f>
        <v>15600971</v>
      </c>
      <c r="H10" s="5">
        <f>ROUND(H34*$P$14,0)</f>
        <v>16598071</v>
      </c>
      <c r="I10" s="5">
        <f t="shared" ref="I10:J15" si="0">SUM(F10:G10)</f>
        <v>20330923</v>
      </c>
      <c r="J10" s="5">
        <f t="shared" si="0"/>
        <v>32199042</v>
      </c>
      <c r="K10" s="18"/>
      <c r="L10" s="18" t="s">
        <v>105</v>
      </c>
      <c r="M10" s="18"/>
      <c r="P10" s="55">
        <f>SUM(P7:P9)</f>
        <v>36928994.399999999</v>
      </c>
      <c r="Q10" s="57">
        <f>SUM(Q7:Q9)</f>
        <v>34058</v>
      </c>
      <c r="R10" t="s">
        <v>160</v>
      </c>
    </row>
    <row r="11" spans="1:18" x14ac:dyDescent="0.25">
      <c r="A11" s="4">
        <v>2</v>
      </c>
      <c r="B11" s="18" t="s">
        <v>2</v>
      </c>
      <c r="C11" s="18"/>
      <c r="D11" s="18"/>
      <c r="E11" s="18"/>
      <c r="F11" s="15">
        <f>ROUND(F36*$P$12,0)</f>
        <v>2112081</v>
      </c>
      <c r="G11" s="15">
        <f>ROUND(G36*$P$13,0)</f>
        <v>6966354</v>
      </c>
      <c r="H11" s="15">
        <f>ROUND(H36*$P$14,0)</f>
        <v>7411592</v>
      </c>
      <c r="I11" s="5">
        <f t="shared" si="0"/>
        <v>9078435</v>
      </c>
      <c r="J11" s="5">
        <f t="shared" si="0"/>
        <v>14377946</v>
      </c>
      <c r="K11" s="18"/>
      <c r="L11" s="18" t="s">
        <v>44</v>
      </c>
      <c r="M11" s="18"/>
      <c r="P11" s="55">
        <f>F34</f>
        <v>63697773</v>
      </c>
      <c r="R11" t="s">
        <v>161</v>
      </c>
    </row>
    <row r="12" spans="1:18" x14ac:dyDescent="0.25">
      <c r="A12" s="4">
        <v>3</v>
      </c>
      <c r="B12" s="18" t="s">
        <v>138</v>
      </c>
      <c r="C12" s="18"/>
      <c r="D12" s="18"/>
      <c r="E12" s="18"/>
      <c r="F12" s="15">
        <f>(F10-F11+F13)*0.15</f>
        <v>325714.34999999998</v>
      </c>
      <c r="G12" s="15">
        <f t="shared" ref="G12:H12" si="1">(G10-G11+G13)*0.15</f>
        <v>1074315.3</v>
      </c>
      <c r="H12" s="15">
        <f t="shared" si="1"/>
        <v>1142977.6499999999</v>
      </c>
      <c r="I12" s="5">
        <f t="shared" si="0"/>
        <v>1400029.65</v>
      </c>
      <c r="J12" s="5">
        <f t="shared" si="0"/>
        <v>2217292.9500000002</v>
      </c>
      <c r="K12" s="18"/>
      <c r="L12" s="53" t="s">
        <v>164</v>
      </c>
      <c r="O12" s="18"/>
      <c r="P12" s="18">
        <f>P7/$P$11</f>
        <v>7.425615523481488E-2</v>
      </c>
    </row>
    <row r="13" spans="1:18" x14ac:dyDescent="0.25">
      <c r="A13" s="4">
        <v>4</v>
      </c>
      <c r="B13" s="18" t="s">
        <v>117</v>
      </c>
      <c r="C13" s="18"/>
      <c r="D13" s="18"/>
      <c r="E13" s="18"/>
      <c r="F13" s="6">
        <f>ROUND(F58*$P$12,0)</f>
        <v>-446442</v>
      </c>
      <c r="G13" s="6">
        <f>ROUND(G58*$P$13,0)</f>
        <v>-1472515</v>
      </c>
      <c r="H13" s="6">
        <f>ROUND(H58*$P$14,0)</f>
        <v>-1566628</v>
      </c>
      <c r="I13" s="5">
        <f t="shared" si="0"/>
        <v>-1918957</v>
      </c>
      <c r="J13" s="5">
        <f t="shared" si="0"/>
        <v>-3039143</v>
      </c>
      <c r="K13" s="18"/>
      <c r="L13" s="18" t="s">
        <v>118</v>
      </c>
      <c r="M13" s="18"/>
      <c r="P13" s="18">
        <f>P8/$P$11</f>
        <v>0.24492176908602439</v>
      </c>
    </row>
    <row r="14" spans="1:18" x14ac:dyDescent="0.25">
      <c r="A14" s="4">
        <v>5</v>
      </c>
      <c r="B14" s="18" t="s">
        <v>45</v>
      </c>
      <c r="C14" s="18"/>
      <c r="D14" s="18"/>
      <c r="E14" s="18"/>
      <c r="F14" s="15">
        <f>F10-F11+F13</f>
        <v>2171429</v>
      </c>
      <c r="G14" s="15">
        <f t="shared" ref="G14:H14" si="2">G10-G11+G13</f>
        <v>7162102</v>
      </c>
      <c r="H14" s="15">
        <f t="shared" si="2"/>
        <v>7619851</v>
      </c>
      <c r="I14" s="5">
        <f t="shared" si="0"/>
        <v>9333531</v>
      </c>
      <c r="J14" s="5">
        <f t="shared" si="0"/>
        <v>14781953</v>
      </c>
      <c r="K14" s="18"/>
      <c r="L14" s="18" t="s">
        <v>127</v>
      </c>
      <c r="M14" s="18"/>
      <c r="O14" s="18"/>
      <c r="P14" s="18">
        <f>P9/$P$11</f>
        <v>0.26057538039830686</v>
      </c>
    </row>
    <row r="15" spans="1:18" x14ac:dyDescent="0.25">
      <c r="A15" s="4">
        <v>6</v>
      </c>
      <c r="B15" s="18" t="s">
        <v>46</v>
      </c>
      <c r="C15" s="18"/>
      <c r="D15" s="18"/>
      <c r="E15" s="18"/>
      <c r="F15" s="20">
        <f>Q7</f>
        <v>6692</v>
      </c>
      <c r="G15" s="20">
        <f>Q8</f>
        <v>16849</v>
      </c>
      <c r="H15" s="20">
        <f>Q9</f>
        <v>10517</v>
      </c>
      <c r="I15" s="20">
        <f t="shared" si="0"/>
        <v>23541</v>
      </c>
      <c r="J15" s="20">
        <f t="shared" si="0"/>
        <v>27366</v>
      </c>
      <c r="K15" s="18"/>
      <c r="L15" s="18" t="s">
        <v>112</v>
      </c>
      <c r="M15" s="18"/>
      <c r="P15" s="18">
        <f>P10/P11</f>
        <v>0.5797533047191461</v>
      </c>
    </row>
    <row r="16" spans="1:18" x14ac:dyDescent="0.25">
      <c r="A16" s="4">
        <v>7</v>
      </c>
      <c r="B16" s="18" t="s">
        <v>47</v>
      </c>
      <c r="C16" s="18"/>
      <c r="D16" s="18"/>
      <c r="E16" s="18"/>
      <c r="F16" s="7">
        <f>(F14-F12)/F15</f>
        <v>275.80912283323369</v>
      </c>
      <c r="G16" s="7">
        <f>(G14-G12)/G15</f>
        <v>361.31442222090334</v>
      </c>
      <c r="H16" s="7">
        <f>(H14-H12)/H15</f>
        <v>615.84799372444616</v>
      </c>
      <c r="I16" s="7">
        <f>(I14-I12)/I15</f>
        <v>337.0078310182235</v>
      </c>
      <c r="J16" s="7">
        <f>(J14-J12)/J15</f>
        <v>459.1339636775561</v>
      </c>
      <c r="K16" s="18"/>
      <c r="L16" s="18" t="s">
        <v>103</v>
      </c>
      <c r="M16" s="18"/>
      <c r="O16" s="18"/>
    </row>
    <row r="17" spans="1:13" x14ac:dyDescent="0.25">
      <c r="A17" s="4">
        <v>8</v>
      </c>
      <c r="B17" s="18" t="s">
        <v>3</v>
      </c>
      <c r="C17" s="18"/>
      <c r="D17" s="18"/>
      <c r="E17" s="18"/>
      <c r="F17" s="52"/>
      <c r="G17" s="52"/>
      <c r="H17" s="52"/>
      <c r="I17" s="52"/>
      <c r="J17" s="52"/>
      <c r="K17" s="18"/>
      <c r="L17" s="18"/>
      <c r="M17" s="18"/>
    </row>
    <row r="18" spans="1:13" x14ac:dyDescent="0.25">
      <c r="A18" s="4"/>
      <c r="B18" s="18" t="s">
        <v>48</v>
      </c>
      <c r="C18" s="18"/>
      <c r="D18" s="18"/>
      <c r="E18" s="18"/>
      <c r="F18" s="6">
        <f>F41</f>
        <v>7798853</v>
      </c>
      <c r="G18" s="6">
        <f>G41</f>
        <v>7798853</v>
      </c>
      <c r="H18" s="6">
        <f>H41</f>
        <v>7798853</v>
      </c>
      <c r="I18" s="6">
        <f>I41</f>
        <v>7798853</v>
      </c>
      <c r="J18" s="6">
        <f>J41</f>
        <v>7798853</v>
      </c>
      <c r="K18" s="18"/>
      <c r="L18" s="18" t="s">
        <v>107</v>
      </c>
      <c r="M18" s="18"/>
    </row>
    <row r="19" spans="1:13" x14ac:dyDescent="0.25">
      <c r="A19" s="4"/>
      <c r="B19" s="18" t="s">
        <v>126</v>
      </c>
      <c r="C19" s="18"/>
      <c r="D19" s="18"/>
      <c r="E19" s="18"/>
      <c r="F19" s="6">
        <f>F34+F42+F43</f>
        <v>214069802</v>
      </c>
      <c r="G19" s="6">
        <f>G34+G42+G43</f>
        <v>214069802</v>
      </c>
      <c r="H19" s="6">
        <f>H34+H42+H43</f>
        <v>214069802</v>
      </c>
      <c r="I19" s="6">
        <f>I34+I42+I43</f>
        <v>214069802</v>
      </c>
      <c r="J19" s="6">
        <f>J34+J42+J43</f>
        <v>214069802</v>
      </c>
      <c r="K19" s="18"/>
      <c r="L19" s="18" t="s">
        <v>93</v>
      </c>
      <c r="M19" s="18"/>
    </row>
    <row r="20" spans="1:13" x14ac:dyDescent="0.25">
      <c r="A20" s="4"/>
      <c r="B20" s="18" t="s">
        <v>4</v>
      </c>
      <c r="C20" s="18"/>
      <c r="D20" s="18"/>
      <c r="E20" s="18"/>
      <c r="F20" s="6">
        <f>F36+F37+F38</f>
        <v>75841592</v>
      </c>
      <c r="G20" s="6">
        <f>G36+G37+G38</f>
        <v>75841592</v>
      </c>
      <c r="H20" s="6">
        <f>H36+H37+H38</f>
        <v>75841592</v>
      </c>
      <c r="I20" s="6">
        <f>I36+I37+I38</f>
        <v>75841592</v>
      </c>
      <c r="J20" s="6">
        <f>J36+J37+J38</f>
        <v>75841592</v>
      </c>
      <c r="K20" s="18"/>
      <c r="L20" s="18" t="s">
        <v>49</v>
      </c>
      <c r="M20" s="18"/>
    </row>
    <row r="21" spans="1:13" x14ac:dyDescent="0.25">
      <c r="A21" s="4"/>
      <c r="B21" s="18" t="s">
        <v>5</v>
      </c>
      <c r="C21" s="18"/>
      <c r="D21" s="18"/>
      <c r="E21" s="18"/>
      <c r="F21" s="6">
        <f>+F58+F59+F60</f>
        <v>-20207626</v>
      </c>
      <c r="G21" s="6">
        <f>+G58+G59+G60</f>
        <v>-20207626</v>
      </c>
      <c r="H21" s="6">
        <f>+H58+H59+H60</f>
        <v>-20207626</v>
      </c>
      <c r="I21" s="6">
        <f>+I58+I59+I60</f>
        <v>-20207626</v>
      </c>
      <c r="J21" s="6">
        <f>+J58+J59+J60</f>
        <v>-20207626</v>
      </c>
      <c r="K21" s="18"/>
      <c r="L21" s="18" t="s">
        <v>50</v>
      </c>
      <c r="M21" s="18"/>
    </row>
    <row r="22" spans="1:13" x14ac:dyDescent="0.25">
      <c r="A22" s="4"/>
      <c r="B22" s="18" t="s">
        <v>51</v>
      </c>
      <c r="C22" s="18"/>
      <c r="D22" s="18"/>
      <c r="E22" s="18"/>
      <c r="F22" s="6">
        <f>F19-F20-F21</f>
        <v>158435836</v>
      </c>
      <c r="G22" s="6">
        <f>G19-G20-G21</f>
        <v>158435836</v>
      </c>
      <c r="H22" s="6">
        <f>H19-H20-H21</f>
        <v>158435836</v>
      </c>
      <c r="I22" s="6">
        <f>I19-I20-I21</f>
        <v>158435836</v>
      </c>
      <c r="J22" s="6">
        <f>J19-J20-J21</f>
        <v>158435836</v>
      </c>
      <c r="K22" s="18"/>
      <c r="L22" s="18" t="s">
        <v>92</v>
      </c>
      <c r="M22" s="18"/>
    </row>
    <row r="23" spans="1:13" x14ac:dyDescent="0.25">
      <c r="A23" s="4"/>
      <c r="B23" s="18" t="s">
        <v>52</v>
      </c>
      <c r="C23" s="18"/>
      <c r="D23" s="18"/>
      <c r="E23" s="18"/>
      <c r="F23" s="8">
        <f>F18/F22</f>
        <v>4.9224046761743981E-2</v>
      </c>
      <c r="G23" s="8">
        <f>G18/G22</f>
        <v>4.9224046761743981E-2</v>
      </c>
      <c r="H23" s="8">
        <f>H18/H22</f>
        <v>4.9224046761743981E-2</v>
      </c>
      <c r="I23" s="8">
        <f>I18/I22</f>
        <v>4.9224046761743981E-2</v>
      </c>
      <c r="J23" s="8">
        <f>J18/J22</f>
        <v>4.9224046761743981E-2</v>
      </c>
      <c r="K23" s="18"/>
      <c r="L23" s="18" t="s">
        <v>104</v>
      </c>
      <c r="M23" s="18"/>
    </row>
    <row r="24" spans="1:13" x14ac:dyDescent="0.25">
      <c r="A24" s="4">
        <v>9</v>
      </c>
      <c r="B24" s="18" t="s">
        <v>6</v>
      </c>
      <c r="C24" s="18"/>
      <c r="D24" s="18"/>
      <c r="E24" s="18"/>
      <c r="F24" s="8">
        <f>(F10/(F10-F11+F13))*F44</f>
        <v>4.5525779014648875E-2</v>
      </c>
      <c r="G24" s="8">
        <f t="shared" ref="G24:J24" si="3">(G10/(G10-G11+G13))*G44</f>
        <v>4.5525781942228685E-2</v>
      </c>
      <c r="H24" s="8">
        <f t="shared" si="3"/>
        <v>4.552578310258297E-2</v>
      </c>
      <c r="I24" s="8">
        <f t="shared" si="3"/>
        <v>4.5525781261132575E-2</v>
      </c>
      <c r="J24" s="8">
        <f t="shared" si="3"/>
        <v>4.5525782540372033E-2</v>
      </c>
      <c r="K24" s="18"/>
      <c r="L24" s="62" t="s">
        <v>165</v>
      </c>
      <c r="M24" s="18"/>
    </row>
    <row r="25" spans="1:13" x14ac:dyDescent="0.25">
      <c r="A25" s="4">
        <v>10</v>
      </c>
      <c r="B25" s="18" t="s">
        <v>7</v>
      </c>
      <c r="C25" s="18"/>
      <c r="D25" s="18"/>
      <c r="E25" s="18"/>
      <c r="F25" s="8">
        <f>ROUND(F45/(F46-F47+F57),4)</f>
        <v>2.47E-2</v>
      </c>
      <c r="G25" s="8">
        <f t="shared" ref="G25:J25" si="4">ROUND(G45/(G46-G47+G57),4)</f>
        <v>2.47E-2</v>
      </c>
      <c r="H25" s="8">
        <f t="shared" si="4"/>
        <v>2.47E-2</v>
      </c>
      <c r="I25" s="8">
        <f t="shared" si="4"/>
        <v>2.47E-2</v>
      </c>
      <c r="J25" s="8">
        <f t="shared" si="4"/>
        <v>2.47E-2</v>
      </c>
      <c r="K25" s="18"/>
      <c r="L25" s="62" t="s">
        <v>166</v>
      </c>
      <c r="M25" s="18"/>
    </row>
    <row r="26" spans="1:13" x14ac:dyDescent="0.25">
      <c r="A26" s="4">
        <v>11</v>
      </c>
      <c r="B26" s="18" t="s">
        <v>8</v>
      </c>
      <c r="C26" s="18"/>
      <c r="D26" s="18"/>
      <c r="E26" s="18"/>
      <c r="F26" s="9">
        <f>SUM(F51:F56)/(F46-F47+F57)</f>
        <v>2.4562908891918169E-2</v>
      </c>
      <c r="G26" s="9">
        <f>SUM(G51:G56)/(G46-G47+G57)</f>
        <v>2.4562908891918169E-2</v>
      </c>
      <c r="H26" s="9">
        <f>SUM(H51:H56)/(H46-H47+H57)</f>
        <v>2.4562908891918169E-2</v>
      </c>
      <c r="I26" s="9">
        <f>SUM(I51:I56)/(I46-I47+I57)</f>
        <v>2.4562908891918169E-2</v>
      </c>
      <c r="J26" s="9">
        <f>SUM(J51:J56)/(J46-J47+J57)</f>
        <v>2.4562908891918169E-2</v>
      </c>
      <c r="K26" s="18"/>
      <c r="L26" s="18" t="s">
        <v>128</v>
      </c>
      <c r="M26" s="18"/>
    </row>
    <row r="27" spans="1:13" x14ac:dyDescent="0.25">
      <c r="A27" s="4">
        <v>12</v>
      </c>
      <c r="B27" s="18" t="s">
        <v>9</v>
      </c>
      <c r="C27" s="18"/>
      <c r="D27" s="18"/>
      <c r="E27" s="18"/>
      <c r="F27" s="8">
        <f>F61</f>
        <v>6.83E-2</v>
      </c>
      <c r="G27" s="8">
        <f>G61</f>
        <v>6.83E-2</v>
      </c>
      <c r="H27" s="8">
        <f>H61</f>
        <v>6.83E-2</v>
      </c>
      <c r="I27" s="8">
        <f>I61</f>
        <v>6.83E-2</v>
      </c>
      <c r="J27" s="8">
        <f>J61</f>
        <v>6.83E-2</v>
      </c>
      <c r="K27" s="18"/>
      <c r="L27" s="18" t="s">
        <v>106</v>
      </c>
      <c r="M27" s="18"/>
    </row>
    <row r="28" spans="1:13" x14ac:dyDescent="0.25">
      <c r="A28" s="4">
        <v>13</v>
      </c>
      <c r="B28" s="18" t="s">
        <v>10</v>
      </c>
      <c r="C28" s="18"/>
      <c r="D28" s="18"/>
      <c r="E28" s="18"/>
      <c r="F28" s="8">
        <f>SUM(F23:F27)</f>
        <v>0.21231273466831102</v>
      </c>
      <c r="G28" s="8">
        <f>SUM(G23:G27)</f>
        <v>0.21231273759589084</v>
      </c>
      <c r="H28" s="8">
        <f>SUM(H23:H27)</f>
        <v>0.21231273875624512</v>
      </c>
      <c r="I28" s="8">
        <f>SUM(I23:I27)</f>
        <v>0.21231273691479471</v>
      </c>
      <c r="J28" s="8">
        <f>SUM(J23:J27)</f>
        <v>0.21231273819403418</v>
      </c>
      <c r="K28" s="18"/>
      <c r="L28" s="18" t="s">
        <v>108</v>
      </c>
      <c r="M28" s="18"/>
    </row>
    <row r="29" spans="1:13" x14ac:dyDescent="0.25">
      <c r="A29" s="4">
        <v>14</v>
      </c>
      <c r="B29" s="18" t="s">
        <v>11</v>
      </c>
      <c r="C29" s="18"/>
      <c r="D29" s="18"/>
      <c r="E29" s="18"/>
      <c r="F29" s="8"/>
      <c r="G29" s="8"/>
      <c r="H29" s="8"/>
      <c r="I29" s="8">
        <f>I62/I63</f>
        <v>0.12239902080783353</v>
      </c>
      <c r="J29" s="8">
        <f>J62/J64</f>
        <v>7.5930144267274111E-2</v>
      </c>
      <c r="K29" s="18"/>
      <c r="L29" s="18" t="s">
        <v>113</v>
      </c>
      <c r="M29" s="18"/>
    </row>
    <row r="30" spans="1:13" x14ac:dyDescent="0.25">
      <c r="A30" s="4">
        <v>15</v>
      </c>
      <c r="B30" s="52" t="s">
        <v>110</v>
      </c>
      <c r="C30" s="52"/>
      <c r="D30" s="37"/>
      <c r="E30" s="37"/>
      <c r="F30" s="11"/>
      <c r="G30" s="11"/>
      <c r="H30" s="11"/>
      <c r="I30" s="67">
        <f>(I16*I28)*I29</f>
        <v>8.7577790655076715</v>
      </c>
      <c r="J30" s="67">
        <f>(J16*J28)*J29</f>
        <v>7.4016696299363831</v>
      </c>
      <c r="K30" s="18"/>
      <c r="L30" s="18" t="s">
        <v>109</v>
      </c>
      <c r="M30" s="18"/>
    </row>
    <row r="31" spans="1:13" x14ac:dyDescent="0.25">
      <c r="A31" s="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x14ac:dyDescent="0.25">
      <c r="A32" s="4"/>
      <c r="B32" s="3" t="s">
        <v>12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6" x14ac:dyDescent="0.25">
      <c r="A33" s="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6" x14ac:dyDescent="0.25">
      <c r="A34" s="4" t="s">
        <v>13</v>
      </c>
      <c r="B34" s="18" t="s">
        <v>53</v>
      </c>
      <c r="C34" s="18"/>
      <c r="D34" s="18"/>
      <c r="E34" s="18"/>
      <c r="F34" s="6">
        <v>63697773</v>
      </c>
      <c r="G34" s="6">
        <f>F34</f>
        <v>63697773</v>
      </c>
      <c r="H34" s="6">
        <f t="shared" ref="H34:J34" si="5">G34</f>
        <v>63697773</v>
      </c>
      <c r="I34" s="6">
        <f t="shared" si="5"/>
        <v>63697773</v>
      </c>
      <c r="J34" s="6">
        <f t="shared" si="5"/>
        <v>63697773</v>
      </c>
      <c r="K34" s="18"/>
      <c r="L34" s="53" t="s">
        <v>99</v>
      </c>
      <c r="M34" s="18"/>
    </row>
    <row r="35" spans="1:16" x14ac:dyDescent="0.25">
      <c r="A35" s="4" t="s">
        <v>14</v>
      </c>
      <c r="B35" s="18" t="s">
        <v>54</v>
      </c>
      <c r="C35" s="18"/>
      <c r="D35" s="18"/>
      <c r="E35" s="18"/>
      <c r="F35" s="6">
        <v>152298366</v>
      </c>
      <c r="G35" s="6">
        <f>F35</f>
        <v>152298366</v>
      </c>
      <c r="H35" s="6">
        <f t="shared" ref="H35:J35" si="6">G35</f>
        <v>152298366</v>
      </c>
      <c r="I35" s="6">
        <f t="shared" si="6"/>
        <v>152298366</v>
      </c>
      <c r="J35" s="6">
        <f t="shared" si="6"/>
        <v>152298366</v>
      </c>
      <c r="K35" s="18"/>
      <c r="L35" s="53" t="s">
        <v>98</v>
      </c>
      <c r="M35" s="18"/>
    </row>
    <row r="36" spans="1:16" x14ac:dyDescent="0.25">
      <c r="A36" s="4"/>
      <c r="B36" s="18" t="s">
        <v>55</v>
      </c>
      <c r="C36" s="18"/>
      <c r="D36" s="18"/>
      <c r="E36" s="18"/>
      <c r="F36" s="6">
        <v>28443179</v>
      </c>
      <c r="G36" s="6">
        <f t="shared" ref="G36:G38" si="7">F36</f>
        <v>28443179</v>
      </c>
      <c r="H36" s="6">
        <f t="shared" ref="H36:H38" si="8">G36</f>
        <v>28443179</v>
      </c>
      <c r="I36" s="6">
        <f t="shared" ref="I36:I38" si="9">H36</f>
        <v>28443179</v>
      </c>
      <c r="J36" s="6">
        <f t="shared" ref="J36:J38" si="10">I36</f>
        <v>28443179</v>
      </c>
      <c r="K36" s="18"/>
      <c r="L36" s="52" t="s">
        <v>63</v>
      </c>
      <c r="M36" s="18"/>
      <c r="N36" s="19"/>
    </row>
    <row r="37" spans="1:16" x14ac:dyDescent="0.25">
      <c r="A37" s="4"/>
      <c r="B37" s="18" t="s">
        <v>56</v>
      </c>
      <c r="C37" s="18"/>
      <c r="D37" s="18"/>
      <c r="E37" s="18"/>
      <c r="F37" s="6">
        <v>36658553</v>
      </c>
      <c r="G37" s="6">
        <f t="shared" si="7"/>
        <v>36658553</v>
      </c>
      <c r="H37" s="6">
        <f t="shared" si="8"/>
        <v>36658553</v>
      </c>
      <c r="I37" s="6">
        <f t="shared" si="9"/>
        <v>36658553</v>
      </c>
      <c r="J37" s="6">
        <f t="shared" si="10"/>
        <v>36658553</v>
      </c>
      <c r="K37" s="18"/>
      <c r="L37" s="52" t="s">
        <v>63</v>
      </c>
      <c r="M37" s="18"/>
      <c r="N37" s="19"/>
    </row>
    <row r="38" spans="1:16" x14ac:dyDescent="0.25">
      <c r="A38" s="4"/>
      <c r="B38" s="18" t="s">
        <v>15</v>
      </c>
      <c r="C38" s="18"/>
      <c r="D38" s="18"/>
      <c r="E38" s="18"/>
      <c r="F38" s="6">
        <v>10739860</v>
      </c>
      <c r="G38" s="6">
        <f t="shared" si="7"/>
        <v>10739860</v>
      </c>
      <c r="H38" s="6">
        <f t="shared" si="8"/>
        <v>10739860</v>
      </c>
      <c r="I38" s="6">
        <f t="shared" si="9"/>
        <v>10739860</v>
      </c>
      <c r="J38" s="6">
        <f t="shared" si="10"/>
        <v>10739860</v>
      </c>
      <c r="K38" s="18"/>
      <c r="L38" s="52" t="s">
        <v>63</v>
      </c>
      <c r="M38" s="18"/>
      <c r="N38" s="19"/>
    </row>
    <row r="39" spans="1:16" x14ac:dyDescent="0.25">
      <c r="A39" s="4" t="s">
        <v>16</v>
      </c>
      <c r="B39" s="18" t="s">
        <v>57</v>
      </c>
      <c r="C39" s="18"/>
      <c r="D39" s="18"/>
      <c r="E39" s="18"/>
      <c r="F39" s="6">
        <v>484361125</v>
      </c>
      <c r="G39" s="6">
        <f t="shared" ref="G39:G56" si="11">F39</f>
        <v>484361125</v>
      </c>
      <c r="H39" s="6">
        <f t="shared" ref="H39:J39" si="12">G39</f>
        <v>484361125</v>
      </c>
      <c r="I39" s="6">
        <f t="shared" si="12"/>
        <v>484361125</v>
      </c>
      <c r="J39" s="6">
        <f t="shared" si="12"/>
        <v>484361125</v>
      </c>
      <c r="K39" s="18"/>
      <c r="L39" s="53" t="s">
        <v>94</v>
      </c>
      <c r="M39" s="18"/>
    </row>
    <row r="40" spans="1:16" x14ac:dyDescent="0.25">
      <c r="A40" s="4" t="s">
        <v>17</v>
      </c>
      <c r="B40" s="18" t="s">
        <v>58</v>
      </c>
      <c r="C40" s="18"/>
      <c r="D40" s="18"/>
      <c r="E40" s="18"/>
      <c r="F40" s="61">
        <v>40591</v>
      </c>
      <c r="G40" s="59">
        <f t="shared" si="11"/>
        <v>40591</v>
      </c>
      <c r="H40" s="59">
        <f t="shared" ref="H40:J40" si="13">G40</f>
        <v>40591</v>
      </c>
      <c r="I40" s="59">
        <f t="shared" si="13"/>
        <v>40591</v>
      </c>
      <c r="J40" s="59">
        <f t="shared" si="13"/>
        <v>40591</v>
      </c>
      <c r="K40" s="52"/>
      <c r="L40" s="52" t="s">
        <v>59</v>
      </c>
      <c r="M40" s="18"/>
      <c r="N40" s="12"/>
    </row>
    <row r="41" spans="1:16" x14ac:dyDescent="0.25">
      <c r="A41" s="4" t="s">
        <v>18</v>
      </c>
      <c r="B41" s="18" t="s">
        <v>60</v>
      </c>
      <c r="C41" s="18"/>
      <c r="D41" s="18"/>
      <c r="E41" s="18"/>
      <c r="F41" s="6">
        <v>7798853</v>
      </c>
      <c r="G41" s="6">
        <f t="shared" si="11"/>
        <v>7798853</v>
      </c>
      <c r="H41" s="6">
        <f t="shared" ref="H41:J45" si="14">G41</f>
        <v>7798853</v>
      </c>
      <c r="I41" s="6">
        <f t="shared" si="14"/>
        <v>7798853</v>
      </c>
      <c r="J41" s="6">
        <f t="shared" si="14"/>
        <v>7798853</v>
      </c>
      <c r="K41" s="18"/>
      <c r="L41" s="53" t="s">
        <v>100</v>
      </c>
      <c r="M41" s="18"/>
    </row>
    <row r="42" spans="1:16" x14ac:dyDescent="0.25">
      <c r="A42" s="4" t="s">
        <v>19</v>
      </c>
      <c r="B42" s="18" t="s">
        <v>61</v>
      </c>
      <c r="C42" s="18"/>
      <c r="D42" s="18"/>
      <c r="E42" s="18"/>
      <c r="F42" s="6">
        <v>129337051</v>
      </c>
      <c r="G42" s="6">
        <f t="shared" si="11"/>
        <v>129337051</v>
      </c>
      <c r="H42" s="6">
        <f t="shared" si="14"/>
        <v>129337051</v>
      </c>
      <c r="I42" s="6">
        <f t="shared" si="14"/>
        <v>129337051</v>
      </c>
      <c r="J42" s="6">
        <f t="shared" si="14"/>
        <v>129337051</v>
      </c>
      <c r="K42" s="18"/>
      <c r="L42" s="53" t="s">
        <v>101</v>
      </c>
      <c r="M42" s="18"/>
    </row>
    <row r="43" spans="1:16" x14ac:dyDescent="0.25">
      <c r="A43" s="4" t="s">
        <v>20</v>
      </c>
      <c r="B43" s="18" t="s">
        <v>62</v>
      </c>
      <c r="C43" s="18"/>
      <c r="D43" s="18"/>
      <c r="E43" s="18"/>
      <c r="F43" s="6">
        <v>21034978</v>
      </c>
      <c r="G43" s="6">
        <f t="shared" si="11"/>
        <v>21034978</v>
      </c>
      <c r="H43" s="6">
        <f t="shared" si="14"/>
        <v>21034978</v>
      </c>
      <c r="I43" s="6">
        <f t="shared" si="14"/>
        <v>21034978</v>
      </c>
      <c r="J43" s="6">
        <f t="shared" si="14"/>
        <v>21034978</v>
      </c>
      <c r="K43" s="18"/>
      <c r="L43" s="53" t="s">
        <v>102</v>
      </c>
      <c r="M43" s="18"/>
    </row>
    <row r="44" spans="1:16" x14ac:dyDescent="0.25">
      <c r="A44" s="4" t="s">
        <v>21</v>
      </c>
      <c r="B44" s="18" t="s">
        <v>22</v>
      </c>
      <c r="C44" s="18"/>
      <c r="D44" s="18"/>
      <c r="E44" s="18"/>
      <c r="F44" s="60">
        <v>2.0899999999999998E-2</v>
      </c>
      <c r="G44" s="60">
        <f t="shared" si="11"/>
        <v>2.0899999999999998E-2</v>
      </c>
      <c r="H44" s="60">
        <f t="shared" ref="H44:J44" si="15">G44</f>
        <v>2.0899999999999998E-2</v>
      </c>
      <c r="I44" s="60">
        <f t="shared" si="15"/>
        <v>2.0899999999999998E-2</v>
      </c>
      <c r="J44" s="60">
        <f t="shared" si="15"/>
        <v>2.0899999999999998E-2</v>
      </c>
      <c r="K44" s="52"/>
      <c r="L44" s="52" t="s">
        <v>63</v>
      </c>
      <c r="M44" s="18"/>
      <c r="N44" s="18"/>
    </row>
    <row r="45" spans="1:16" x14ac:dyDescent="0.25">
      <c r="A45" s="4" t="s">
        <v>23</v>
      </c>
      <c r="B45" s="18" t="s">
        <v>64</v>
      </c>
      <c r="C45" s="18"/>
      <c r="D45" s="18"/>
      <c r="E45" s="18"/>
      <c r="F45" s="6">
        <v>20261581</v>
      </c>
      <c r="G45" s="6">
        <f t="shared" si="11"/>
        <v>20261581</v>
      </c>
      <c r="H45" s="6">
        <f t="shared" si="14"/>
        <v>20261581</v>
      </c>
      <c r="I45" s="6">
        <f t="shared" si="14"/>
        <v>20261581</v>
      </c>
      <c r="J45" s="6">
        <f t="shared" si="14"/>
        <v>20261581</v>
      </c>
      <c r="K45" s="18"/>
      <c r="L45" s="53" t="s">
        <v>95</v>
      </c>
      <c r="M45" s="18"/>
    </row>
    <row r="46" spans="1:16" x14ac:dyDescent="0.25">
      <c r="A46" s="4" t="s">
        <v>24</v>
      </c>
      <c r="B46" s="18" t="s">
        <v>65</v>
      </c>
      <c r="C46" s="18"/>
      <c r="D46" s="18"/>
      <c r="E46" s="18"/>
      <c r="F46" s="6">
        <v>1769143870</v>
      </c>
      <c r="G46" s="6">
        <f t="shared" si="11"/>
        <v>1769143870</v>
      </c>
      <c r="H46" s="6">
        <f t="shared" ref="H46:J50" si="16">G46</f>
        <v>1769143870</v>
      </c>
      <c r="I46" s="6">
        <f t="shared" si="16"/>
        <v>1769143870</v>
      </c>
      <c r="J46" s="6">
        <f t="shared" si="16"/>
        <v>1769143870</v>
      </c>
      <c r="K46" s="18"/>
      <c r="L46" s="53" t="s">
        <v>96</v>
      </c>
      <c r="M46" s="13"/>
      <c r="N46" s="14"/>
      <c r="P46" s="10"/>
    </row>
    <row r="47" spans="1:16" x14ac:dyDescent="0.25">
      <c r="A47" s="4" t="s">
        <v>25</v>
      </c>
      <c r="B47" s="18" t="s">
        <v>26</v>
      </c>
      <c r="C47" s="18"/>
      <c r="D47" s="18"/>
      <c r="E47" s="18"/>
      <c r="F47" s="6">
        <v>783462699</v>
      </c>
      <c r="G47" s="6">
        <f t="shared" si="11"/>
        <v>783462699</v>
      </c>
      <c r="H47" s="6">
        <f t="shared" si="16"/>
        <v>783462699</v>
      </c>
      <c r="I47" s="6">
        <f t="shared" si="16"/>
        <v>783462699</v>
      </c>
      <c r="J47" s="6">
        <f t="shared" si="16"/>
        <v>783462699</v>
      </c>
      <c r="K47" s="18"/>
      <c r="L47" s="53" t="s">
        <v>97</v>
      </c>
      <c r="M47" s="18"/>
    </row>
    <row r="48" spans="1:16" x14ac:dyDescent="0.25">
      <c r="A48" s="4"/>
      <c r="B48" s="52" t="s">
        <v>119</v>
      </c>
      <c r="C48" s="52"/>
      <c r="D48" s="52"/>
      <c r="E48" s="52"/>
      <c r="F48" s="6">
        <v>0</v>
      </c>
      <c r="G48" s="6">
        <f t="shared" si="11"/>
        <v>0</v>
      </c>
      <c r="H48" s="6">
        <f t="shared" si="16"/>
        <v>0</v>
      </c>
      <c r="I48" s="6">
        <f t="shared" si="16"/>
        <v>0</v>
      </c>
      <c r="J48" s="6">
        <f t="shared" si="16"/>
        <v>0</v>
      </c>
      <c r="K48" s="52"/>
      <c r="L48" s="53" t="s">
        <v>139</v>
      </c>
      <c r="M48" s="52"/>
      <c r="N48" s="12"/>
    </row>
    <row r="49" spans="1:14" x14ac:dyDescent="0.25">
      <c r="A49" s="4"/>
      <c r="B49" s="52" t="s">
        <v>120</v>
      </c>
      <c r="C49" s="52"/>
      <c r="D49" s="52"/>
      <c r="E49" s="52"/>
      <c r="F49" s="6">
        <v>198573426</v>
      </c>
      <c r="G49" s="6">
        <f t="shared" si="11"/>
        <v>198573426</v>
      </c>
      <c r="H49" s="6">
        <f t="shared" si="16"/>
        <v>198573426</v>
      </c>
      <c r="I49" s="6">
        <f t="shared" si="16"/>
        <v>198573426</v>
      </c>
      <c r="J49" s="6">
        <f t="shared" si="16"/>
        <v>198573426</v>
      </c>
      <c r="K49" s="52"/>
      <c r="L49" s="53" t="s">
        <v>140</v>
      </c>
      <c r="M49" s="52"/>
      <c r="N49" s="12"/>
    </row>
    <row r="50" spans="1:14" x14ac:dyDescent="0.25">
      <c r="A50" s="4"/>
      <c r="B50" s="52" t="s">
        <v>121</v>
      </c>
      <c r="C50" s="52"/>
      <c r="D50" s="52"/>
      <c r="E50" s="52"/>
      <c r="F50" s="6">
        <v>24318670</v>
      </c>
      <c r="G50" s="6">
        <f t="shared" si="11"/>
        <v>24318670</v>
      </c>
      <c r="H50" s="6">
        <f t="shared" si="16"/>
        <v>24318670</v>
      </c>
      <c r="I50" s="6">
        <f t="shared" si="16"/>
        <v>24318670</v>
      </c>
      <c r="J50" s="6">
        <f t="shared" si="16"/>
        <v>24318670</v>
      </c>
      <c r="K50" s="52"/>
      <c r="L50" s="53" t="s">
        <v>141</v>
      </c>
      <c r="M50" s="52"/>
      <c r="N50" s="12"/>
    </row>
    <row r="51" spans="1:14" x14ac:dyDescent="0.25">
      <c r="A51" s="4" t="s">
        <v>27</v>
      </c>
      <c r="B51" s="18" t="s">
        <v>66</v>
      </c>
      <c r="C51" s="18"/>
      <c r="D51" s="18"/>
      <c r="E51" s="18"/>
      <c r="F51" s="6">
        <v>11432511</v>
      </c>
      <c r="G51" s="6">
        <f t="shared" si="11"/>
        <v>11432511</v>
      </c>
      <c r="H51" s="6">
        <f t="shared" ref="H51:J56" si="17">G51</f>
        <v>11432511</v>
      </c>
      <c r="I51" s="6">
        <f t="shared" si="17"/>
        <v>11432511</v>
      </c>
      <c r="J51" s="6">
        <f t="shared" si="17"/>
        <v>11432511</v>
      </c>
      <c r="K51" s="18"/>
      <c r="L51" s="53" t="s">
        <v>151</v>
      </c>
      <c r="M51" s="18"/>
    </row>
    <row r="52" spans="1:14" x14ac:dyDescent="0.25">
      <c r="A52" s="4" t="s">
        <v>28</v>
      </c>
      <c r="B52" s="18" t="s">
        <v>67</v>
      </c>
      <c r="C52" s="18"/>
      <c r="D52" s="18"/>
      <c r="E52" s="18"/>
      <c r="F52" s="6">
        <v>-14264509</v>
      </c>
      <c r="G52" s="6">
        <f t="shared" si="11"/>
        <v>-14264509</v>
      </c>
      <c r="H52" s="6">
        <f t="shared" si="17"/>
        <v>-14264509</v>
      </c>
      <c r="I52" s="6">
        <f t="shared" si="17"/>
        <v>-14264509</v>
      </c>
      <c r="J52" s="6">
        <f t="shared" si="17"/>
        <v>-14264509</v>
      </c>
      <c r="K52" s="18"/>
      <c r="L52" s="53" t="s">
        <v>152</v>
      </c>
      <c r="M52" s="18"/>
    </row>
    <row r="53" spans="1:14" x14ac:dyDescent="0.25">
      <c r="A53" s="4" t="s">
        <v>29</v>
      </c>
      <c r="B53" s="18" t="s">
        <v>68</v>
      </c>
      <c r="C53" s="18"/>
      <c r="D53" s="18"/>
      <c r="E53" s="18"/>
      <c r="F53" s="6">
        <v>-2541597</v>
      </c>
      <c r="G53" s="6">
        <f t="shared" si="11"/>
        <v>-2541597</v>
      </c>
      <c r="H53" s="6">
        <f t="shared" si="17"/>
        <v>-2541597</v>
      </c>
      <c r="I53" s="6">
        <f t="shared" si="17"/>
        <v>-2541597</v>
      </c>
      <c r="J53" s="6">
        <f t="shared" si="17"/>
        <v>-2541597</v>
      </c>
      <c r="K53" s="18"/>
      <c r="L53" s="53" t="s">
        <v>153</v>
      </c>
      <c r="M53" s="18"/>
    </row>
    <row r="54" spans="1:14" x14ac:dyDescent="0.25">
      <c r="A54" s="4" t="s">
        <v>30</v>
      </c>
      <c r="B54" s="18" t="s">
        <v>69</v>
      </c>
      <c r="C54" s="18"/>
      <c r="D54" s="18"/>
      <c r="E54" s="18"/>
      <c r="F54" s="6">
        <v>60637987</v>
      </c>
      <c r="G54" s="6">
        <f t="shared" si="11"/>
        <v>60637987</v>
      </c>
      <c r="H54" s="6">
        <f t="shared" si="17"/>
        <v>60637987</v>
      </c>
      <c r="I54" s="6">
        <f t="shared" si="17"/>
        <v>60637987</v>
      </c>
      <c r="J54" s="6">
        <f t="shared" si="17"/>
        <v>60637987</v>
      </c>
      <c r="K54" s="18"/>
      <c r="L54" s="53" t="s">
        <v>154</v>
      </c>
      <c r="M54" s="18"/>
    </row>
    <row r="55" spans="1:14" x14ac:dyDescent="0.25">
      <c r="A55" s="4" t="s">
        <v>35</v>
      </c>
      <c r="B55" s="13" t="s">
        <v>70</v>
      </c>
      <c r="C55" s="18"/>
      <c r="D55" s="18"/>
      <c r="E55" s="18"/>
      <c r="F55" s="6">
        <v>-35143993</v>
      </c>
      <c r="G55" s="6">
        <f t="shared" si="11"/>
        <v>-35143993</v>
      </c>
      <c r="H55" s="6">
        <f t="shared" si="17"/>
        <v>-35143993</v>
      </c>
      <c r="I55" s="6">
        <f t="shared" si="17"/>
        <v>-35143993</v>
      </c>
      <c r="J55" s="6">
        <f t="shared" si="17"/>
        <v>-35143993</v>
      </c>
      <c r="K55" s="18"/>
      <c r="L55" s="53" t="s">
        <v>155</v>
      </c>
      <c r="M55" s="18"/>
    </row>
    <row r="56" spans="1:14" x14ac:dyDescent="0.25">
      <c r="A56" s="4" t="s">
        <v>36</v>
      </c>
      <c r="B56" s="18" t="s">
        <v>71</v>
      </c>
      <c r="C56" s="18"/>
      <c r="D56" s="18"/>
      <c r="E56" s="18"/>
      <c r="F56" s="6">
        <v>-11335</v>
      </c>
      <c r="G56" s="6">
        <f t="shared" si="11"/>
        <v>-11335</v>
      </c>
      <c r="H56" s="6">
        <f t="shared" si="17"/>
        <v>-11335</v>
      </c>
      <c r="I56" s="6">
        <f t="shared" si="17"/>
        <v>-11335</v>
      </c>
      <c r="J56" s="6">
        <f t="shared" si="17"/>
        <v>-11335</v>
      </c>
      <c r="K56" s="18"/>
      <c r="L56" s="53" t="s">
        <v>156</v>
      </c>
      <c r="M56" s="18"/>
    </row>
    <row r="57" spans="1:14" x14ac:dyDescent="0.25">
      <c r="A57" s="4" t="s">
        <v>37</v>
      </c>
      <c r="B57" s="18" t="s">
        <v>122</v>
      </c>
      <c r="C57" s="18"/>
      <c r="D57" s="18"/>
      <c r="E57" s="18"/>
      <c r="F57" s="6">
        <f>'DEK Deferred Tax Calc - Pole '!H18</f>
        <v>-167005171</v>
      </c>
      <c r="G57" s="6">
        <f t="shared" ref="G57:H61" si="18">F57</f>
        <v>-167005171</v>
      </c>
      <c r="H57" s="6">
        <f t="shared" si="18"/>
        <v>-167005171</v>
      </c>
      <c r="I57" s="6">
        <f t="shared" ref="I57:J60" si="19">G57</f>
        <v>-167005171</v>
      </c>
      <c r="J57" s="6">
        <f t="shared" si="19"/>
        <v>-167005171</v>
      </c>
      <c r="K57" s="18"/>
      <c r="L57" s="18" t="s">
        <v>32</v>
      </c>
      <c r="M57" s="18"/>
    </row>
    <row r="58" spans="1:14" x14ac:dyDescent="0.25">
      <c r="A58" s="4"/>
      <c r="B58" s="18" t="s">
        <v>31</v>
      </c>
      <c r="C58" s="18"/>
      <c r="D58" s="18"/>
      <c r="E58" s="18"/>
      <c r="F58" s="6">
        <f>'DEK Deferred Tax Calc - Pole '!H23</f>
        <v>-6012186</v>
      </c>
      <c r="G58" s="6">
        <f t="shared" si="18"/>
        <v>-6012186</v>
      </c>
      <c r="H58" s="6">
        <f t="shared" si="18"/>
        <v>-6012186</v>
      </c>
      <c r="I58" s="6">
        <f t="shared" si="19"/>
        <v>-6012186</v>
      </c>
      <c r="J58" s="6">
        <f t="shared" si="19"/>
        <v>-6012186</v>
      </c>
      <c r="K58" s="18"/>
      <c r="L58" s="18" t="s">
        <v>32</v>
      </c>
      <c r="M58" s="18"/>
    </row>
    <row r="59" spans="1:14" x14ac:dyDescent="0.25">
      <c r="A59" s="4"/>
      <c r="B59" s="18" t="s">
        <v>33</v>
      </c>
      <c r="C59" s="18"/>
      <c r="D59" s="18"/>
      <c r="E59" s="18"/>
      <c r="F59" s="6">
        <f>'DEK Deferred Tax Calc - Pole '!H24</f>
        <v>-12208078</v>
      </c>
      <c r="G59" s="6">
        <f t="shared" si="18"/>
        <v>-12208078</v>
      </c>
      <c r="H59" s="6">
        <f t="shared" si="18"/>
        <v>-12208078</v>
      </c>
      <c r="I59" s="6">
        <f t="shared" si="19"/>
        <v>-12208078</v>
      </c>
      <c r="J59" s="6">
        <f t="shared" si="19"/>
        <v>-12208078</v>
      </c>
      <c r="K59" s="18"/>
      <c r="L59" s="18" t="s">
        <v>32</v>
      </c>
      <c r="M59" s="18"/>
    </row>
    <row r="60" spans="1:14" x14ac:dyDescent="0.25">
      <c r="A60" s="4"/>
      <c r="B60" s="18" t="s">
        <v>34</v>
      </c>
      <c r="C60" s="18"/>
      <c r="D60" s="18"/>
      <c r="E60" s="18"/>
      <c r="F60" s="6">
        <f>'DEK Deferred Tax Calc - Pole '!H25</f>
        <v>-1987362</v>
      </c>
      <c r="G60" s="6">
        <f t="shared" si="18"/>
        <v>-1987362</v>
      </c>
      <c r="H60" s="6">
        <f t="shared" si="18"/>
        <v>-1987362</v>
      </c>
      <c r="I60" s="6">
        <f t="shared" si="19"/>
        <v>-1987362</v>
      </c>
      <c r="J60" s="6">
        <f t="shared" si="19"/>
        <v>-1987362</v>
      </c>
      <c r="K60" s="18"/>
      <c r="L60" s="18" t="s">
        <v>32</v>
      </c>
      <c r="M60" s="18"/>
    </row>
    <row r="61" spans="1:14" x14ac:dyDescent="0.25">
      <c r="A61" s="4" t="s">
        <v>38</v>
      </c>
      <c r="B61" s="18" t="s">
        <v>9</v>
      </c>
      <c r="C61" s="18"/>
      <c r="D61" s="18"/>
      <c r="E61" s="18"/>
      <c r="F61" s="39">
        <v>6.83E-2</v>
      </c>
      <c r="G61" s="8">
        <f>F61</f>
        <v>6.83E-2</v>
      </c>
      <c r="H61" s="8">
        <f t="shared" si="18"/>
        <v>6.83E-2</v>
      </c>
      <c r="I61" s="8">
        <f t="shared" ref="I61:J61" si="20">H61</f>
        <v>6.83E-2</v>
      </c>
      <c r="J61" s="8">
        <f t="shared" si="20"/>
        <v>6.83E-2</v>
      </c>
      <c r="K61" s="52"/>
      <c r="L61" s="52" t="s">
        <v>163</v>
      </c>
      <c r="M61" s="18"/>
    </row>
    <row r="62" spans="1:14" x14ac:dyDescent="0.25">
      <c r="A62" s="40" t="s">
        <v>39</v>
      </c>
      <c r="B62" s="41" t="s">
        <v>111</v>
      </c>
      <c r="C62" s="42"/>
      <c r="D62" s="42"/>
      <c r="E62" s="43"/>
      <c r="F62" s="44">
        <v>1</v>
      </c>
      <c r="G62" s="44">
        <v>1</v>
      </c>
      <c r="H62" s="44">
        <v>1</v>
      </c>
      <c r="I62" s="44">
        <v>1</v>
      </c>
      <c r="J62" s="44">
        <v>1</v>
      </c>
      <c r="K62" s="43"/>
      <c r="L62" s="41" t="s">
        <v>130</v>
      </c>
      <c r="M62" s="43"/>
    </row>
    <row r="63" spans="1:14" x14ac:dyDescent="0.25">
      <c r="A63" s="40" t="s">
        <v>40</v>
      </c>
      <c r="B63" s="41" t="s">
        <v>131</v>
      </c>
      <c r="C63" s="42"/>
      <c r="D63" s="42"/>
      <c r="E63" s="43"/>
      <c r="F63" s="41"/>
      <c r="G63" s="41"/>
      <c r="H63" s="41"/>
      <c r="I63" s="41">
        <v>8.17</v>
      </c>
      <c r="J63" s="41">
        <v>8.17</v>
      </c>
      <c r="K63" s="43"/>
      <c r="L63" s="41" t="s">
        <v>130</v>
      </c>
      <c r="M63" s="43"/>
    </row>
    <row r="64" spans="1:14" x14ac:dyDescent="0.25">
      <c r="A64" s="40" t="s">
        <v>41</v>
      </c>
      <c r="B64" s="41" t="s">
        <v>132</v>
      </c>
      <c r="C64" s="42"/>
      <c r="D64" s="42"/>
      <c r="E64" s="43"/>
      <c r="F64" s="41"/>
      <c r="G64" s="41"/>
      <c r="H64" s="41"/>
      <c r="I64" s="41">
        <v>13.17</v>
      </c>
      <c r="J64" s="41">
        <v>13.17</v>
      </c>
      <c r="K64" s="43"/>
      <c r="L64" s="41" t="s">
        <v>130</v>
      </c>
      <c r="M64" s="43"/>
    </row>
    <row r="65" spans="1:27" x14ac:dyDescent="0.25">
      <c r="A65" s="40" t="s">
        <v>133</v>
      </c>
      <c r="B65" s="41" t="s">
        <v>134</v>
      </c>
      <c r="C65" s="42"/>
      <c r="D65" s="42"/>
      <c r="E65" s="43"/>
      <c r="F65" s="41"/>
      <c r="G65" s="41"/>
      <c r="H65" s="41"/>
      <c r="I65" s="41">
        <v>37.5</v>
      </c>
      <c r="J65" s="41">
        <v>37.5</v>
      </c>
      <c r="K65" s="43"/>
      <c r="L65" s="41" t="s">
        <v>130</v>
      </c>
      <c r="M65" s="43"/>
    </row>
    <row r="66" spans="1:27" x14ac:dyDescent="0.25">
      <c r="A66" s="40" t="s">
        <v>91</v>
      </c>
      <c r="B66" s="41" t="s">
        <v>135</v>
      </c>
      <c r="C66" s="42"/>
      <c r="D66" s="42"/>
      <c r="E66" s="43"/>
      <c r="F66" s="41"/>
      <c r="G66" s="41"/>
      <c r="H66" s="41"/>
      <c r="I66" s="41">
        <v>42.5</v>
      </c>
      <c r="J66" s="41">
        <v>42.5</v>
      </c>
      <c r="K66" s="43"/>
      <c r="L66" s="41" t="s">
        <v>130</v>
      </c>
      <c r="M66" s="43"/>
    </row>
    <row r="67" spans="1:27" ht="15" x14ac:dyDescent="0.25">
      <c r="A67" s="16"/>
    </row>
    <row r="68" spans="1:27" ht="15" x14ac:dyDescent="0.25">
      <c r="A68" s="16"/>
    </row>
    <row r="69" spans="1:27" ht="15" x14ac:dyDescent="0.25">
      <c r="A69" s="16"/>
    </row>
    <row r="70" spans="1:27" ht="15" x14ac:dyDescent="0.25">
      <c r="A70" s="16"/>
    </row>
    <row r="71" spans="1:27" ht="15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5" x14ac:dyDescent="0.25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" x14ac:dyDescent="0.2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5" x14ac:dyDescent="0.25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2:27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2:27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2:27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2:27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2:27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2:27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2:27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2:27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</sheetData>
  <pageMargins left="0.75" right="0.75" top="1" bottom="1" header="0.5" footer="0.5"/>
  <pageSetup scale="46" orientation="portrait" r:id="rId1"/>
  <headerFooter alignWithMargins="0">
    <oddHeader>&amp;R&amp;"Times New Roman,Bold"KyPSC Case No. 2019-00271
STAFF-DR-01-054 Attachment - JLK4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86"/>
  <sheetViews>
    <sheetView tabSelected="1" view="pageLayout" zoomScaleNormal="100" workbookViewId="0">
      <selection activeCell="E37" sqref="E37"/>
    </sheetView>
  </sheetViews>
  <sheetFormatPr defaultColWidth="9.109375" defaultRowHeight="13.2" x14ac:dyDescent="0.25"/>
  <cols>
    <col min="1" max="1" width="3.6640625" style="21" customWidth="1"/>
    <col min="2" max="2" width="42.88671875" style="21" customWidth="1"/>
    <col min="3" max="3" width="1.6640625" style="21" customWidth="1"/>
    <col min="4" max="4" width="16.6640625" style="21" bestFit="1" customWidth="1"/>
    <col min="5" max="5" width="1.33203125" style="21" customWidth="1"/>
    <col min="6" max="6" width="11" style="21" customWidth="1"/>
    <col min="7" max="7" width="1" style="21" customWidth="1"/>
    <col min="8" max="8" width="15.109375" style="21" bestFit="1" customWidth="1"/>
    <col min="9" max="9" width="1.88671875" style="21" customWidth="1"/>
    <col min="10" max="10" width="10.109375" style="21" customWidth="1"/>
    <col min="11" max="16384" width="9.109375" style="21"/>
  </cols>
  <sheetData>
    <row r="4" spans="2:10" x14ac:dyDescent="0.25">
      <c r="B4" s="47" t="s">
        <v>136</v>
      </c>
    </row>
    <row r="5" spans="2:10" x14ac:dyDescent="0.25">
      <c r="B5" s="21" t="s">
        <v>72</v>
      </c>
    </row>
    <row r="6" spans="2:10" x14ac:dyDescent="0.25">
      <c r="B6" s="21" t="s">
        <v>73</v>
      </c>
    </row>
    <row r="7" spans="2:10" x14ac:dyDescent="0.25">
      <c r="B7" s="48" t="s">
        <v>157</v>
      </c>
    </row>
    <row r="9" spans="2:10" x14ac:dyDescent="0.25">
      <c r="B9" s="21" t="s">
        <v>90</v>
      </c>
      <c r="J9" s="22" t="s">
        <v>74</v>
      </c>
    </row>
    <row r="10" spans="2:10" x14ac:dyDescent="0.25">
      <c r="H10" s="23" t="s">
        <v>75</v>
      </c>
      <c r="J10" s="22" t="s">
        <v>76</v>
      </c>
    </row>
    <row r="11" spans="2:10" x14ac:dyDescent="0.25">
      <c r="H11" s="24" t="s">
        <v>77</v>
      </c>
      <c r="J11" s="22" t="s">
        <v>78</v>
      </c>
    </row>
    <row r="12" spans="2:10" x14ac:dyDescent="0.25">
      <c r="H12" s="25" t="s">
        <v>79</v>
      </c>
    </row>
    <row r="13" spans="2:10" x14ac:dyDescent="0.25">
      <c r="B13" s="21" t="s">
        <v>80</v>
      </c>
      <c r="D13" s="21" t="s">
        <v>81</v>
      </c>
      <c r="H13" s="56">
        <v>55886925</v>
      </c>
      <c r="J13" s="36" t="s">
        <v>129</v>
      </c>
    </row>
    <row r="14" spans="2:10" x14ac:dyDescent="0.25">
      <c r="B14" s="21" t="s">
        <v>114</v>
      </c>
      <c r="H14" s="33">
        <v>0</v>
      </c>
      <c r="J14" s="36" t="s">
        <v>123</v>
      </c>
    </row>
    <row r="15" spans="2:10" x14ac:dyDescent="0.25">
      <c r="B15" s="21" t="s">
        <v>115</v>
      </c>
      <c r="H15" s="54">
        <v>-198573426</v>
      </c>
      <c r="J15" s="36" t="s">
        <v>124</v>
      </c>
    </row>
    <row r="16" spans="2:10" x14ac:dyDescent="0.25">
      <c r="B16" s="21" t="s">
        <v>116</v>
      </c>
      <c r="H16" s="31">
        <v>-24318670</v>
      </c>
      <c r="J16" s="36" t="s">
        <v>125</v>
      </c>
    </row>
    <row r="17" spans="2:10" x14ac:dyDescent="0.25">
      <c r="H17" s="26"/>
      <c r="J17" s="22"/>
    </row>
    <row r="18" spans="2:10" ht="13.8" thickBot="1" x14ac:dyDescent="0.3">
      <c r="B18" s="21" t="s">
        <v>82</v>
      </c>
      <c r="H18" s="35">
        <f>+H13+H14+H15+H16</f>
        <v>-167005171</v>
      </c>
      <c r="J18" s="22"/>
    </row>
    <row r="19" spans="2:10" ht="13.8" thickTop="1" x14ac:dyDescent="0.25">
      <c r="J19" s="22"/>
    </row>
    <row r="20" spans="2:10" x14ac:dyDescent="0.25">
      <c r="F20" s="22" t="s">
        <v>83</v>
      </c>
      <c r="J20" s="22"/>
    </row>
    <row r="21" spans="2:10" x14ac:dyDescent="0.25">
      <c r="B21" s="21" t="s">
        <v>84</v>
      </c>
      <c r="D21" s="27" t="s">
        <v>79</v>
      </c>
      <c r="H21" s="25" t="s">
        <v>79</v>
      </c>
      <c r="J21" s="22"/>
    </row>
    <row r="22" spans="2:10" x14ac:dyDescent="0.25">
      <c r="B22" s="21" t="s">
        <v>85</v>
      </c>
      <c r="D22" s="51">
        <v>1769143870</v>
      </c>
      <c r="F22" s="28">
        <v>1</v>
      </c>
      <c r="J22" s="50" t="s">
        <v>137</v>
      </c>
    </row>
    <row r="23" spans="2:10" x14ac:dyDescent="0.25">
      <c r="B23" s="21" t="s">
        <v>87</v>
      </c>
      <c r="D23" s="54">
        <v>63697773</v>
      </c>
      <c r="F23" s="30">
        <f>ROUND(D23/D$22,4)</f>
        <v>3.5999999999999997E-2</v>
      </c>
      <c r="H23" s="33">
        <f>ROUND(F23*H$18,0)</f>
        <v>-6012186</v>
      </c>
      <c r="J23" s="54" t="s">
        <v>99</v>
      </c>
    </row>
    <row r="24" spans="2:10" x14ac:dyDescent="0.25">
      <c r="B24" s="21" t="s">
        <v>88</v>
      </c>
      <c r="D24" s="54">
        <v>129337051</v>
      </c>
      <c r="F24" s="30">
        <f>ROUND(D24/D$22,4)</f>
        <v>7.3099999999999998E-2</v>
      </c>
      <c r="H24" s="29">
        <f>ROUND(F24*H$18,0)</f>
        <v>-12208078</v>
      </c>
      <c r="J24" s="54" t="s">
        <v>101</v>
      </c>
    </row>
    <row r="25" spans="2:10" x14ac:dyDescent="0.25">
      <c r="B25" s="21" t="s">
        <v>89</v>
      </c>
      <c r="D25" s="33">
        <v>21034978</v>
      </c>
      <c r="F25" s="30">
        <f>ROUND(D25/D$22,4)</f>
        <v>1.1900000000000001E-2</v>
      </c>
      <c r="H25" s="31">
        <f>ROUND(F25*H$18,0)</f>
        <v>-1987362</v>
      </c>
      <c r="J25" s="54" t="s">
        <v>102</v>
      </c>
    </row>
    <row r="26" spans="2:10" x14ac:dyDescent="0.25">
      <c r="J26" s="22"/>
    </row>
    <row r="27" spans="2:10" ht="13.8" thickBot="1" x14ac:dyDescent="0.3">
      <c r="B27" s="21" t="s">
        <v>86</v>
      </c>
      <c r="H27" s="34">
        <f>SUM(H23:H26)</f>
        <v>-20207626</v>
      </c>
    </row>
    <row r="28" spans="2:10" ht="13.8" thickTop="1" x14ac:dyDescent="0.25"/>
    <row r="31" spans="2:10" x14ac:dyDescent="0.25">
      <c r="B31" s="49" t="s">
        <v>158</v>
      </c>
    </row>
    <row r="32" spans="2:10" x14ac:dyDescent="0.25">
      <c r="H32" s="38"/>
    </row>
    <row r="69" spans="2:23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</row>
    <row r="70" spans="2:23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</row>
    <row r="71" spans="2:23" x14ac:dyDescent="0.2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</row>
    <row r="72" spans="2:23" x14ac:dyDescent="0.2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</row>
    <row r="73" spans="2:23" x14ac:dyDescent="0.25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</row>
    <row r="74" spans="2:23" x14ac:dyDescent="0.25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 spans="2:23" x14ac:dyDescent="0.25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</row>
    <row r="76" spans="2:23" x14ac:dyDescent="0.25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</row>
    <row r="77" spans="2:23" x14ac:dyDescent="0.25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</row>
    <row r="78" spans="2:23" x14ac:dyDescent="0.25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</row>
    <row r="79" spans="2:23" x14ac:dyDescent="0.25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</row>
    <row r="80" spans="2:23" x14ac:dyDescent="0.25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</row>
    <row r="81" spans="2:23" x14ac:dyDescent="0.25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</row>
    <row r="82" spans="2:23" x14ac:dyDescent="0.25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</row>
    <row r="83" spans="2:23" x14ac:dyDescent="0.25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</row>
    <row r="84" spans="2:23" x14ac:dyDescent="0.25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</row>
    <row r="85" spans="2:23" x14ac:dyDescent="0.25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</row>
    <row r="86" spans="2:23" x14ac:dyDescent="0.25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</row>
  </sheetData>
  <pageMargins left="0.75" right="0.75" top="1" bottom="1" header="0.5" footer="0.5"/>
  <pageSetup scale="72" orientation="portrait" r:id="rId1"/>
  <headerFooter alignWithMargins="0">
    <oddHeader>&amp;R&amp;"Times New Roman,Bold"KyPSC Case No. 2019-00271
STAFF-DR-01-054 Attachment - JLK4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04B67-A93E-4F3D-8DD2-00D2807F859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fb86b3f3-0c45-4486-810b-39aa0a1cbbd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9AD925-BD10-4025-8B6E-988A7E45DB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89C0F2-FD08-4244-9700-0A151D454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Pole Attachment ADMIN 251</vt:lpstr>
      <vt:lpstr>DEK Deferred Tax Calc - Pole </vt:lpstr>
      <vt:lpstr>'Pole Attachment ADMIN 251'!Print_Area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Patten, Dana</dc:creator>
  <cp:lastModifiedBy>Frisch, Adele M</cp:lastModifiedBy>
  <cp:lastPrinted>2019-09-18T17:09:15Z</cp:lastPrinted>
  <dcterms:created xsi:type="dcterms:W3CDTF">2015-04-21T14:03:14Z</dcterms:created>
  <dcterms:modified xsi:type="dcterms:W3CDTF">2019-09-18T17:09:16Z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