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0" yWindow="0" windowWidth="28800" windowHeight="12210"/>
  </bookViews>
  <sheets>
    <sheet name="Jan_16" sheetId="1" r:id="rId1"/>
    <sheet name="Feb_16" sheetId="2" r:id="rId2"/>
    <sheet name="Mar_16" sheetId="3" r:id="rId3"/>
    <sheet name="Apr_16" sheetId="4" r:id="rId4"/>
    <sheet name="May_16" sheetId="5" r:id="rId5"/>
    <sheet name="Jun_16" sheetId="6" r:id="rId6"/>
    <sheet name="Jul_16" sheetId="7" r:id="rId7"/>
    <sheet name="Aug_16" sheetId="8" r:id="rId8"/>
    <sheet name="Sep_16" sheetId="9" r:id="rId9"/>
    <sheet name="Oct_16" sheetId="10" r:id="rId10"/>
    <sheet name="Nov_16" sheetId="11" r:id="rId11"/>
    <sheet name="Dec_16" sheetId="12" r:id="rId12"/>
  </sheets>
  <externalReferences>
    <externalReference r:id="rId13"/>
  </externalReferences>
  <definedNames>
    <definedName name="cap_page">#REF!</definedName>
    <definedName name="cbr_ratios">#REF!</definedName>
    <definedName name="check">#REF!</definedName>
    <definedName name="composition">#REF!</definedName>
    <definedName name="cp_jun_jun">#REF!</definedName>
    <definedName name="curmonth">#REF!</definedName>
    <definedName name="EssSamplingValue">100</definedName>
    <definedName name="facilities">#REF!</definedName>
    <definedName name="import">#REF!</definedName>
    <definedName name="importarea">#REF!</definedName>
    <definedName name="importprint">#REF!</definedName>
    <definedName name="input">#REF!</definedName>
    <definedName name="Interim_macro">#REF!</definedName>
    <definedName name="interimprint">#REF!</definedName>
    <definedName name="openPeriod">[1]Selections!$J$2</definedName>
    <definedName name="page1.8check">#REF!</definedName>
    <definedName name="page1.8print">#REF!</definedName>
    <definedName name="page1.9check">#REF!</definedName>
    <definedName name="page1.9print">#REF!</definedName>
    <definedName name="preferred">#REF!</definedName>
    <definedName name="print">#REF!</definedName>
    <definedName name="q_data_cap">#REF!</definedName>
    <definedName name="qreport">#REF!</definedName>
    <definedName name="RATIOS">#REF!</definedName>
    <definedName name="RFSelection">[1]Selections!$I$2</definedName>
    <definedName name="SegSelection">[1]Selections!$B$2</definedName>
    <definedName name="StDebt_print">#REF!</definedName>
    <definedName name="YEARCUR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2" l="1"/>
  <c r="D25" i="12" s="1"/>
  <c r="H19" i="12"/>
  <c r="H28" i="12" s="1"/>
  <c r="J19" i="12" l="1"/>
  <c r="H25" i="12"/>
  <c r="J25" i="12" s="1"/>
  <c r="D22" i="12"/>
  <c r="H22" i="12"/>
  <c r="J22" i="12" l="1"/>
  <c r="D28" i="12"/>
  <c r="J28" i="12" s="1"/>
  <c r="J33" i="12" l="1"/>
  <c r="L33" i="12" s="1"/>
  <c r="L22" i="12" s="1"/>
  <c r="N22" i="12" s="1"/>
  <c r="N28" i="12" s="1"/>
  <c r="L28" i="12" l="1"/>
  <c r="B31" i="11" l="1"/>
  <c r="D25" i="11" s="1"/>
  <c r="H19" i="11"/>
  <c r="H22" i="11" s="1"/>
  <c r="J19" i="11" l="1"/>
  <c r="H28" i="11"/>
  <c r="H25" i="11"/>
  <c r="J25" i="11" s="1"/>
  <c r="D22" i="11"/>
  <c r="J22" i="11" l="1"/>
  <c r="D28" i="11"/>
  <c r="J28" i="11" s="1"/>
  <c r="J33" i="11" l="1"/>
  <c r="L33" i="11" s="1"/>
  <c r="L22" i="11" l="1"/>
  <c r="N22" i="11" s="1"/>
  <c r="N28" i="11" s="1"/>
  <c r="L28" i="11" l="1"/>
  <c r="B31" i="10" l="1"/>
  <c r="D22" i="10" s="1"/>
  <c r="H19" i="10"/>
  <c r="H25" i="10" l="1"/>
  <c r="H28" i="10"/>
  <c r="H22" i="10"/>
  <c r="J22" i="10"/>
  <c r="D25" i="10"/>
  <c r="J25" i="10" s="1"/>
  <c r="J19" i="10"/>
  <c r="D28" i="10" l="1"/>
  <c r="J28" i="10" s="1"/>
  <c r="J33" i="10"/>
  <c r="L33" i="10" s="1"/>
  <c r="L22" i="10" l="1"/>
  <c r="N22" i="10" s="1"/>
  <c r="N28" i="10" s="1"/>
  <c r="L28" i="10" l="1"/>
  <c r="B31" i="9" l="1"/>
  <c r="D25" i="9" s="1"/>
  <c r="H19" i="9" l="1"/>
  <c r="D22" i="9"/>
  <c r="H25" i="9" l="1"/>
  <c r="J25" i="9" s="1"/>
  <c r="H28" i="9"/>
  <c r="H22" i="9"/>
  <c r="J22" i="9" s="1"/>
  <c r="D28" i="9"/>
  <c r="J19" i="9"/>
  <c r="J28" i="9" l="1"/>
  <c r="J33" i="9" s="1"/>
  <c r="L33" i="9" s="1"/>
  <c r="L22" i="9" l="1"/>
  <c r="N22" i="9" s="1"/>
  <c r="N28" i="9" s="1"/>
  <c r="L28" i="9" l="1"/>
  <c r="B31" i="8" l="1"/>
  <c r="D22" i="8" s="1"/>
  <c r="H19" i="8"/>
  <c r="H25" i="8" l="1"/>
  <c r="H22" i="8"/>
  <c r="H28" i="8"/>
  <c r="J22" i="8"/>
  <c r="J19" i="8"/>
  <c r="D25" i="8"/>
  <c r="J25" i="8" s="1"/>
  <c r="D28" i="8" l="1"/>
  <c r="J28" i="8" s="1"/>
  <c r="J33" i="8" s="1"/>
  <c r="L33" i="8" s="1"/>
  <c r="L22" i="8" l="1"/>
  <c r="N22" i="8" s="1"/>
  <c r="N28" i="8" s="1"/>
  <c r="L28" i="8" l="1"/>
  <c r="B31" i="7" l="1"/>
  <c r="D22" i="7" s="1"/>
  <c r="H19" i="7"/>
  <c r="H28" i="7" l="1"/>
  <c r="H25" i="7"/>
  <c r="H22" i="7"/>
  <c r="J22" i="7" s="1"/>
  <c r="D25" i="7"/>
  <c r="J25" i="7" s="1"/>
  <c r="J19" i="7"/>
  <c r="D28" i="7" l="1"/>
  <c r="J28" i="7" s="1"/>
  <c r="J33" i="7" s="1"/>
  <c r="L33" i="7" s="1"/>
  <c r="L22" i="7" s="1"/>
  <c r="N22" i="7" s="1"/>
  <c r="N28" i="7" s="1"/>
  <c r="L28" i="7" l="1"/>
  <c r="B31" i="6" l="1"/>
  <c r="D22" i="6" s="1"/>
  <c r="H19" i="6" l="1"/>
  <c r="D25" i="6"/>
  <c r="D28" i="6" l="1"/>
  <c r="H25" i="6"/>
  <c r="J25" i="6" s="1"/>
  <c r="J19" i="6"/>
  <c r="H22" i="6"/>
  <c r="J22" i="6" s="1"/>
  <c r="H28" i="6"/>
  <c r="J28" i="6" l="1"/>
  <c r="J33" i="6" s="1"/>
  <c r="L33" i="6" s="1"/>
  <c r="L22" i="6" l="1"/>
  <c r="N22" i="6" s="1"/>
  <c r="N28" i="6" s="1"/>
  <c r="L28" i="6" l="1"/>
  <c r="B31" i="5" l="1"/>
  <c r="D22" i="5" s="1"/>
  <c r="H19" i="5" l="1"/>
  <c r="D25" i="5"/>
  <c r="D28" i="5" s="1"/>
  <c r="H22" i="5" l="1"/>
  <c r="J22" i="5" s="1"/>
  <c r="H25" i="5"/>
  <c r="H28" i="5"/>
  <c r="J28" i="5" s="1"/>
  <c r="J25" i="5"/>
  <c r="J19" i="5"/>
  <c r="J33" i="5" l="1"/>
  <c r="L33" i="5" s="1"/>
  <c r="L22" i="5" s="1"/>
  <c r="N22" i="5" s="1"/>
  <c r="N28" i="5" s="1"/>
  <c r="L28" i="5" l="1"/>
  <c r="B31" i="4" l="1"/>
  <c r="D22" i="4" s="1"/>
  <c r="H19" i="4" l="1"/>
  <c r="J19" i="4" s="1"/>
  <c r="D25" i="4"/>
  <c r="D28" i="4" s="1"/>
  <c r="H25" i="4" l="1"/>
  <c r="J25" i="4" s="1"/>
  <c r="H28" i="4"/>
  <c r="J28" i="4" s="1"/>
  <c r="H22" i="4"/>
  <c r="J22" i="4" s="1"/>
  <c r="J33" i="4" l="1"/>
  <c r="L33" i="4" s="1"/>
  <c r="L22" i="4" s="1"/>
  <c r="N22" i="4" s="1"/>
  <c r="N28" i="4" s="1"/>
  <c r="L28" i="4" l="1"/>
  <c r="B31" i="3" l="1"/>
  <c r="D22" i="3" s="1"/>
  <c r="H19" i="3" l="1"/>
  <c r="J19" i="3" s="1"/>
  <c r="D25" i="3"/>
  <c r="D28" i="3" s="1"/>
  <c r="H25" i="3" l="1"/>
  <c r="J25" i="3" s="1"/>
  <c r="H22" i="3"/>
  <c r="J22" i="3" s="1"/>
  <c r="H28" i="3"/>
  <c r="J28" i="3" s="1"/>
  <c r="J33" i="3" l="1"/>
  <c r="L33" i="3" s="1"/>
  <c r="L22" i="3" l="1"/>
  <c r="N22" i="3" s="1"/>
  <c r="N28" i="3" s="1"/>
  <c r="L28" i="3" l="1"/>
  <c r="B31" i="2" l="1"/>
  <c r="D22" i="2" s="1"/>
  <c r="H19" i="2" l="1"/>
  <c r="D25" i="2"/>
  <c r="D28" i="2" s="1"/>
  <c r="H25" i="2" l="1"/>
  <c r="J25" i="2" s="1"/>
  <c r="H28" i="2"/>
  <c r="J28" i="2" s="1"/>
  <c r="H22" i="2"/>
  <c r="J22" i="2" s="1"/>
  <c r="J19" i="2"/>
  <c r="J33" i="2" l="1"/>
  <c r="L33" i="2" s="1"/>
  <c r="L22" i="2" s="1"/>
  <c r="N22" i="2" s="1"/>
  <c r="N28" i="2" s="1"/>
  <c r="L28" i="2" l="1"/>
  <c r="B31" i="1" l="1"/>
  <c r="D22" i="1" s="1"/>
  <c r="H19" i="1"/>
  <c r="H22" i="1" l="1"/>
  <c r="J22" i="1" s="1"/>
  <c r="H25" i="1"/>
  <c r="H28" i="1"/>
  <c r="J19" i="1"/>
  <c r="D25" i="1"/>
  <c r="D28" i="1" s="1"/>
  <c r="J28" i="1" s="1"/>
  <c r="J25" i="1" l="1"/>
  <c r="J33" i="1" s="1"/>
  <c r="L33" i="1" s="1"/>
  <c r="L22" i="1" l="1"/>
  <c r="N22" i="1" s="1"/>
  <c r="N28" i="1" s="1"/>
  <c r="L28" i="1" l="1"/>
</calcChain>
</file>

<file path=xl/sharedStrings.xml><?xml version="1.0" encoding="utf-8"?>
<sst xmlns="http://schemas.openxmlformats.org/spreadsheetml/2006/main" count="696" uniqueCount="63">
  <si>
    <t>DEK-Electric</t>
  </si>
  <si>
    <t>Computation of AFUDC Rate</t>
  </si>
  <si>
    <t>By Order No. 561 Method</t>
  </si>
  <si>
    <t>WEIGHTED</t>
  </si>
  <si>
    <t xml:space="preserve"> RATE TO BE USED</t>
  </si>
  <si>
    <t>COST RATES</t>
  </si>
  <si>
    <t>GROSS</t>
  </si>
  <si>
    <t>CAPITALIZATION</t>
  </si>
  <si>
    <t>COST</t>
  </si>
  <si>
    <t>FOR GROSS</t>
  </si>
  <si>
    <t>AMOUNT</t>
  </si>
  <si>
    <t>RATIO</t>
  </si>
  <si>
    <t>RATES</t>
  </si>
  <si>
    <t>S/W</t>
  </si>
  <si>
    <t>AFUDC RATE</t>
  </si>
  <si>
    <t>%</t>
  </si>
  <si>
    <t>(1)</t>
  </si>
  <si>
    <t>(2)</t>
  </si>
  <si>
    <t>(3)</t>
  </si>
  <si>
    <t xml:space="preserve">            </t>
  </si>
  <si>
    <t>(4)</t>
  </si>
  <si>
    <t>(5)</t>
  </si>
  <si>
    <t>Short-Term Debt(S)</t>
  </si>
  <si>
    <t>From (1)</t>
  </si>
  <si>
    <t>x</t>
  </si>
  <si>
    <t>=</t>
  </si>
  <si>
    <t xml:space="preserve"> </t>
  </si>
  <si>
    <t>Long-Term Debt</t>
  </si>
  <si>
    <t>From C-1</t>
  </si>
  <si>
    <t>Preferred Stock</t>
  </si>
  <si>
    <t xml:space="preserve">Common Equity </t>
  </si>
  <si>
    <t>From C-3</t>
  </si>
  <si>
    <t xml:space="preserve">Total </t>
  </si>
  <si>
    <t xml:space="preserve">   Capitalization</t>
  </si>
  <si>
    <t xml:space="preserve">AFUDC Rates </t>
  </si>
  <si>
    <t>CWIP (W)</t>
  </si>
  <si>
    <t>From C-2</t>
  </si>
  <si>
    <t>For the Month of January 2016</t>
  </si>
  <si>
    <t>For the Month of March 2016</t>
  </si>
  <si>
    <t>For the Month of April 2016</t>
  </si>
  <si>
    <t>For the Month of May 2016</t>
  </si>
  <si>
    <t>For the Month of July 2016</t>
  </si>
  <si>
    <t>For the Month of September 2016</t>
  </si>
  <si>
    <t>For the Month of October 2016</t>
  </si>
  <si>
    <t>For the Month of Novemer 2016</t>
  </si>
  <si>
    <t>For the Month of December 2016</t>
  </si>
  <si>
    <t>For the Month of February 2016</t>
  </si>
  <si>
    <t>For the Month of June 2016</t>
  </si>
  <si>
    <t>For the Month of August 2016</t>
  </si>
  <si>
    <t>KyPSC Case No. 2019-00271</t>
  </si>
  <si>
    <t>Page 1 of 12</t>
  </si>
  <si>
    <t>Page 2 of 12</t>
  </si>
  <si>
    <t>Page 3 of 12</t>
  </si>
  <si>
    <t>Page 4 of 12</t>
  </si>
  <si>
    <t>Page 5 of 12</t>
  </si>
  <si>
    <t>Page 6 of 12</t>
  </si>
  <si>
    <t>Page 7 of 12</t>
  </si>
  <si>
    <t>Page 8 of 12</t>
  </si>
  <si>
    <t>Page 10 of 12</t>
  </si>
  <si>
    <t>Page 9 of 12</t>
  </si>
  <si>
    <t>Page 11 of 12</t>
  </si>
  <si>
    <t>Page 12 of 12</t>
  </si>
  <si>
    <t>STAFF-DR-01-029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</si>
</sst>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\ ;\(&quot;$&quot;#,##0\)"/>
    <numFmt numFmtId="165" formatCode="0.0000%"/>
    <numFmt numFmtId="166" formatCode="0.000"/>
    <numFmt numFmtId="167" formatCode="0.00000"/>
  </numFmts>
  <fonts count="7" x14ac:knownFonts="1">
    <font>
      <sz val="11"/>
      <color theme="1"/>
      <name val="Calibri"/>
      <family val="2"/>
      <scheme val="minor"/>
    </font>
    <font>
      <sz val="10"/>
      <color indexed="2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2" fontId="2" fillId="0" borderId="0" xfId="2" applyNumberFormat="1" applyFont="1"/>
    <xf numFmtId="2" fontId="3" fillId="0" borderId="0" xfId="2" applyNumberFormat="1" applyFont="1"/>
    <xf numFmtId="10" fontId="3" fillId="0" borderId="0" xfId="2" applyNumberFormat="1" applyFont="1"/>
    <xf numFmtId="164" fontId="3" fillId="0" borderId="0" xfId="2" applyNumberFormat="1" applyFont="1"/>
    <xf numFmtId="2" fontId="3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2" fontId="3" fillId="0" borderId="2" xfId="2" applyNumberFormat="1" applyFont="1" applyBorder="1" applyAlignment="1">
      <alignment horizontal="center"/>
    </xf>
    <xf numFmtId="2" fontId="3" fillId="0" borderId="2" xfId="2" applyNumberFormat="1" applyFont="1" applyBorder="1"/>
    <xf numFmtId="165" fontId="3" fillId="0" borderId="0" xfId="2" applyNumberFormat="1" applyFont="1"/>
    <xf numFmtId="2" fontId="4" fillId="0" borderId="0" xfId="2" applyNumberFormat="1" applyFont="1"/>
    <xf numFmtId="3" fontId="3" fillId="0" borderId="0" xfId="1" applyNumberFormat="1" applyFont="1" applyProtection="1">
      <protection locked="0"/>
    </xf>
    <xf numFmtId="166" fontId="3" fillId="0" borderId="0" xfId="2" applyNumberFormat="1" applyFont="1" applyProtection="1">
      <protection locked="0"/>
    </xf>
    <xf numFmtId="167" fontId="3" fillId="0" borderId="0" xfId="2" applyNumberFormat="1" applyFont="1"/>
    <xf numFmtId="3" fontId="3" fillId="0" borderId="0" xfId="1" applyNumberFormat="1" applyFont="1"/>
    <xf numFmtId="166" fontId="3" fillId="0" borderId="0" xfId="2" applyNumberFormat="1" applyFont="1"/>
    <xf numFmtId="3" fontId="3" fillId="0" borderId="2" xfId="1" applyNumberFormat="1" applyFont="1" applyBorder="1"/>
    <xf numFmtId="10" fontId="3" fillId="0" borderId="2" xfId="2" applyNumberFormat="1" applyFont="1" applyBorder="1"/>
    <xf numFmtId="167" fontId="3" fillId="0" borderId="2" xfId="2" applyNumberFormat="1" applyFont="1" applyBorder="1"/>
    <xf numFmtId="3" fontId="3" fillId="0" borderId="3" xfId="1" applyNumberFormat="1" applyFont="1" applyBorder="1"/>
    <xf numFmtId="2" fontId="3" fillId="0" borderId="3" xfId="2" applyNumberFormat="1" applyFont="1" applyBorder="1"/>
    <xf numFmtId="0" fontId="3" fillId="0" borderId="0" xfId="2" applyNumberFormat="1" applyFont="1"/>
    <xf numFmtId="3" fontId="3" fillId="0" borderId="4" xfId="1" applyNumberFormat="1" applyFont="1" applyBorder="1"/>
    <xf numFmtId="164" fontId="3" fillId="0" borderId="3" xfId="2" applyNumberFormat="1" applyFont="1" applyBorder="1"/>
    <xf numFmtId="2" fontId="3" fillId="0" borderId="0" xfId="2" applyNumberFormat="1" applyFont="1" applyBorder="1"/>
    <xf numFmtId="167" fontId="3" fillId="0" borderId="0" xfId="2" applyNumberFormat="1" applyFont="1" applyBorder="1"/>
    <xf numFmtId="3" fontId="3" fillId="0" borderId="0" xfId="1" applyNumberFormat="1" applyFont="1" applyBorder="1"/>
    <xf numFmtId="2" fontId="3" fillId="0" borderId="0" xfId="2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3" fillId="0" borderId="1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shFlow%20Rollforward%20Template\RF_Generation_Model_Du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Copy"/>
      <sheetName val="build_trans"/>
      <sheetName val="build"/>
      <sheetName val="Selections"/>
      <sheetName val="Non_Cash_Transaction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Stockholder's Equity (SE)"/>
      <sheetName val="BU Stockholder's Equity (BU SE)"/>
    </sheetNames>
    <sheetDataSet>
      <sheetData sheetId="0" refreshError="1"/>
      <sheetData sheetId="1" refreshError="1"/>
      <sheetData sheetId="2"/>
      <sheetData sheetId="3"/>
      <sheetData sheetId="4" refreshError="1">
        <row r="2">
          <cell r="B2" t="str">
            <v>FRANCHISED_ELEC_CASH</v>
          </cell>
          <cell r="I2" t="str">
            <v>Long-term Debt (LTD)</v>
          </cell>
          <cell r="J2" t="str">
            <v>Jun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2.570312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J1" s="28"/>
      <c r="K1" s="28"/>
      <c r="L1" s="28"/>
      <c r="M1" s="28"/>
      <c r="N1" s="30" t="s">
        <v>49</v>
      </c>
    </row>
    <row r="2" spans="1:14" x14ac:dyDescent="0.2">
      <c r="J2" s="28"/>
      <c r="K2" s="28"/>
      <c r="L2" s="28"/>
      <c r="M2" s="28"/>
      <c r="N2" s="30" t="s">
        <v>62</v>
      </c>
    </row>
    <row r="3" spans="1:14" x14ac:dyDescent="0.2">
      <c r="J3" s="28"/>
      <c r="K3" s="28"/>
      <c r="L3" s="28"/>
      <c r="M3" s="28"/>
      <c r="N3" s="30" t="s">
        <v>50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37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47240000</v>
      </c>
      <c r="F19" s="13">
        <v>0.6</v>
      </c>
      <c r="G19" s="2" t="s">
        <v>24</v>
      </c>
      <c r="H19" s="3">
        <f>+MIN(1,ROUND(B19/B$36,4))</f>
        <v>1</v>
      </c>
      <c r="I19" s="2" t="s">
        <v>25</v>
      </c>
      <c r="J19" s="14">
        <f>ROUND((F19*H19/100),5)</f>
        <v>6.0000000000000001E-3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319027488</v>
      </c>
      <c r="D22" s="3">
        <f>ROUND((B22/B31),4)</f>
        <v>0.439</v>
      </c>
      <c r="E22" s="2" t="s">
        <v>24</v>
      </c>
      <c r="F22" s="16">
        <v>4.0956299999999999</v>
      </c>
      <c r="G22" s="2" t="s">
        <v>24</v>
      </c>
      <c r="H22" s="3">
        <f>SUM(1-$H$19)</f>
        <v>0</v>
      </c>
      <c r="I22" s="2" t="s">
        <v>25</v>
      </c>
      <c r="J22" s="14">
        <f>ROUND((D22*F22*H22/100),5)</f>
        <v>0</v>
      </c>
      <c r="L22" s="2">
        <f>ROUND(MIN(L33,(J19+J22)*100),2)</f>
        <v>0.6</v>
      </c>
      <c r="N22" s="2">
        <f>ROUND((L22/L33*100),2)</f>
        <v>100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407726047</v>
      </c>
      <c r="D28" s="3">
        <f>D31-D22-D25</f>
        <v>0.56099999999999994</v>
      </c>
      <c r="E28" s="2" t="s">
        <v>24</v>
      </c>
      <c r="F28" s="2">
        <v>9.44</v>
      </c>
      <c r="G28" s="2" t="s">
        <v>24</v>
      </c>
      <c r="H28" s="3">
        <f>SUM(1-$H$19)</f>
        <v>0</v>
      </c>
      <c r="I28" s="2" t="s">
        <v>25</v>
      </c>
      <c r="J28" s="14">
        <f>ROUND((D28*F28*H28/100),5)</f>
        <v>0</v>
      </c>
      <c r="L28" s="2">
        <f>SUM(L33-L22)</f>
        <v>0</v>
      </c>
      <c r="N28" s="2">
        <f>SUM(N33-N22)</f>
        <v>0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726753535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6.0000000000000001E-3</v>
      </c>
      <c r="L33" s="2">
        <f>TRUNC(J33,4)*100</f>
        <v>0.6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39542502.090000004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</sheetData>
  <mergeCells count="6">
    <mergeCell ref="L12:N12"/>
    <mergeCell ref="A5:N5"/>
    <mergeCell ref="A6:N6"/>
    <mergeCell ref="A7:N7"/>
    <mergeCell ref="A8:N8"/>
    <mergeCell ref="L11:N11"/>
  </mergeCells>
  <printOptions horizontalCentered="1"/>
  <pageMargins left="0.5" right="0.5" top="1" bottom="0.5" header="0.5" footer="0.5"/>
  <pageSetup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3.2851562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58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0</v>
      </c>
      <c r="F19" s="13">
        <v>0</v>
      </c>
      <c r="G19" s="2" t="s">
        <v>24</v>
      </c>
      <c r="H19" s="3">
        <f>+MIN(1,ROUND(B19/B$36,4))</f>
        <v>0</v>
      </c>
      <c r="I19" s="2" t="s">
        <v>25</v>
      </c>
      <c r="J19" s="14">
        <f>ROUND((F19*H19/100),5)</f>
        <v>0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362938303</v>
      </c>
      <c r="D22" s="3">
        <f>ROUND((B22/B31),4)</f>
        <v>0.45240000000000002</v>
      </c>
      <c r="E22" s="2" t="s">
        <v>24</v>
      </c>
      <c r="F22" s="16">
        <v>4.117</v>
      </c>
      <c r="G22" s="2" t="s">
        <v>24</v>
      </c>
      <c r="H22" s="3">
        <f>SUM(1-$H$19)</f>
        <v>1</v>
      </c>
      <c r="I22" s="2" t="s">
        <v>25</v>
      </c>
      <c r="J22" s="14">
        <f>ROUND((D22*F22*H22/100),5)</f>
        <v>1.8630000000000001E-2</v>
      </c>
      <c r="L22" s="2">
        <f>ROUND(MIN(L33,(J19+J22)*100),2)</f>
        <v>1.86</v>
      </c>
      <c r="N22" s="2">
        <f>ROUND((L22/L33*100),2)</f>
        <v>26.8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1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439301677</v>
      </c>
      <c r="D28" s="3">
        <f>D31-D22-D25</f>
        <v>0.54759999999999998</v>
      </c>
      <c r="E28" s="2" t="s">
        <v>24</v>
      </c>
      <c r="F28" s="2">
        <v>9.2799999999999994</v>
      </c>
      <c r="G28" s="2" t="s">
        <v>24</v>
      </c>
      <c r="H28" s="3">
        <f>SUM(1-$H$19)</f>
        <v>1</v>
      </c>
      <c r="I28" s="2" t="s">
        <v>25</v>
      </c>
      <c r="J28" s="14">
        <f>ROUND((D28*F28*H28/100),5)</f>
        <v>5.0819999999999997E-2</v>
      </c>
      <c r="L28" s="2">
        <f>SUM(L33-L22)</f>
        <v>5.08</v>
      </c>
      <c r="N28" s="2">
        <f>SUM(N33-N22)</f>
        <v>73.2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802239980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6.9449999999999998E-2</v>
      </c>
      <c r="L33" s="2">
        <f>TRUNC(J33,4)*100</f>
        <v>6.94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50279007.490000002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2.710937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60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44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6"/>
      <c r="C11" s="6"/>
      <c r="D11" s="6"/>
      <c r="E11" s="6"/>
      <c r="F11" s="6"/>
      <c r="G11" s="6"/>
      <c r="H11" s="6"/>
      <c r="I11" s="6"/>
      <c r="J11" s="6" t="s">
        <v>3</v>
      </c>
      <c r="K11" s="6"/>
      <c r="L11" s="33" t="s">
        <v>4</v>
      </c>
      <c r="M11" s="33"/>
      <c r="N11" s="33"/>
    </row>
    <row r="12" spans="1:14" x14ac:dyDescent="0.2">
      <c r="B12" s="6"/>
      <c r="C12" s="6"/>
      <c r="D12" s="6"/>
      <c r="E12" s="6"/>
      <c r="F12" s="6"/>
      <c r="G12" s="6"/>
      <c r="H12" s="6"/>
      <c r="I12" s="6"/>
      <c r="J12" s="6" t="s">
        <v>5</v>
      </c>
      <c r="K12" s="6"/>
      <c r="L12" s="31" t="s">
        <v>6</v>
      </c>
      <c r="M12" s="31"/>
      <c r="N12" s="31"/>
    </row>
    <row r="13" spans="1:14" x14ac:dyDescent="0.2">
      <c r="B13" s="7"/>
      <c r="C13" s="6"/>
      <c r="D13" s="6" t="s">
        <v>7</v>
      </c>
      <c r="E13" s="6"/>
      <c r="F13" s="6" t="s">
        <v>8</v>
      </c>
      <c r="G13" s="6"/>
      <c r="H13" s="6"/>
      <c r="I13" s="6"/>
      <c r="J13" s="6" t="s">
        <v>9</v>
      </c>
      <c r="K13" s="6"/>
      <c r="L13" s="8"/>
      <c r="M13" s="8"/>
      <c r="N13" s="8"/>
    </row>
    <row r="14" spans="1:14" x14ac:dyDescent="0.2">
      <c r="B14" s="7" t="s">
        <v>10</v>
      </c>
      <c r="C14" s="6"/>
      <c r="D14" s="6" t="s">
        <v>11</v>
      </c>
      <c r="E14" s="6"/>
      <c r="F14" s="6" t="s">
        <v>12</v>
      </c>
      <c r="G14" s="6"/>
      <c r="H14" s="6" t="s">
        <v>13</v>
      </c>
      <c r="I14" s="6"/>
      <c r="J14" s="6" t="s">
        <v>14</v>
      </c>
      <c r="K14" s="6"/>
      <c r="L14" s="6" t="s">
        <v>15</v>
      </c>
      <c r="M14" s="6"/>
      <c r="N14" s="6" t="s">
        <v>11</v>
      </c>
    </row>
    <row r="15" spans="1:14" x14ac:dyDescent="0.2">
      <c r="B15" s="8" t="s">
        <v>16</v>
      </c>
      <c r="C15" s="6"/>
      <c r="D15" s="8" t="s">
        <v>17</v>
      </c>
      <c r="E15" s="6"/>
      <c r="F15" s="8" t="s">
        <v>18</v>
      </c>
      <c r="G15" s="6" t="s">
        <v>19</v>
      </c>
      <c r="H15" s="8" t="s">
        <v>20</v>
      </c>
      <c r="I15" s="6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1471000</v>
      </c>
      <c r="F19" s="13">
        <v>0.40400000000000003</v>
      </c>
      <c r="G19" s="2" t="s">
        <v>24</v>
      </c>
      <c r="H19" s="3">
        <f>+MIN(1,ROUND(B19/B$36,4))</f>
        <v>2.86E-2</v>
      </c>
      <c r="I19" s="2" t="s">
        <v>25</v>
      </c>
      <c r="J19" s="14">
        <f>ROUND((F19*H19/100),5)</f>
        <v>1.2E-4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362913920</v>
      </c>
      <c r="D22" s="3">
        <f>ROUND((B22/B31),4)</f>
        <v>0.45669999999999999</v>
      </c>
      <c r="E22" s="2" t="s">
        <v>24</v>
      </c>
      <c r="F22" s="16">
        <v>4.1173000000000002</v>
      </c>
      <c r="G22" s="2" t="s">
        <v>24</v>
      </c>
      <c r="H22" s="3">
        <f>SUM(1-$H$19)</f>
        <v>0.97140000000000004</v>
      </c>
      <c r="I22" s="2" t="s">
        <v>25</v>
      </c>
      <c r="J22" s="14">
        <f>ROUND((D22*F22*H22/100),5)</f>
        <v>1.8270000000000002E-2</v>
      </c>
      <c r="L22" s="2">
        <f>ROUND(MIN(L33,(J19+J22)*100),2)</f>
        <v>1.84</v>
      </c>
      <c r="N22" s="2">
        <f>ROUND((L22/L33*100),2)</f>
        <v>27.34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0.97140000000000004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431745348</v>
      </c>
      <c r="D28" s="3">
        <f>D31-D22-D25</f>
        <v>0.54330000000000001</v>
      </c>
      <c r="E28" s="2" t="s">
        <v>24</v>
      </c>
      <c r="F28" s="2">
        <v>9.2799999999999994</v>
      </c>
      <c r="G28" s="2" t="s">
        <v>24</v>
      </c>
      <c r="H28" s="3">
        <f>SUM(1-$H$19)</f>
        <v>0.97140000000000004</v>
      </c>
      <c r="I28" s="2" t="s">
        <v>25</v>
      </c>
      <c r="J28" s="14">
        <f>ROUND((D28*F28*H28/100),5)</f>
        <v>4.8980000000000003E-2</v>
      </c>
      <c r="L28" s="2">
        <f>SUM(L33-L22)</f>
        <v>4.8899999999999997</v>
      </c>
      <c r="N28" s="2">
        <f>SUM(N33-N22)</f>
        <v>72.66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794659268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6.7369999999999999E-2</v>
      </c>
      <c r="L33" s="2">
        <f>TRUNC(J33,4)*100</f>
        <v>6.7299999999999995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51470258.593000002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1.85546875" style="2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61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6"/>
      <c r="C11" s="6"/>
      <c r="D11" s="6"/>
      <c r="E11" s="6"/>
      <c r="F11" s="6"/>
      <c r="G11" s="6"/>
      <c r="H11" s="6"/>
      <c r="I11" s="6"/>
      <c r="J11" s="6" t="s">
        <v>3</v>
      </c>
      <c r="K11" s="6"/>
      <c r="L11" s="33" t="s">
        <v>4</v>
      </c>
      <c r="M11" s="33"/>
      <c r="N11" s="33"/>
    </row>
    <row r="12" spans="1:14" x14ac:dyDescent="0.2">
      <c r="B12" s="6"/>
      <c r="C12" s="6"/>
      <c r="D12" s="6"/>
      <c r="E12" s="6"/>
      <c r="F12" s="6"/>
      <c r="G12" s="6"/>
      <c r="H12" s="6"/>
      <c r="I12" s="6"/>
      <c r="J12" s="6" t="s">
        <v>5</v>
      </c>
      <c r="K12" s="6"/>
      <c r="L12" s="31" t="s">
        <v>6</v>
      </c>
      <c r="M12" s="31"/>
      <c r="N12" s="31"/>
    </row>
    <row r="13" spans="1:14" x14ac:dyDescent="0.2">
      <c r="B13" s="7"/>
      <c r="C13" s="6"/>
      <c r="D13" s="6" t="s">
        <v>7</v>
      </c>
      <c r="E13" s="6"/>
      <c r="F13" s="6" t="s">
        <v>8</v>
      </c>
      <c r="G13" s="6"/>
      <c r="H13" s="6"/>
      <c r="I13" s="6"/>
      <c r="J13" s="6" t="s">
        <v>9</v>
      </c>
      <c r="K13" s="6"/>
      <c r="L13" s="8"/>
      <c r="M13" s="8"/>
      <c r="N13" s="8"/>
    </row>
    <row r="14" spans="1:14" x14ac:dyDescent="0.2">
      <c r="B14" s="7" t="s">
        <v>10</v>
      </c>
      <c r="C14" s="6"/>
      <c r="D14" s="6" t="s">
        <v>11</v>
      </c>
      <c r="E14" s="6"/>
      <c r="F14" s="6" t="s">
        <v>12</v>
      </c>
      <c r="G14" s="6"/>
      <c r="H14" s="6" t="s">
        <v>13</v>
      </c>
      <c r="I14" s="6"/>
      <c r="J14" s="6" t="s">
        <v>14</v>
      </c>
      <c r="K14" s="6"/>
      <c r="L14" s="6" t="s">
        <v>15</v>
      </c>
      <c r="M14" s="6"/>
      <c r="N14" s="6" t="s">
        <v>11</v>
      </c>
    </row>
    <row r="15" spans="1:14" x14ac:dyDescent="0.2">
      <c r="B15" s="8" t="s">
        <v>16</v>
      </c>
      <c r="C15" s="6"/>
      <c r="D15" s="8" t="s">
        <v>17</v>
      </c>
      <c r="E15" s="6"/>
      <c r="F15" s="8" t="s">
        <v>18</v>
      </c>
      <c r="G15" s="6" t="s">
        <v>19</v>
      </c>
      <c r="H15" s="8" t="s">
        <v>20</v>
      </c>
      <c r="I15" s="6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1136000</v>
      </c>
      <c r="F19" s="13">
        <v>0.43</v>
      </c>
      <c r="G19" s="2" t="s">
        <v>24</v>
      </c>
      <c r="H19" s="3">
        <f>+MIN(1,ROUND(B19/B$36,4))</f>
        <v>2.1600000000000001E-2</v>
      </c>
      <c r="I19" s="2" t="s">
        <v>25</v>
      </c>
      <c r="J19" s="14">
        <f>ROUND((F19*H19/100),5)</f>
        <v>9.0000000000000006E-5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362661610</v>
      </c>
      <c r="D22" s="3">
        <f>ROUND((B22/B31),4)</f>
        <v>0.45469999999999999</v>
      </c>
      <c r="E22" s="2" t="s">
        <v>24</v>
      </c>
      <c r="F22" s="16">
        <v>4.0894000000000004</v>
      </c>
      <c r="G22" s="2" t="s">
        <v>24</v>
      </c>
      <c r="H22" s="3">
        <f>SUM(1-$H$19)</f>
        <v>0.97840000000000005</v>
      </c>
      <c r="I22" s="2" t="s">
        <v>25</v>
      </c>
      <c r="J22" s="14">
        <f>ROUND((D22*F22*H22/100),5)</f>
        <v>1.8190000000000001E-2</v>
      </c>
      <c r="L22" s="2">
        <f>ROUND(MIN(L33,(J19+J22)*100),2)</f>
        <v>1.83</v>
      </c>
      <c r="N22" s="2">
        <f>ROUND((L22/L33*100),2)</f>
        <v>27.03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0.97840000000000005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434839311</v>
      </c>
      <c r="D28" s="3">
        <f>D31-D22-D25</f>
        <v>0.54530000000000001</v>
      </c>
      <c r="E28" s="2" t="s">
        <v>24</v>
      </c>
      <c r="F28" s="2">
        <v>9.2799999999999994</v>
      </c>
      <c r="G28" s="2" t="s">
        <v>24</v>
      </c>
      <c r="H28" s="3">
        <f>SUM(1-$H$19)</f>
        <v>0.97840000000000005</v>
      </c>
      <c r="I28" s="2" t="s">
        <v>25</v>
      </c>
      <c r="J28" s="14">
        <f>ROUND((D28*F28*H28/100),5)</f>
        <v>4.9509999999999998E-2</v>
      </c>
      <c r="L28" s="2">
        <f>SUM(L33-L22)</f>
        <v>4.9399999999999995</v>
      </c>
      <c r="N28" s="2">
        <f>SUM(N33-N22)</f>
        <v>72.97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797500921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6.7790000000000003E-2</v>
      </c>
      <c r="L33" s="2">
        <f>TRUNC(J33,4)*100</f>
        <v>6.77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52684591.416000009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3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J1" s="28"/>
      <c r="K1" s="28"/>
      <c r="L1" s="28"/>
      <c r="M1" s="28"/>
      <c r="N1" s="30" t="s">
        <v>49</v>
      </c>
    </row>
    <row r="2" spans="1:14" x14ac:dyDescent="0.2">
      <c r="J2" s="28"/>
      <c r="K2" s="28"/>
      <c r="L2" s="28"/>
      <c r="M2" s="28"/>
      <c r="N2" s="30" t="s">
        <v>62</v>
      </c>
    </row>
    <row r="3" spans="1:14" x14ac:dyDescent="0.2">
      <c r="J3" s="28"/>
      <c r="K3" s="28"/>
      <c r="L3" s="28"/>
      <c r="M3" s="28"/>
      <c r="N3" s="30" t="s">
        <v>51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7171000</v>
      </c>
      <c r="F19" s="13">
        <v>0.70899999999999996</v>
      </c>
      <c r="G19" s="2" t="s">
        <v>24</v>
      </c>
      <c r="H19" s="3">
        <f>+MIN(1,ROUND(B19/B$36,4))</f>
        <v>0.1638</v>
      </c>
      <c r="I19" s="2" t="s">
        <v>25</v>
      </c>
      <c r="J19" s="14">
        <f>ROUND((F19*H19/100),5)</f>
        <v>1.16E-3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413578580</v>
      </c>
      <c r="D22" s="3">
        <f>ROUND((B22/B31),4)</f>
        <v>0.498</v>
      </c>
      <c r="E22" s="2" t="s">
        <v>24</v>
      </c>
      <c r="F22" s="16">
        <v>4.2477</v>
      </c>
      <c r="G22" s="2" t="s">
        <v>24</v>
      </c>
      <c r="H22" s="3">
        <f>SUM(1-$H$19)</f>
        <v>0.83620000000000005</v>
      </c>
      <c r="I22" s="2" t="s">
        <v>25</v>
      </c>
      <c r="J22" s="14">
        <f>ROUND((D22*F22*H22/100),5)</f>
        <v>1.7690000000000001E-2</v>
      </c>
      <c r="L22" s="2">
        <f>ROUND(MIN(L33,(J19+J22)*100),2)</f>
        <v>1.89</v>
      </c>
      <c r="N22" s="2">
        <f>ROUND((L22/L33*100),2)</f>
        <v>32.36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0.83620000000000005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416889447</v>
      </c>
      <c r="D28" s="3">
        <f>D31-D22-D25</f>
        <v>0.502</v>
      </c>
      <c r="E28" s="2" t="s">
        <v>24</v>
      </c>
      <c r="F28" s="2">
        <v>9.44</v>
      </c>
      <c r="G28" s="2" t="s">
        <v>24</v>
      </c>
      <c r="H28" s="3">
        <f>SUM(1-$H$19)</f>
        <v>0.83620000000000005</v>
      </c>
      <c r="I28" s="2" t="s">
        <v>25</v>
      </c>
      <c r="J28" s="14">
        <f>ROUND((D28*F28*H28/100),5)</f>
        <v>3.9629999999999999E-2</v>
      </c>
      <c r="L28" s="2">
        <f>SUM(L33-L22)</f>
        <v>3.95</v>
      </c>
      <c r="N28" s="2">
        <f>SUM(N33-N22)</f>
        <v>67.64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830468027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5.8479999999999997E-2</v>
      </c>
      <c r="L33" s="2">
        <f>TRUNC(J33,4)*100</f>
        <v>5.84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43786767.975000001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1.85546875" style="2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52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38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0</v>
      </c>
      <c r="F19" s="13">
        <v>0</v>
      </c>
      <c r="G19" s="2" t="s">
        <v>24</v>
      </c>
      <c r="H19" s="3">
        <f>+MIN(1,ROUND(B19/B$36,4))</f>
        <v>0</v>
      </c>
      <c r="I19" s="2" t="s">
        <v>25</v>
      </c>
      <c r="J19" s="14">
        <f>ROUND((F19*H19/100),5)</f>
        <v>0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413500345</v>
      </c>
      <c r="D22" s="3">
        <f>ROUND((B22/B31),4)</f>
        <v>0.49740000000000001</v>
      </c>
      <c r="E22" s="2" t="s">
        <v>24</v>
      </c>
      <c r="F22" s="16">
        <v>4.2897999999999996</v>
      </c>
      <c r="G22" s="2" t="s">
        <v>24</v>
      </c>
      <c r="H22" s="3">
        <f>SUM(1-$H$19)</f>
        <v>1</v>
      </c>
      <c r="I22" s="2" t="s">
        <v>25</v>
      </c>
      <c r="J22" s="14">
        <f>ROUND((D22*F22*H22/100),5)</f>
        <v>2.1340000000000001E-2</v>
      </c>
      <c r="L22" s="2">
        <f>ROUND(MIN(L33,(J19+J22)*100),2)</f>
        <v>2.13</v>
      </c>
      <c r="N22" s="2">
        <f>ROUND((L22/L33*100),2)</f>
        <v>31.37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1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417880771</v>
      </c>
      <c r="D28" s="3">
        <f>D31-D22-D25</f>
        <v>0.50259999999999994</v>
      </c>
      <c r="E28" s="2" t="s">
        <v>24</v>
      </c>
      <c r="F28" s="2">
        <v>9.2799999999999994</v>
      </c>
      <c r="G28" s="2" t="s">
        <v>24</v>
      </c>
      <c r="H28" s="3">
        <f>SUM(1-$H$19)</f>
        <v>1</v>
      </c>
      <c r="I28" s="2" t="s">
        <v>25</v>
      </c>
      <c r="J28" s="14">
        <f>ROUND((D28*F28*H28/100),5)</f>
        <v>4.6640000000000001E-2</v>
      </c>
      <c r="L28" s="2">
        <f>SUM(L33-L22)</f>
        <v>4.66</v>
      </c>
      <c r="N28" s="2">
        <f>SUM(N33-N22)</f>
        <v>68.63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831381116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6.7979999999999999E-2</v>
      </c>
      <c r="L33" s="2">
        <f>TRUNC(J33,4)*100</f>
        <v>6.79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45168874.210000001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3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53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39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0</v>
      </c>
      <c r="F19" s="13">
        <v>0</v>
      </c>
      <c r="G19" s="2" t="s">
        <v>24</v>
      </c>
      <c r="H19" s="3">
        <f>+MIN(1,ROUND(B19/B$36,4))</f>
        <v>0</v>
      </c>
      <c r="I19" s="2" t="s">
        <v>25</v>
      </c>
      <c r="J19" s="14">
        <f>ROUND((F19*H19/100),5)</f>
        <v>0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363452084</v>
      </c>
      <c r="D22" s="3">
        <f>ROUND((B22/B31),4)</f>
        <v>0.46200000000000002</v>
      </c>
      <c r="E22" s="2" t="s">
        <v>24</v>
      </c>
      <c r="F22" s="16">
        <v>4.0903</v>
      </c>
      <c r="G22" s="2" t="s">
        <v>24</v>
      </c>
      <c r="H22" s="3">
        <f>SUM(1-$H$19)</f>
        <v>1</v>
      </c>
      <c r="I22" s="2" t="s">
        <v>25</v>
      </c>
      <c r="J22" s="14">
        <f>ROUND((D22*F22*H22/100),5)</f>
        <v>1.89E-2</v>
      </c>
      <c r="L22" s="2">
        <f>ROUND(MIN(L33,(J19+J22)*100),2)</f>
        <v>1.89</v>
      </c>
      <c r="N22" s="2">
        <f>ROUND((L22/L33*100),2)</f>
        <v>27.47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1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423169162</v>
      </c>
      <c r="D28" s="3">
        <f>D31-D22-D25</f>
        <v>0.53800000000000003</v>
      </c>
      <c r="E28" s="2" t="s">
        <v>24</v>
      </c>
      <c r="F28" s="2">
        <v>9.2799999999999994</v>
      </c>
      <c r="G28" s="2" t="s">
        <v>24</v>
      </c>
      <c r="H28" s="3">
        <f>SUM(1-$H$19)</f>
        <v>1</v>
      </c>
      <c r="I28" s="2" t="s">
        <v>25</v>
      </c>
      <c r="J28" s="14">
        <f>ROUND((D28*F28*H28/100),5)</f>
        <v>4.9930000000000002E-2</v>
      </c>
      <c r="L28" s="2">
        <f>SUM(L33-L22)</f>
        <v>4.99</v>
      </c>
      <c r="N28" s="2">
        <f>SUM(N33-N22)</f>
        <v>72.53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786621246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6.8830000000000002E-2</v>
      </c>
      <c r="L33" s="2">
        <f>TRUNC(J33,4)*100</f>
        <v>6.88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43341788.774999999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  <row r="40" spans="1:14" x14ac:dyDescent="0.2">
      <c r="A40" s="25"/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2.710937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54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40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0</v>
      </c>
      <c r="F19" s="13">
        <v>0</v>
      </c>
      <c r="G19" s="2" t="s">
        <v>24</v>
      </c>
      <c r="H19" s="3">
        <f>+MIN(1,ROUND(B19/B$36,4))</f>
        <v>0</v>
      </c>
      <c r="I19" s="2" t="s">
        <v>25</v>
      </c>
      <c r="J19" s="14">
        <f>ROUND((F19*H19/100),5)</f>
        <v>0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363072870</v>
      </c>
      <c r="D22" s="3">
        <f>ROUND((B22/B31),4)</f>
        <v>0.4622</v>
      </c>
      <c r="E22" s="2" t="s">
        <v>24</v>
      </c>
      <c r="F22" s="16">
        <v>4.0926</v>
      </c>
      <c r="G22" s="2" t="s">
        <v>24</v>
      </c>
      <c r="H22" s="3">
        <f>SUM(1-$H$19)</f>
        <v>1</v>
      </c>
      <c r="I22" s="2" t="s">
        <v>25</v>
      </c>
      <c r="J22" s="14">
        <f>ROUND((D22*F22*H22/100),5)</f>
        <v>1.8919999999999999E-2</v>
      </c>
      <c r="L22" s="2">
        <f>ROUND(MIN(L33,(J19+J22)*100),2)</f>
        <v>1.89</v>
      </c>
      <c r="N22" s="2">
        <f>ROUND((L22/L33*100),2)</f>
        <v>27.47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1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422423211</v>
      </c>
      <c r="D28" s="3">
        <f>D31-D22-D25</f>
        <v>0.53780000000000006</v>
      </c>
      <c r="E28" s="2" t="s">
        <v>24</v>
      </c>
      <c r="F28" s="2">
        <v>9.2799999999999994</v>
      </c>
      <c r="G28" s="2" t="s">
        <v>24</v>
      </c>
      <c r="H28" s="3">
        <f>SUM(1-$H$19)</f>
        <v>1</v>
      </c>
      <c r="I28" s="2" t="s">
        <v>25</v>
      </c>
      <c r="J28" s="14">
        <f>ROUND((D28*F28*H28/100),5)</f>
        <v>4.9910000000000003E-2</v>
      </c>
      <c r="L28" s="2">
        <f>SUM(L33-L22)</f>
        <v>4.99</v>
      </c>
      <c r="N28" s="2">
        <f>SUM(N33-N22)</f>
        <v>72.53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785496081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6.8830000000000002E-2</v>
      </c>
      <c r="L33" s="2">
        <f>TRUNC(J33,4)*100</f>
        <v>6.88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43001908.980000004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3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55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47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0</v>
      </c>
      <c r="F19" s="13">
        <v>0</v>
      </c>
      <c r="G19" s="2" t="s">
        <v>24</v>
      </c>
      <c r="H19" s="3">
        <f>+MIN(1,ROUND(B19/B$36,4))</f>
        <v>0</v>
      </c>
      <c r="I19" s="2" t="s">
        <v>25</v>
      </c>
      <c r="J19" s="14">
        <f>ROUND((F19*H19/100),5)</f>
        <v>0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363050364</v>
      </c>
      <c r="D22" s="3">
        <f>ROUND((B22/B31),4)</f>
        <v>0.4612</v>
      </c>
      <c r="E22" s="2" t="s">
        <v>24</v>
      </c>
      <c r="F22" s="16">
        <v>4.0955000000000004</v>
      </c>
      <c r="G22" s="2" t="s">
        <v>24</v>
      </c>
      <c r="H22" s="3">
        <f>SUM(1-$H$19)</f>
        <v>1</v>
      </c>
      <c r="I22" s="2" t="s">
        <v>25</v>
      </c>
      <c r="J22" s="14">
        <f>ROUND((D22*F22*H22/100),5)</f>
        <v>1.8890000000000001E-2</v>
      </c>
      <c r="L22" s="2">
        <f>ROUND(MIN(L33,(J19+J22)*100),2)</f>
        <v>1.89</v>
      </c>
      <c r="N22" s="2">
        <f>ROUND((L22/L33*100),2)</f>
        <v>27.47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1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424148702</v>
      </c>
      <c r="D28" s="3">
        <f>D31-D22-D25</f>
        <v>0.53879999999999995</v>
      </c>
      <c r="E28" s="2" t="s">
        <v>24</v>
      </c>
      <c r="F28" s="2">
        <v>9.2799999999999994</v>
      </c>
      <c r="G28" s="2" t="s">
        <v>24</v>
      </c>
      <c r="H28" s="3">
        <f>SUM(1-$H$19)</f>
        <v>1</v>
      </c>
      <c r="I28" s="2" t="s">
        <v>25</v>
      </c>
      <c r="J28" s="14">
        <f>ROUND((D28*F28*H28/100),5)</f>
        <v>0.05</v>
      </c>
      <c r="L28" s="2">
        <f>SUM(L33-L22)</f>
        <v>4.99</v>
      </c>
      <c r="N28" s="2">
        <f>SUM(N33-N22)</f>
        <v>72.53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787199066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6.8890000000000007E-2</v>
      </c>
      <c r="L33" s="2">
        <f>TRUNC(J33,4)*100</f>
        <v>6.88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43654127.424999997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3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56</v>
      </c>
    </row>
    <row r="4" spans="1:14" x14ac:dyDescent="0.2">
      <c r="N4" s="29"/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0</v>
      </c>
      <c r="F19" s="13">
        <v>0</v>
      </c>
      <c r="G19" s="2" t="s">
        <v>24</v>
      </c>
      <c r="H19" s="3">
        <f>+MIN(1,ROUND(B19/B$36,4))</f>
        <v>0</v>
      </c>
      <c r="I19" s="2" t="s">
        <v>25</v>
      </c>
      <c r="J19" s="14">
        <f>ROUND((F19*H19/100),5)</f>
        <v>0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363027485</v>
      </c>
      <c r="D22" s="3">
        <f>ROUND((B22/B31),4)</f>
        <v>0.4597</v>
      </c>
      <c r="E22" s="2" t="s">
        <v>24</v>
      </c>
      <c r="F22" s="16">
        <v>4.0922000000000001</v>
      </c>
      <c r="G22" s="2" t="s">
        <v>24</v>
      </c>
      <c r="H22" s="3">
        <f>SUM(1-$H$19)</f>
        <v>1</v>
      </c>
      <c r="I22" s="2" t="s">
        <v>25</v>
      </c>
      <c r="J22" s="14">
        <f>ROUND((D22*F22*H22/100),5)</f>
        <v>1.881E-2</v>
      </c>
      <c r="L22" s="2">
        <f>ROUND(MIN(L33,(J19+J22)*100),2)</f>
        <v>1.88</v>
      </c>
      <c r="N22" s="2">
        <f>ROUND((L22/L33*100),2)</f>
        <v>27.29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1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426606901</v>
      </c>
      <c r="D28" s="3">
        <f>D31-D22-D25</f>
        <v>0.5403</v>
      </c>
      <c r="E28" s="2" t="s">
        <v>24</v>
      </c>
      <c r="F28" s="2">
        <v>9.2799999999999994</v>
      </c>
      <c r="G28" s="2" t="s">
        <v>24</v>
      </c>
      <c r="H28" s="3">
        <f>SUM(1-$H$19)</f>
        <v>1</v>
      </c>
      <c r="I28" s="2" t="s">
        <v>25</v>
      </c>
      <c r="J28" s="14">
        <f>ROUND((D28*F28*H28/100),5)</f>
        <v>5.0139999999999997E-2</v>
      </c>
      <c r="L28" s="2">
        <f>SUM(L33-L22)</f>
        <v>5.0100000000000007</v>
      </c>
      <c r="N28" s="2">
        <f>SUM(N33-N22)</f>
        <v>72.710000000000008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789634386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6.8949999999999997E-2</v>
      </c>
      <c r="L33" s="2">
        <f>TRUNC(J33,4)*100</f>
        <v>6.8900000000000006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41946360.575000003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  <row r="40" spans="1:14" x14ac:dyDescent="0.2">
      <c r="A40" s="25"/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x14ac:dyDescent="0.2">
      <c r="A41" s="25"/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3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57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48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24000</v>
      </c>
      <c r="F19" s="13">
        <v>0.48199999999999998</v>
      </c>
      <c r="G19" s="2" t="s">
        <v>24</v>
      </c>
      <c r="H19" s="3">
        <f>+MIN(1,ROUND(B19/B$36,4))</f>
        <v>5.9999999999999995E-4</v>
      </c>
      <c r="I19" s="2" t="s">
        <v>25</v>
      </c>
      <c r="J19" s="14">
        <f>ROUND((F19*H19/100),5)</f>
        <v>0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363002733</v>
      </c>
      <c r="D22" s="3">
        <f>ROUND((B22/B31),4)</f>
        <v>0.45669999999999999</v>
      </c>
      <c r="E22" s="2" t="s">
        <v>24</v>
      </c>
      <c r="F22" s="16">
        <v>4.0888</v>
      </c>
      <c r="G22" s="2" t="s">
        <v>24</v>
      </c>
      <c r="H22" s="3">
        <f>SUM(1-$H$19)</f>
        <v>0.99939999999999996</v>
      </c>
      <c r="I22" s="2" t="s">
        <v>25</v>
      </c>
      <c r="J22" s="14">
        <f>ROUND((D22*F22*H22/100),5)</f>
        <v>1.866E-2</v>
      </c>
      <c r="L22" s="2">
        <f>ROUND(MIN(L33,(J19+J22)*100),2)</f>
        <v>1.87</v>
      </c>
      <c r="N22" s="2">
        <f>ROUND((L22/L33*100),2)</f>
        <v>27.1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0.99939999999999996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431760384</v>
      </c>
      <c r="D28" s="3">
        <f>D31-D22-D25</f>
        <v>0.54330000000000001</v>
      </c>
      <c r="E28" s="2" t="s">
        <v>24</v>
      </c>
      <c r="F28" s="2">
        <v>9.2799999999999994</v>
      </c>
      <c r="G28" s="2" t="s">
        <v>24</v>
      </c>
      <c r="H28" s="3">
        <f>SUM(1-$H$19)</f>
        <v>0.99939999999999996</v>
      </c>
      <c r="I28" s="2" t="s">
        <v>25</v>
      </c>
      <c r="J28" s="14">
        <f>ROUND((D28*F28*H28/100),5)</f>
        <v>5.0389999999999997E-2</v>
      </c>
      <c r="L28" s="2">
        <f>SUM(L33-L22)</f>
        <v>5.03</v>
      </c>
      <c r="N28" s="2">
        <f>SUM(N33-N22)</f>
        <v>72.900000000000006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794763117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6.905E-2</v>
      </c>
      <c r="L33" s="2">
        <f>TRUNC(J33,4)*100</f>
        <v>6.9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41480831.524999999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N1" sqref="N1:N3"/>
    </sheetView>
  </sheetViews>
  <sheetFormatPr defaultRowHeight="12.75" x14ac:dyDescent="0.2"/>
  <cols>
    <col min="1" max="1" width="18.85546875" style="2" customWidth="1"/>
    <col min="2" max="2" width="13.2851562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30" t="s">
        <v>49</v>
      </c>
    </row>
    <row r="2" spans="1:14" x14ac:dyDescent="0.2">
      <c r="N2" s="30" t="s">
        <v>62</v>
      </c>
    </row>
    <row r="3" spans="1:14" x14ac:dyDescent="0.2">
      <c r="N3" s="30" t="s">
        <v>59</v>
      </c>
    </row>
    <row r="5" spans="1:14" s="1" customForma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x14ac:dyDescent="0.2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33" t="s">
        <v>4</v>
      </c>
      <c r="M11" s="33"/>
      <c r="N11" s="33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31" t="s">
        <v>6</v>
      </c>
      <c r="M12" s="31"/>
      <c r="N12" s="31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60000</v>
      </c>
      <c r="F19" s="13">
        <v>0.437</v>
      </c>
      <c r="G19" s="2" t="s">
        <v>24</v>
      </c>
      <c r="H19" s="3">
        <f>+MIN(1,ROUND(B19/B$36,4))</f>
        <v>1.2999999999999999E-3</v>
      </c>
      <c r="I19" s="2" t="s">
        <v>25</v>
      </c>
      <c r="J19" s="14">
        <f>ROUND((F19*H19/100),5)</f>
        <v>1.0000000000000001E-5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362962308</v>
      </c>
      <c r="D22" s="3">
        <f>ROUND((B22/B31),4)</f>
        <v>0.45450000000000002</v>
      </c>
      <c r="E22" s="2" t="s">
        <v>24</v>
      </c>
      <c r="F22" s="16">
        <v>4.0987999999999998</v>
      </c>
      <c r="G22" s="2" t="s">
        <v>24</v>
      </c>
      <c r="H22" s="3">
        <f>SUM(1-$H$19)</f>
        <v>0.99870000000000003</v>
      </c>
      <c r="I22" s="2" t="s">
        <v>25</v>
      </c>
      <c r="J22" s="14">
        <f>ROUND((D22*F22*H22/100),5)</f>
        <v>1.8599999999999998E-2</v>
      </c>
      <c r="L22" s="2">
        <f>ROUND(MIN(L33,(J19+J22)*100),2)</f>
        <v>1.86</v>
      </c>
      <c r="N22" s="2">
        <f>ROUND((L22/L33*100),2)</f>
        <v>26.92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0.99870000000000003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435609324</v>
      </c>
      <c r="D28" s="3">
        <f>D31-D22-D25</f>
        <v>0.54549999999999998</v>
      </c>
      <c r="E28" s="2" t="s">
        <v>24</v>
      </c>
      <c r="F28" s="2">
        <v>9.2799999999999994</v>
      </c>
      <c r="G28" s="2" t="s">
        <v>24</v>
      </c>
      <c r="H28" s="3">
        <f>SUM(1-$H$19)</f>
        <v>0.99870000000000003</v>
      </c>
      <c r="I28" s="2" t="s">
        <v>25</v>
      </c>
      <c r="J28" s="14">
        <f>ROUND((D28*F28*H28/100),5)</f>
        <v>5.0560000000000001E-2</v>
      </c>
      <c r="L28" s="2">
        <f>SUM(L33-L22)</f>
        <v>5.0499999999999989</v>
      </c>
      <c r="N28" s="2">
        <f>SUM(N33-N22)</f>
        <v>73.08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798571632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6.9169999999999995E-2</v>
      </c>
      <c r="L33" s="2">
        <f>TRUNC(J33,4)*100</f>
        <v>6.9099999999999993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45052844.305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BCF3C9-B83D-4F33-B15F-41E83DA89E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A145ED-C2D4-4E69-B8E3-3F0798EA7D8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schemas.openxmlformats.org/package/2006/metadata/core-properties"/>
    <ds:schemaRef ds:uri="fb86b3f3-0c45-4486-810b-39aa0a1cbbd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8DD0EC5-D002-4FBF-824D-5F851501C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Jan_16</vt:lpstr>
      <vt:lpstr>Feb_16</vt:lpstr>
      <vt:lpstr>Mar_16</vt:lpstr>
      <vt:lpstr>Apr_16</vt:lpstr>
      <vt:lpstr>May_16</vt:lpstr>
      <vt:lpstr>Jun_16</vt:lpstr>
      <vt:lpstr>Jul_16</vt:lpstr>
      <vt:lpstr>Aug_16</vt:lpstr>
      <vt:lpstr>Sep_16</vt:lpstr>
      <vt:lpstr>Oct_16</vt:lpstr>
      <vt:lpstr>Nov_16</vt:lpstr>
      <vt:lpstr>Dec_16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Taylor</dc:creator>
  <cp:lastModifiedBy>Gates, Debbie</cp:lastModifiedBy>
  <cp:lastPrinted>2019-09-18T13:51:37Z</cp:lastPrinted>
  <dcterms:created xsi:type="dcterms:W3CDTF">2019-09-05T18:20:53Z</dcterms:created>
  <dcterms:modified xsi:type="dcterms:W3CDTF">2019-09-18T13:51:38Z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