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120" yWindow="90" windowWidth="15120" windowHeight="7755"/>
  </bookViews>
  <sheets>
    <sheet name="DEK 22a" sheetId="1" r:id="rId1"/>
    <sheet name="DEK 22b" sheetId="2" r:id="rId2"/>
    <sheet name="DEC 22a" sheetId="3" r:id="rId3"/>
    <sheet name="DEC 22b" sheetId="4" r:id="rId4"/>
  </sheets>
  <definedNames>
    <definedName name="_xlnm.Print_Area" localSheetId="2">'DEC 22a'!$A$1:$N$29</definedName>
    <definedName name="_xlnm.Print_Area" localSheetId="3">'DEC 22b'!$A$1:$J$41</definedName>
    <definedName name="_xlnm.Print_Area" localSheetId="0">'DEK 22a'!$A$1:$N$25</definedName>
    <definedName name="_xlnm.Print_Area" localSheetId="1">'DEK 22b'!$A$1:$I$42</definedName>
  </definedNames>
  <calcPr calcId="171027" iterate="1"/>
</workbook>
</file>

<file path=xl/calcChain.xml><?xml version="1.0" encoding="utf-8"?>
<calcChain xmlns="http://schemas.openxmlformats.org/spreadsheetml/2006/main">
  <c r="C17" i="1" l="1"/>
  <c r="G18" i="4" l="1"/>
  <c r="G15" i="2"/>
  <c r="D14" i="2"/>
  <c r="B17" i="4" l="1"/>
  <c r="A6" i="3" l="1"/>
  <c r="A6" i="4"/>
  <c r="A6" i="2"/>
  <c r="A5" i="2"/>
  <c r="E11" i="1"/>
  <c r="G11" i="1" s="1"/>
  <c r="I11" i="1" s="1"/>
  <c r="K11" i="1" s="1"/>
  <c r="A8" i="4" l="1"/>
  <c r="K14" i="3"/>
  <c r="I14" i="3"/>
  <c r="G14" i="3"/>
  <c r="E14" i="3"/>
  <c r="C14" i="3"/>
  <c r="I32" i="4" l="1"/>
  <c r="H32" i="4"/>
  <c r="F32" i="4"/>
  <c r="I30" i="4"/>
  <c r="H30" i="4"/>
  <c r="F30" i="4"/>
  <c r="F34" i="4" s="1"/>
  <c r="G29" i="4"/>
  <c r="C29" i="4"/>
  <c r="G28" i="4"/>
  <c r="C28" i="4"/>
  <c r="G27" i="4"/>
  <c r="C27" i="4"/>
  <c r="G26" i="4"/>
  <c r="C26" i="4"/>
  <c r="G25" i="4"/>
  <c r="C25" i="4"/>
  <c r="G24" i="4"/>
  <c r="G23" i="4"/>
  <c r="C23" i="4"/>
  <c r="G22" i="4"/>
  <c r="G21" i="4"/>
  <c r="C21" i="4"/>
  <c r="G20" i="4"/>
  <c r="C20" i="4"/>
  <c r="G19" i="4"/>
  <c r="C19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2" i="4" s="1"/>
  <c r="A34" i="4" s="1"/>
  <c r="A36" i="4" s="1"/>
  <c r="G17" i="4"/>
  <c r="C17" i="4"/>
  <c r="K21" i="3"/>
  <c r="E21" i="3"/>
  <c r="C21" i="3"/>
  <c r="I27" i="2"/>
  <c r="I28" i="2" s="1"/>
  <c r="H27" i="2"/>
  <c r="H28" i="2" s="1"/>
  <c r="F27" i="2"/>
  <c r="F28" i="2" s="1"/>
  <c r="F29" i="2" s="1"/>
  <c r="E27" i="2"/>
  <c r="E28" i="2" s="1"/>
  <c r="D27" i="2"/>
  <c r="D28" i="2" s="1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C15" i="2"/>
  <c r="G14" i="2"/>
  <c r="C14" i="2"/>
  <c r="M17" i="1"/>
  <c r="N16" i="1" s="1"/>
  <c r="K17" i="1"/>
  <c r="L16" i="1" s="1"/>
  <c r="I17" i="1"/>
  <c r="J16" i="1" s="1"/>
  <c r="G17" i="1"/>
  <c r="H16" i="1" s="1"/>
  <c r="E17" i="1"/>
  <c r="D16" i="1"/>
  <c r="D20" i="3" l="1"/>
  <c r="D17" i="3"/>
  <c r="H36" i="4"/>
  <c r="D36" i="4"/>
  <c r="H30" i="2"/>
  <c r="D30" i="2"/>
  <c r="F18" i="3"/>
  <c r="F17" i="3"/>
  <c r="F20" i="3"/>
  <c r="F19" i="3"/>
  <c r="F16" i="3"/>
  <c r="L20" i="3"/>
  <c r="L19" i="3"/>
  <c r="L18" i="3"/>
  <c r="L17" i="3"/>
  <c r="L16" i="3"/>
  <c r="F15" i="1"/>
  <c r="F16" i="1"/>
  <c r="H15" i="1"/>
  <c r="N13" i="1"/>
  <c r="N15" i="1"/>
  <c r="N14" i="1"/>
  <c r="F13" i="1"/>
  <c r="H14" i="1"/>
  <c r="H13" i="1"/>
  <c r="J14" i="1"/>
  <c r="J13" i="1"/>
  <c r="L13" i="1"/>
  <c r="J15" i="1"/>
  <c r="D13" i="1"/>
  <c r="G27" i="2"/>
  <c r="G28" i="2" s="1"/>
  <c r="G30" i="2"/>
  <c r="M21" i="3"/>
  <c r="N16" i="3" s="1"/>
  <c r="D30" i="4"/>
  <c r="D32" i="4"/>
  <c r="E36" i="4"/>
  <c r="F14" i="1"/>
  <c r="D15" i="1"/>
  <c r="L15" i="1"/>
  <c r="G21" i="3"/>
  <c r="E30" i="4"/>
  <c r="E32" i="4"/>
  <c r="C24" i="4"/>
  <c r="G36" i="4"/>
  <c r="I36" i="4" s="1"/>
  <c r="D14" i="1"/>
  <c r="L14" i="1"/>
  <c r="C27" i="2"/>
  <c r="C28" i="2" s="1"/>
  <c r="E29" i="2" s="1"/>
  <c r="I21" i="3"/>
  <c r="J16" i="3" s="1"/>
  <c r="G30" i="4"/>
  <c r="G32" i="4"/>
  <c r="C22" i="4"/>
  <c r="D19" i="3"/>
  <c r="D16" i="3"/>
  <c r="D18" i="3"/>
  <c r="C18" i="4"/>
  <c r="F36" i="4"/>
  <c r="E30" i="2"/>
  <c r="F30" i="2"/>
  <c r="D29" i="2" l="1"/>
  <c r="I30" i="2"/>
  <c r="C30" i="2" s="1"/>
  <c r="H18" i="3"/>
  <c r="H17" i="3"/>
  <c r="H20" i="3"/>
  <c r="H19" i="3"/>
  <c r="H16" i="3"/>
  <c r="J20" i="3"/>
  <c r="J19" i="3"/>
  <c r="J18" i="3"/>
  <c r="J17" i="3"/>
  <c r="H17" i="1"/>
  <c r="L17" i="1"/>
  <c r="N17" i="1"/>
  <c r="F17" i="1"/>
  <c r="J17" i="1"/>
  <c r="N17" i="3"/>
  <c r="N20" i="3"/>
  <c r="N19" i="3"/>
  <c r="D17" i="1"/>
  <c r="G29" i="2"/>
  <c r="C32" i="4"/>
  <c r="D34" i="4" s="1"/>
  <c r="N18" i="3"/>
  <c r="F21" i="3"/>
  <c r="H29" i="2"/>
  <c r="C36" i="4"/>
  <c r="C30" i="4"/>
  <c r="L21" i="3"/>
  <c r="D21" i="3"/>
  <c r="E34" i="4" l="1"/>
  <c r="N21" i="3"/>
  <c r="I29" i="2"/>
  <c r="C29" i="2" s="1"/>
  <c r="H21" i="3"/>
  <c r="J21" i="3"/>
  <c r="G34" i="4"/>
  <c r="H34" i="4"/>
  <c r="I34" i="4" l="1"/>
  <c r="C34" i="4" s="1"/>
</calcChain>
</file>

<file path=xl/sharedStrings.xml><?xml version="1.0" encoding="utf-8"?>
<sst xmlns="http://schemas.openxmlformats.org/spreadsheetml/2006/main" count="177" uniqueCount="93">
  <si>
    <t>Duke Energy Kentucky, Inc.</t>
  </si>
  <si>
    <t>Calculation of Capital Structure</t>
  </si>
  <si>
    <t>12 Months Ended December</t>
  </si>
  <si>
    <t>Dollars In Thousands</t>
  </si>
  <si>
    <t>Line No.</t>
  </si>
  <si>
    <t>Type of Capital</t>
  </si>
  <si>
    <t>Amount</t>
  </si>
  <si>
    <t>Ratio</t>
  </si>
  <si>
    <t>1.</t>
  </si>
  <si>
    <t>2.</t>
  </si>
  <si>
    <t>Short-Term Debt</t>
  </si>
  <si>
    <t>3.</t>
  </si>
  <si>
    <t>Preferred &amp; Preference Stock</t>
  </si>
  <si>
    <t>4.</t>
  </si>
  <si>
    <r>
      <t xml:space="preserve">Common Equity </t>
    </r>
    <r>
      <rPr>
        <vertAlign val="superscript"/>
        <sz val="10"/>
        <rFont val="Arial"/>
        <family val="2"/>
      </rPr>
      <t>2</t>
    </r>
  </si>
  <si>
    <t>5.</t>
  </si>
  <si>
    <t>Total Capitalization</t>
  </si>
  <si>
    <t>(1) Includes current portion of Long Term Debt</t>
  </si>
  <si>
    <t>(2) Includes Common Stock, Additional Paid in Capital, Retained Earnings and Other Comprehensive Income</t>
  </si>
  <si>
    <t>Calculation of Average Capital Structure</t>
  </si>
  <si>
    <t xml:space="preserve">Total  </t>
  </si>
  <si>
    <t>Line</t>
  </si>
  <si>
    <t>Total</t>
  </si>
  <si>
    <t>Long-term</t>
  </si>
  <si>
    <t>Short-term</t>
  </si>
  <si>
    <t xml:space="preserve">Preferred  </t>
  </si>
  <si>
    <t>Common</t>
  </si>
  <si>
    <t xml:space="preserve">Retained   </t>
  </si>
  <si>
    <t>No.</t>
  </si>
  <si>
    <t>Item</t>
  </si>
  <si>
    <t>Capital</t>
  </si>
  <si>
    <r>
      <t xml:space="preserve">Debt </t>
    </r>
    <r>
      <rPr>
        <b/>
        <u/>
        <vertAlign val="superscript"/>
        <sz val="10"/>
        <rFont val="Arial MT"/>
      </rPr>
      <t>1</t>
    </r>
  </si>
  <si>
    <t>Debt</t>
  </si>
  <si>
    <t>Stock</t>
  </si>
  <si>
    <r>
      <t xml:space="preserve">Stock </t>
    </r>
    <r>
      <rPr>
        <b/>
        <u/>
        <vertAlign val="superscript"/>
        <sz val="10"/>
        <rFont val="Arial MT"/>
      </rPr>
      <t>2</t>
    </r>
  </si>
  <si>
    <t xml:space="preserve">Earnings </t>
  </si>
  <si>
    <t>Equity</t>
  </si>
  <si>
    <t>(a)</t>
  </si>
  <si>
    <t>(b)</t>
  </si>
  <si>
    <t>(c)</t>
  </si>
  <si>
    <t>(d)</t>
  </si>
  <si>
    <t>(e)</t>
  </si>
  <si>
    <t>(f)</t>
  </si>
  <si>
    <t>(g)</t>
  </si>
  <si>
    <t>(h)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</si>
  <si>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</si>
  <si>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</si>
  <si>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</si>
  <si>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</si>
  <si>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</si>
  <si>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</si>
  <si>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</si>
  <si>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</si>
  <si>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</si>
  <si>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</si>
  <si>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</si>
  <si>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</si>
  <si>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 (L1 through L13)</t>
  </si>
  <si>
    <t>Average Balance (L14 / 13)</t>
  </si>
  <si>
    <t xml:space="preserve">Average Capitalization Ratio </t>
  </si>
  <si>
    <t xml:space="preserve">End-of-period capitalization Ratio </t>
  </si>
  <si>
    <t>(2) Includes Common Stock, Additional Paid in Capital and Other Comprehensive Income</t>
  </si>
  <si>
    <t xml:space="preserve"> </t>
  </si>
  <si>
    <t xml:space="preserve">Short Term Debt </t>
  </si>
  <si>
    <t xml:space="preserve">Preferred Trust Securities </t>
  </si>
  <si>
    <t>6.</t>
  </si>
  <si>
    <t>Latest Available</t>
  </si>
  <si>
    <r>
      <t xml:space="preserve">Quarter </t>
    </r>
    <r>
      <rPr>
        <vertAlign val="superscript"/>
        <sz val="10"/>
        <rFont val="Arial"/>
        <family val="2"/>
      </rPr>
      <t>3</t>
    </r>
  </si>
  <si>
    <t>Duke Energy Corp.</t>
  </si>
  <si>
    <t xml:space="preserve">Debt </t>
  </si>
  <si>
    <t>Earnings</t>
  </si>
  <si>
    <t>Total (L1-L13)</t>
  </si>
  <si>
    <t>Average Balance (L14/13)</t>
  </si>
  <si>
    <t>Average capitalization ratios</t>
  </si>
  <si>
    <t>End-of-period capitalization ratios</t>
  </si>
  <si>
    <t>Instructions: If the applicant is a member of an affiliated group, the above data is to be provided for the applicant as shown. On a separate schedule, the same</t>
  </si>
  <si>
    <t>data should also be provided for the parent company and the entire system on a consolidated basis.</t>
  </si>
  <si>
    <t>Instructions:</t>
  </si>
  <si>
    <t>1. If applicable , provide an additional schedule in the above format excluding common equity in subsidiaries from the total company capital structure.</t>
  </si>
  <si>
    <t>show the amount of common equity excluded.</t>
  </si>
  <si>
    <t>2. Include premium class of stock.</t>
  </si>
  <si>
    <t>Dollars in Millions</t>
  </si>
  <si>
    <t>(2) Includes Common Stock, Additional Paid in Capital, Retained Earnings, Other Comprehensive Income and Noncontrolling interests</t>
  </si>
  <si>
    <r>
      <t xml:space="preserve">Long Term Debt </t>
    </r>
    <r>
      <rPr>
        <vertAlign val="superscript"/>
        <sz val="10"/>
        <rFont val="Arial"/>
        <family val="2"/>
      </rPr>
      <t>1, 4</t>
    </r>
  </si>
  <si>
    <t>(4) 2014 and forward amounts include the unamortized debt expense amounts, in accordance with updated GAAP guidance</t>
  </si>
  <si>
    <r>
      <t xml:space="preserve">Long Term Debt </t>
    </r>
    <r>
      <rPr>
        <vertAlign val="superscript"/>
        <sz val="10"/>
        <rFont val="Arial"/>
        <family val="2"/>
      </rPr>
      <t>1,3</t>
    </r>
  </si>
  <si>
    <t>(3) 2014 and forward amounts include the unamortized debt expense amounts, in accordance with updated GAAP guidance</t>
  </si>
  <si>
    <t>Balance at the beginning of Jan 1, 2018</t>
  </si>
  <si>
    <t>12 Months Ended December 31, 2018</t>
  </si>
  <si>
    <t>(3)  Lastest available quarter is as of June 30, 2019</t>
  </si>
  <si>
    <t>Case No. 2019-00271</t>
  </si>
  <si>
    <t>Schedule 22a</t>
  </si>
  <si>
    <t>Schedule 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</si>
</sst>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  <numFmt numFmtId="167" formatCode="0.00000%"/>
  </numFmts>
  <fonts count="13"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 MT"/>
    </font>
    <font>
      <b/>
      <sz val="10"/>
      <name val="Arial MT"/>
    </font>
    <font>
      <b/>
      <u/>
      <sz val="10"/>
      <name val="Arial MT"/>
    </font>
    <font>
      <b/>
      <u/>
      <vertAlign val="superscript"/>
      <sz val="10"/>
      <name val="Arial 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67">
    <xf numFmtId="0" fontId="0" fillId="0" borderId="0" xfId="0"/>
    <xf numFmtId="37" fontId="2" fillId="0" borderId="0" xfId="1" applyFont="1"/>
    <xf numFmtId="37" fontId="8" fillId="0" borderId="0" xfId="1" applyFont="1" applyAlignment="1"/>
    <xf numFmtId="37" fontId="2" fillId="0" borderId="6" xfId="1" applyFont="1" applyBorder="1"/>
    <xf numFmtId="37" fontId="2" fillId="0" borderId="0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10" xfId="1" applyFont="1" applyBorder="1"/>
    <xf numFmtId="37" fontId="2" fillId="0" borderId="2" xfId="1" applyFont="1" applyBorder="1"/>
    <xf numFmtId="37" fontId="9" fillId="0" borderId="11" xfId="1" applyFont="1" applyBorder="1" applyAlignment="1">
      <alignment horizontal="center"/>
    </xf>
    <xf numFmtId="37" fontId="9" fillId="0" borderId="12" xfId="1" applyFont="1" applyBorder="1" applyAlignment="1">
      <alignment horizontal="center"/>
    </xf>
    <xf numFmtId="37" fontId="9" fillId="0" borderId="13" xfId="1" applyFont="1" applyBorder="1" applyAlignment="1">
      <alignment horizontal="center"/>
    </xf>
    <xf numFmtId="37" fontId="9" fillId="0" borderId="14" xfId="1" applyFont="1" applyBorder="1" applyAlignment="1">
      <alignment horizontal="center"/>
    </xf>
    <xf numFmtId="37" fontId="10" fillId="0" borderId="12" xfId="1" applyFont="1" applyBorder="1" applyAlignment="1">
      <alignment horizontal="center"/>
    </xf>
    <xf numFmtId="37" fontId="10" fillId="0" borderId="13" xfId="1" applyFont="1" applyBorder="1" applyAlignment="1">
      <alignment horizontal="center"/>
    </xf>
    <xf numFmtId="37" fontId="10" fillId="0" borderId="14" xfId="1" applyFont="1" applyBorder="1" applyAlignment="1">
      <alignment horizontal="center"/>
    </xf>
    <xf numFmtId="37" fontId="9" fillId="0" borderId="15" xfId="1" applyFont="1" applyBorder="1" applyAlignment="1">
      <alignment horizontal="center"/>
    </xf>
    <xf numFmtId="37" fontId="9" fillId="0" borderId="16" xfId="1" applyFont="1" applyBorder="1" applyAlignment="1">
      <alignment horizontal="center"/>
    </xf>
    <xf numFmtId="37" fontId="9" fillId="0" borderId="17" xfId="1" applyFont="1" applyBorder="1" applyAlignment="1">
      <alignment horizontal="center"/>
    </xf>
    <xf numFmtId="10" fontId="2" fillId="0" borderId="21" xfId="2" applyNumberFormat="1" applyFont="1" applyBorder="1" applyAlignment="1">
      <alignment wrapText="1"/>
    </xf>
    <xf numFmtId="10" fontId="2" fillId="0" borderId="22" xfId="2" applyNumberFormat="1" applyFont="1" applyBorder="1" applyAlignment="1">
      <alignment wrapText="1"/>
    </xf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3" fillId="0" borderId="2" xfId="3" applyFont="1" applyBorder="1"/>
    <xf numFmtId="0" fontId="3" fillId="0" borderId="26" xfId="3" applyFont="1" applyBorder="1"/>
    <xf numFmtId="0" fontId="3" fillId="0" borderId="27" xfId="3" applyFont="1" applyBorder="1"/>
    <xf numFmtId="0" fontId="3" fillId="0" borderId="26" xfId="3" applyFont="1" applyBorder="1" applyAlignment="1">
      <alignment horizontal="centerContinuous"/>
    </xf>
    <xf numFmtId="0" fontId="3" fillId="0" borderId="27" xfId="3" applyFont="1" applyBorder="1" applyAlignment="1">
      <alignment horizontal="centerContinuous"/>
    </xf>
    <xf numFmtId="0" fontId="3" fillId="0" borderId="13" xfId="3" applyFont="1" applyBorder="1"/>
    <xf numFmtId="0" fontId="3" fillId="0" borderId="28" xfId="3" applyFont="1" applyBorder="1"/>
    <xf numFmtId="0" fontId="3" fillId="0" borderId="29" xfId="3" applyFont="1" applyBorder="1"/>
    <xf numFmtId="0" fontId="3" fillId="0" borderId="28" xfId="3" applyFont="1" applyBorder="1" applyAlignment="1">
      <alignment horizontal="centerContinuous"/>
    </xf>
    <xf numFmtId="0" fontId="3" fillId="0" borderId="29" xfId="3" applyFont="1" applyBorder="1" applyAlignment="1">
      <alignment horizontal="centerContinuous"/>
    </xf>
    <xf numFmtId="0" fontId="3" fillId="0" borderId="13" xfId="3" applyFont="1" applyBorder="1" applyAlignment="1">
      <alignment horizontal="center"/>
    </xf>
    <xf numFmtId="0" fontId="3" fillId="0" borderId="28" xfId="3" applyFont="1" applyBorder="1" applyAlignment="1">
      <alignment horizontal="center"/>
    </xf>
    <xf numFmtId="0" fontId="6" fillId="0" borderId="30" xfId="3" applyFont="1" applyBorder="1" applyAlignment="1">
      <alignment horizontal="centerContinuous"/>
    </xf>
    <xf numFmtId="0" fontId="6" fillId="0" borderId="31" xfId="3" applyFont="1" applyBorder="1" applyAlignment="1">
      <alignment horizontal="centerContinuous"/>
    </xf>
    <xf numFmtId="0" fontId="3" fillId="0" borderId="16" xfId="3" applyFont="1" applyBorder="1" applyAlignment="1">
      <alignment horizontal="center"/>
    </xf>
    <xf numFmtId="0" fontId="3" fillId="0" borderId="31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30" xfId="3" applyFont="1" applyBorder="1" applyAlignment="1">
      <alignment horizontal="left"/>
    </xf>
    <xf numFmtId="165" fontId="3" fillId="0" borderId="1" xfId="4" applyNumberFormat="1" applyFont="1" applyBorder="1"/>
    <xf numFmtId="164" fontId="3" fillId="0" borderId="1" xfId="2" applyNumberFormat="1" applyFont="1" applyBorder="1"/>
    <xf numFmtId="0" fontId="3" fillId="0" borderId="3" xfId="3" applyFont="1" applyBorder="1"/>
    <xf numFmtId="165" fontId="3" fillId="0" borderId="1" xfId="4" applyNumberFormat="1" applyFont="1" applyFill="1" applyBorder="1"/>
    <xf numFmtId="0" fontId="3" fillId="0" borderId="30" xfId="3" applyFont="1" applyBorder="1" applyAlignment="1">
      <alignment horizontal="centerContinuous"/>
    </xf>
    <xf numFmtId="37" fontId="2" fillId="0" borderId="5" xfId="1" applyFont="1" applyBorder="1"/>
    <xf numFmtId="37" fontId="2" fillId="0" borderId="6" xfId="1" applyFont="1" applyBorder="1" applyAlignment="1"/>
    <xf numFmtId="37" fontId="2" fillId="0" borderId="7" xfId="1" applyFont="1" applyBorder="1" applyAlignment="1">
      <alignment horizontal="right"/>
    </xf>
    <xf numFmtId="37" fontId="2" fillId="0" borderId="8" xfId="1" applyFont="1" applyBorder="1"/>
    <xf numFmtId="37" fontId="2" fillId="0" borderId="0" xfId="1" applyFont="1" applyBorder="1" applyAlignment="1"/>
    <xf numFmtId="37" fontId="2" fillId="0" borderId="9" xfId="1" applyFont="1" applyBorder="1" applyAlignment="1">
      <alignment horizontal="right"/>
    </xf>
    <xf numFmtId="0" fontId="4" fillId="0" borderId="8" xfId="3" applyFont="1" applyBorder="1" applyAlignment="1">
      <alignment horizontal="centerContinuous"/>
    </xf>
    <xf numFmtId="37" fontId="9" fillId="0" borderId="0" xfId="1" applyFont="1" applyBorder="1" applyAlignment="1">
      <alignment horizontal="centerContinuous"/>
    </xf>
    <xf numFmtId="37" fontId="2" fillId="0" borderId="0" xfId="1" applyFont="1" applyBorder="1" applyAlignment="1">
      <alignment horizontal="centerContinuous"/>
    </xf>
    <xf numFmtId="37" fontId="2" fillId="0" borderId="9" xfId="1" applyFont="1" applyBorder="1" applyAlignment="1">
      <alignment horizontal="centerContinuous"/>
    </xf>
    <xf numFmtId="37" fontId="9" fillId="0" borderId="0" xfId="1" applyFont="1"/>
    <xf numFmtId="37" fontId="1" fillId="0" borderId="8" xfId="1" applyFont="1" applyBorder="1" applyAlignment="1">
      <alignment horizontal="centerContinuous"/>
    </xf>
    <xf numFmtId="37" fontId="2" fillId="0" borderId="8" xfId="1" applyFont="1" applyBorder="1" applyAlignment="1">
      <alignment horizontal="centerContinuous"/>
    </xf>
    <xf numFmtId="37" fontId="9" fillId="0" borderId="8" xfId="1" applyFont="1" applyBorder="1" applyAlignment="1">
      <alignment horizontal="centerContinuous"/>
    </xf>
    <xf numFmtId="37" fontId="2" fillId="0" borderId="9" xfId="1" applyFont="1" applyBorder="1"/>
    <xf numFmtId="37" fontId="2" fillId="0" borderId="2" xfId="1" applyFont="1" applyBorder="1" applyAlignment="1"/>
    <xf numFmtId="37" fontId="9" fillId="0" borderId="0" xfId="1" applyFont="1" applyAlignment="1">
      <alignment horizontal="center"/>
    </xf>
    <xf numFmtId="37" fontId="10" fillId="0" borderId="0" xfId="1" applyFont="1" applyAlignment="1">
      <alignment horizontal="center"/>
    </xf>
    <xf numFmtId="37" fontId="9" fillId="0" borderId="16" xfId="1" quotePrefix="1" applyFont="1" applyBorder="1" applyAlignment="1">
      <alignment horizontal="center"/>
    </xf>
    <xf numFmtId="37" fontId="9" fillId="0" borderId="17" xfId="1" quotePrefix="1" applyFont="1" applyBorder="1" applyAlignment="1">
      <alignment horizontal="center"/>
    </xf>
    <xf numFmtId="37" fontId="2" fillId="0" borderId="18" xfId="1" applyFont="1" applyBorder="1" applyAlignment="1">
      <alignment horizontal="center" wrapText="1"/>
    </xf>
    <xf numFmtId="37" fontId="2" fillId="0" borderId="1" xfId="1" applyFont="1" applyBorder="1" applyAlignment="1"/>
    <xf numFmtId="165" fontId="2" fillId="0" borderId="1" xfId="4" applyNumberFormat="1" applyFont="1" applyBorder="1" applyAlignment="1">
      <alignment wrapText="1"/>
    </xf>
    <xf numFmtId="165" fontId="2" fillId="0" borderId="19" xfId="4" applyNumberFormat="1" applyFont="1" applyBorder="1" applyAlignment="1">
      <alignment wrapText="1"/>
    </xf>
    <xf numFmtId="37" fontId="2" fillId="0" borderId="0" xfId="1" applyFont="1" applyAlignment="1">
      <alignment wrapText="1"/>
    </xf>
    <xf numFmtId="37" fontId="2" fillId="0" borderId="1" xfId="1" applyFont="1" applyBorder="1" applyAlignment="1">
      <alignment horizontal="left" indent="1"/>
    </xf>
    <xf numFmtId="37" fontId="2" fillId="0" borderId="18" xfId="1" applyFont="1" applyBorder="1" applyAlignment="1">
      <alignment wrapText="1"/>
    </xf>
    <xf numFmtId="165" fontId="2" fillId="0" borderId="1" xfId="4" applyNumberFormat="1" applyFont="1" applyBorder="1" applyAlignment="1">
      <alignment horizontal="center" wrapText="1"/>
    </xf>
    <xf numFmtId="165" fontId="2" fillId="0" borderId="19" xfId="4" applyNumberFormat="1" applyFont="1" applyBorder="1" applyAlignment="1">
      <alignment horizontal="center" wrapText="1"/>
    </xf>
    <xf numFmtId="10" fontId="2" fillId="0" borderId="1" xfId="2" applyNumberFormat="1" applyFont="1" applyBorder="1" applyAlignment="1">
      <alignment wrapText="1"/>
    </xf>
    <xf numFmtId="10" fontId="2" fillId="0" borderId="19" xfId="2" applyNumberFormat="1" applyFont="1" applyBorder="1" applyAlignment="1">
      <alignment wrapText="1"/>
    </xf>
    <xf numFmtId="37" fontId="2" fillId="0" borderId="20" xfId="1" applyFont="1" applyBorder="1" applyAlignment="1">
      <alignment horizontal="center" wrapText="1"/>
    </xf>
    <xf numFmtId="37" fontId="2" fillId="0" borderId="21" xfId="1" applyFont="1" applyBorder="1" applyAlignment="1"/>
    <xf numFmtId="37" fontId="2" fillId="0" borderId="0" xfId="1" applyFont="1" applyAlignment="1">
      <alignment horizontal="center" wrapText="1"/>
    </xf>
    <xf numFmtId="37" fontId="2" fillId="0" borderId="0" xfId="1" applyFont="1" applyAlignment="1"/>
    <xf numFmtId="165" fontId="2" fillId="0" borderId="0" xfId="4" applyNumberFormat="1" applyFont="1"/>
    <xf numFmtId="166" fontId="2" fillId="0" borderId="0" xfId="2" applyNumberFormat="1" applyFont="1" applyBorder="1" applyAlignment="1">
      <alignment wrapText="1"/>
    </xf>
    <xf numFmtId="167" fontId="2" fillId="0" borderId="0" xfId="2" applyNumberFormat="1" applyFont="1" applyAlignment="1">
      <alignment wrapText="1"/>
    </xf>
    <xf numFmtId="167" fontId="2" fillId="0" borderId="0" xfId="4" applyNumberFormat="1" applyFont="1"/>
    <xf numFmtId="165" fontId="2" fillId="0" borderId="0" xfId="4" applyNumberFormat="1" applyFont="1" applyAlignment="1">
      <alignment wrapText="1"/>
    </xf>
    <xf numFmtId="0" fontId="4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12" fillId="0" borderId="0" xfId="0" applyFont="1"/>
    <xf numFmtId="165" fontId="3" fillId="0" borderId="0" xfId="4" applyNumberFormat="1" applyFont="1" applyBorder="1"/>
    <xf numFmtId="165" fontId="3" fillId="0" borderId="0" xfId="4" applyNumberFormat="1" applyFont="1" applyFill="1" applyBorder="1"/>
    <xf numFmtId="0" fontId="12" fillId="0" borderId="0" xfId="0" applyFont="1" applyBorder="1"/>
    <xf numFmtId="42" fontId="12" fillId="0" borderId="1" xfId="0" applyNumberFormat="1" applyFont="1" applyBorder="1"/>
    <xf numFmtId="0" fontId="12" fillId="0" borderId="1" xfId="0" applyFont="1" applyBorder="1"/>
    <xf numFmtId="41" fontId="12" fillId="0" borderId="1" xfId="0" applyNumberFormat="1" applyFont="1" applyBorder="1"/>
    <xf numFmtId="41" fontId="12" fillId="0" borderId="0" xfId="0" applyNumberFormat="1" applyFont="1"/>
    <xf numFmtId="0" fontId="12" fillId="0" borderId="0" xfId="0" applyFont="1" applyFill="1"/>
    <xf numFmtId="37" fontId="2" fillId="0" borderId="0" xfId="1" applyFont="1" applyFill="1"/>
    <xf numFmtId="0" fontId="1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/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/>
    <xf numFmtId="42" fontId="12" fillId="0" borderId="1" xfId="0" applyNumberFormat="1" applyFont="1" applyFill="1" applyBorder="1"/>
    <xf numFmtId="41" fontId="12" fillId="0" borderId="0" xfId="0" applyNumberFormat="1" applyFont="1" applyFill="1"/>
    <xf numFmtId="9" fontId="12" fillId="0" borderId="0" xfId="0" applyNumberFormat="1" applyFont="1" applyFill="1"/>
    <xf numFmtId="17" fontId="6" fillId="0" borderId="3" xfId="0" applyNumberFormat="1" applyFont="1" applyFill="1" applyBorder="1" applyAlignment="1">
      <alignment horizontal="centerContinuous" vertical="center" wrapText="1"/>
    </xf>
    <xf numFmtId="17" fontId="6" fillId="0" borderId="4" xfId="0" applyNumberFormat="1" applyFont="1" applyFill="1" applyBorder="1" applyAlignment="1">
      <alignment horizontal="centerContinuous" vertical="center" wrapText="1"/>
    </xf>
    <xf numFmtId="37" fontId="8" fillId="0" borderId="0" xfId="1" applyFont="1" applyFill="1" applyAlignme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42" fontId="12" fillId="0" borderId="19" xfId="0" applyNumberFormat="1" applyFont="1" applyBorder="1"/>
    <xf numFmtId="41" fontId="12" fillId="0" borderId="19" xfId="0" applyNumberFormat="1" applyFon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10" fontId="12" fillId="0" borderId="21" xfId="2" applyNumberFormat="1" applyFont="1" applyBorder="1" applyAlignment="1">
      <alignment wrapText="1"/>
    </xf>
    <xf numFmtId="10" fontId="12" fillId="0" borderId="22" xfId="2" applyNumberFormat="1" applyFont="1" applyBorder="1" applyAlignment="1">
      <alignment wrapText="1"/>
    </xf>
    <xf numFmtId="10" fontId="12" fillId="0" borderId="24" xfId="2" applyNumberFormat="1" applyFont="1" applyBorder="1" applyAlignment="1">
      <alignment wrapText="1"/>
    </xf>
    <xf numFmtId="10" fontId="12" fillId="0" borderId="25" xfId="2" applyNumberFormat="1" applyFont="1" applyBorder="1" applyAlignment="1">
      <alignment wrapText="1"/>
    </xf>
    <xf numFmtId="0" fontId="3" fillId="0" borderId="1" xfId="0" quotePrefix="1" applyFont="1" applyFill="1" applyBorder="1" applyAlignment="1">
      <alignment horizontal="center"/>
    </xf>
    <xf numFmtId="164" fontId="3" fillId="0" borderId="1" xfId="0" applyNumberFormat="1" applyFont="1" applyFill="1" applyBorder="1"/>
    <xf numFmtId="42" fontId="3" fillId="0" borderId="0" xfId="0" applyNumberFormat="1" applyFont="1" applyFill="1" applyBorder="1"/>
    <xf numFmtId="9" fontId="3" fillId="0" borderId="0" xfId="0" applyNumberFormat="1" applyFont="1" applyFill="1" applyBorder="1"/>
    <xf numFmtId="41" fontId="3" fillId="0" borderId="0" xfId="0" applyNumberFormat="1" applyFont="1" applyFill="1" applyBorder="1"/>
    <xf numFmtId="42" fontId="3" fillId="0" borderId="1" xfId="0" applyNumberFormat="1" applyFont="1" applyFill="1" applyBorder="1"/>
    <xf numFmtId="41" fontId="3" fillId="0" borderId="0" xfId="0" applyNumberFormat="1" applyFont="1" applyFill="1"/>
    <xf numFmtId="9" fontId="3" fillId="0" borderId="0" xfId="0" applyNumberFormat="1" applyFont="1" applyFill="1"/>
    <xf numFmtId="41" fontId="3" fillId="0" borderId="1" xfId="0" applyNumberFormat="1" applyFont="1" applyFill="1" applyBorder="1"/>
    <xf numFmtId="41" fontId="12" fillId="0" borderId="1" xfId="0" applyNumberFormat="1" applyFont="1" applyFill="1" applyBorder="1"/>
    <xf numFmtId="42" fontId="12" fillId="0" borderId="19" xfId="0" applyNumberFormat="1" applyFont="1" applyFill="1" applyBorder="1"/>
    <xf numFmtId="41" fontId="12" fillId="0" borderId="19" xfId="0" applyNumberFormat="1" applyFont="1" applyFill="1" applyBorder="1"/>
    <xf numFmtId="164" fontId="3" fillId="0" borderId="1" xfId="2" applyNumberFormat="1" applyFont="1" applyFill="1" applyBorder="1"/>
    <xf numFmtId="165" fontId="2" fillId="0" borderId="1" xfId="4" applyNumberFormat="1" applyFont="1" applyFill="1" applyBorder="1" applyAlignment="1">
      <alignment wrapText="1"/>
    </xf>
    <xf numFmtId="165" fontId="2" fillId="0" borderId="19" xfId="4" applyNumberFormat="1" applyFont="1" applyFill="1" applyBorder="1" applyAlignment="1">
      <alignment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Comma 2" xfId="4"/>
    <cellStyle name="Normal" xfId="0" builtinId="0"/>
    <cellStyle name="Normal 2" xfId="1"/>
    <cellStyle name="Normal 3" xfId="3"/>
    <cellStyle name="Percent 2" xfId="2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Layout" zoomScale="90" zoomScaleNormal="100" zoomScalePageLayoutView="90" workbookViewId="0">
      <selection activeCell="G16" sqref="G16"/>
    </sheetView>
  </sheetViews>
  <sheetFormatPr defaultColWidth="9.140625" defaultRowHeight="15"/>
  <cols>
    <col min="1" max="1" width="7.85546875" style="108" customWidth="1"/>
    <col min="2" max="2" width="28" style="108" customWidth="1"/>
    <col min="3" max="3" width="12.7109375" style="108" customWidth="1"/>
    <col min="4" max="4" width="9.140625" style="108"/>
    <col min="5" max="5" width="12.7109375" style="108" customWidth="1"/>
    <col min="6" max="6" width="9.140625" style="108"/>
    <col min="7" max="7" width="12.7109375" style="108" customWidth="1"/>
    <col min="8" max="8" width="9.140625" style="108"/>
    <col min="9" max="9" width="12.7109375" style="108" customWidth="1"/>
    <col min="10" max="10" width="9.140625" style="108"/>
    <col min="11" max="11" width="12.7109375" style="108" customWidth="1"/>
    <col min="12" max="12" width="9.140625" style="108"/>
    <col min="13" max="13" width="12.7109375" style="108" customWidth="1"/>
    <col min="14" max="14" width="9.140625" style="108" customWidth="1"/>
    <col min="15" max="15" width="12.7109375" style="108" customWidth="1"/>
    <col min="16" max="16" width="9.140625" style="108"/>
    <col min="17" max="17" width="12.7109375" style="108" customWidth="1"/>
    <col min="18" max="18" width="9.140625" style="108"/>
    <col min="19" max="19" width="12.7109375" style="108" customWidth="1"/>
    <col min="20" max="20" width="9.140625" style="108"/>
    <col min="21" max="21" width="12.7109375" style="108" customWidth="1"/>
    <col min="22" max="22" width="9.140625" style="108"/>
    <col min="23" max="23" width="12.7109375" style="108" customWidth="1"/>
    <col min="24" max="16384" width="9.140625" style="108"/>
  </cols>
  <sheetData>
    <row r="1" spans="1:26">
      <c r="M1" s="109"/>
      <c r="N1" s="110"/>
    </row>
    <row r="2" spans="1:26">
      <c r="M2" s="109"/>
      <c r="N2" s="110"/>
    </row>
    <row r="3" spans="1:26">
      <c r="M3" s="111"/>
      <c r="N3" s="110" t="s">
        <v>91</v>
      </c>
    </row>
    <row r="4" spans="1:26">
      <c r="M4" s="111"/>
      <c r="N4" s="110"/>
    </row>
    <row r="5" spans="1:26" ht="20.25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26" ht="15.75" customHeight="1">
      <c r="A6" s="113" t="s">
        <v>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26" ht="15.75" customHeight="1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26" ht="15.75" customHeight="1">
      <c r="A8" s="113" t="s">
        <v>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26">
      <c r="A9" s="114" t="s">
        <v>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26"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s="111" customFormat="1" ht="12.75">
      <c r="A11" s="165" t="s">
        <v>4</v>
      </c>
      <c r="B11" s="165" t="s">
        <v>5</v>
      </c>
      <c r="C11" s="163">
        <v>2018</v>
      </c>
      <c r="D11" s="164"/>
      <c r="E11" s="163">
        <f>C11-1</f>
        <v>2017</v>
      </c>
      <c r="F11" s="164"/>
      <c r="G11" s="116">
        <f>E11-1</f>
        <v>2016</v>
      </c>
      <c r="H11" s="117"/>
      <c r="I11" s="116">
        <f>G11-1</f>
        <v>2015</v>
      </c>
      <c r="J11" s="117"/>
      <c r="K11" s="116">
        <f>I11-1</f>
        <v>2014</v>
      </c>
      <c r="L11" s="117"/>
      <c r="M11" s="127">
        <v>43646</v>
      </c>
      <c r="N11" s="128"/>
      <c r="O11" s="162"/>
      <c r="P11" s="162"/>
      <c r="Q11" s="162"/>
      <c r="R11" s="162"/>
      <c r="S11" s="162"/>
      <c r="T11" s="162"/>
      <c r="U11" s="162"/>
      <c r="V11" s="162"/>
      <c r="W11" s="161"/>
      <c r="X11" s="162"/>
      <c r="Y11" s="162"/>
      <c r="Z11" s="162"/>
    </row>
    <row r="12" spans="1:26" s="111" customFormat="1" ht="12.75">
      <c r="A12" s="166"/>
      <c r="B12" s="166"/>
      <c r="C12" s="118" t="s">
        <v>6</v>
      </c>
      <c r="D12" s="118" t="s">
        <v>7</v>
      </c>
      <c r="E12" s="118" t="s">
        <v>6</v>
      </c>
      <c r="F12" s="118" t="s">
        <v>7</v>
      </c>
      <c r="G12" s="118" t="s">
        <v>6</v>
      </c>
      <c r="H12" s="118" t="s">
        <v>7</v>
      </c>
      <c r="I12" s="118" t="s">
        <v>6</v>
      </c>
      <c r="J12" s="118" t="s">
        <v>7</v>
      </c>
      <c r="K12" s="119" t="s">
        <v>6</v>
      </c>
      <c r="L12" s="119" t="s">
        <v>7</v>
      </c>
      <c r="M12" s="119" t="s">
        <v>6</v>
      </c>
      <c r="N12" s="119" t="s">
        <v>7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22"/>
    </row>
    <row r="13" spans="1:26" s="111" customFormat="1" ht="14.25">
      <c r="A13" s="146" t="s">
        <v>8</v>
      </c>
      <c r="B13" s="123" t="s">
        <v>85</v>
      </c>
      <c r="C13" s="151">
        <v>550111</v>
      </c>
      <c r="D13" s="147">
        <f>ROUND(C13/$C$17,3)</f>
        <v>0.48</v>
      </c>
      <c r="E13" s="151">
        <v>451180</v>
      </c>
      <c r="F13" s="147">
        <f>ROUND(E13/$E$17,3)</f>
        <v>0.46899999999999997</v>
      </c>
      <c r="G13" s="151">
        <v>362046</v>
      </c>
      <c r="H13" s="147">
        <f>ROUND(G13/$G$17,3)</f>
        <v>0.442</v>
      </c>
      <c r="I13" s="151">
        <v>319027</v>
      </c>
      <c r="J13" s="147">
        <f>ROUND(I13/$I$17,3)</f>
        <v>0.40899999999999997</v>
      </c>
      <c r="K13" s="151">
        <v>320786</v>
      </c>
      <c r="L13" s="147">
        <f>ROUND(K13/$K$17,3)</f>
        <v>0.41599999999999998</v>
      </c>
      <c r="M13" s="151">
        <v>549606</v>
      </c>
      <c r="N13" s="147">
        <f>ROUND(M13/$M$17,3)</f>
        <v>0.46899999999999997</v>
      </c>
      <c r="O13" s="148"/>
      <c r="P13" s="149"/>
      <c r="Q13" s="148"/>
      <c r="R13" s="149"/>
      <c r="S13" s="148"/>
      <c r="T13" s="149"/>
      <c r="U13" s="148"/>
      <c r="V13" s="149"/>
      <c r="W13" s="148"/>
      <c r="X13" s="149"/>
      <c r="Y13" s="121"/>
      <c r="Z13" s="121"/>
    </row>
    <row r="14" spans="1:26" s="111" customFormat="1" ht="12.75">
      <c r="A14" s="146" t="s">
        <v>9</v>
      </c>
      <c r="B14" s="123" t="s">
        <v>10</v>
      </c>
      <c r="C14" s="154">
        <v>0</v>
      </c>
      <c r="D14" s="147">
        <f t="shared" ref="D14:D16" si="0">ROUND(C14/$C$17,3)</f>
        <v>0</v>
      </c>
      <c r="E14" s="154">
        <v>0</v>
      </c>
      <c r="F14" s="147">
        <f t="shared" ref="F14:F15" si="1">ROUND(E14/$E$17,3)</f>
        <v>0</v>
      </c>
      <c r="G14" s="154">
        <v>19656</v>
      </c>
      <c r="H14" s="147">
        <f t="shared" ref="H14:H15" si="2">ROUND(G14/$G$17,3)</f>
        <v>2.4E-2</v>
      </c>
      <c r="I14" s="154">
        <v>55743</v>
      </c>
      <c r="J14" s="147">
        <f t="shared" ref="J14:J16" si="3">ROUND(I14/$I$17,3)</f>
        <v>7.1999999999999995E-2</v>
      </c>
      <c r="K14" s="154">
        <v>37609</v>
      </c>
      <c r="L14" s="147">
        <f t="shared" ref="L14:L16" si="4">ROUND(K14/$K$17,3)</f>
        <v>4.9000000000000002E-2</v>
      </c>
      <c r="M14" s="154">
        <v>0</v>
      </c>
      <c r="N14" s="147">
        <f>ROUND(M14/$M$17,3)</f>
        <v>0</v>
      </c>
      <c r="O14" s="150"/>
      <c r="P14" s="149"/>
      <c r="Q14" s="150"/>
      <c r="R14" s="149"/>
      <c r="S14" s="150"/>
      <c r="T14" s="149"/>
      <c r="U14" s="150"/>
      <c r="V14" s="149"/>
      <c r="W14" s="150"/>
      <c r="X14" s="149"/>
      <c r="Y14" s="121"/>
      <c r="Z14" s="121"/>
    </row>
    <row r="15" spans="1:26" s="111" customFormat="1" ht="12.75">
      <c r="A15" s="146" t="s">
        <v>11</v>
      </c>
      <c r="B15" s="123" t="s">
        <v>12</v>
      </c>
      <c r="C15" s="154">
        <v>0</v>
      </c>
      <c r="D15" s="147">
        <f t="shared" si="0"/>
        <v>0</v>
      </c>
      <c r="E15" s="154">
        <v>0</v>
      </c>
      <c r="F15" s="147">
        <f t="shared" si="1"/>
        <v>0</v>
      </c>
      <c r="G15" s="154">
        <v>0</v>
      </c>
      <c r="H15" s="147">
        <f t="shared" si="2"/>
        <v>0</v>
      </c>
      <c r="I15" s="154">
        <v>0</v>
      </c>
      <c r="J15" s="147">
        <f t="shared" si="3"/>
        <v>0</v>
      </c>
      <c r="K15" s="154">
        <v>0</v>
      </c>
      <c r="L15" s="147">
        <f t="shared" si="4"/>
        <v>0</v>
      </c>
      <c r="M15" s="154">
        <v>0</v>
      </c>
      <c r="N15" s="147">
        <f>ROUND(M15/$M$17,3)</f>
        <v>0</v>
      </c>
      <c r="O15" s="150"/>
      <c r="P15" s="149"/>
      <c r="Q15" s="150"/>
      <c r="R15" s="149"/>
      <c r="S15" s="150"/>
      <c r="T15" s="149"/>
      <c r="U15" s="150"/>
      <c r="V15" s="149"/>
      <c r="W15" s="150"/>
      <c r="X15" s="149"/>
      <c r="Y15" s="121"/>
      <c r="Z15" s="121"/>
    </row>
    <row r="16" spans="1:26" s="111" customFormat="1" ht="14.25">
      <c r="A16" s="146" t="s">
        <v>13</v>
      </c>
      <c r="B16" s="123" t="s">
        <v>14</v>
      </c>
      <c r="C16" s="154">
        <v>596224</v>
      </c>
      <c r="D16" s="147">
        <f t="shared" si="0"/>
        <v>0.52</v>
      </c>
      <c r="E16" s="154">
        <v>511414</v>
      </c>
      <c r="F16" s="147">
        <f>ROUND(E16/$E$17,3)</f>
        <v>0.53100000000000003</v>
      </c>
      <c r="G16" s="154">
        <v>437015</v>
      </c>
      <c r="H16" s="147">
        <f>ROUND(G16/$G$17,3)</f>
        <v>0.53400000000000003</v>
      </c>
      <c r="I16" s="154">
        <v>404432</v>
      </c>
      <c r="J16" s="147">
        <f t="shared" si="3"/>
        <v>0.51900000000000002</v>
      </c>
      <c r="K16" s="154">
        <v>413256</v>
      </c>
      <c r="L16" s="147">
        <f t="shared" si="4"/>
        <v>0.53600000000000003</v>
      </c>
      <c r="M16" s="154">
        <v>622815</v>
      </c>
      <c r="N16" s="147">
        <f>ROUND(M16/$M$17,3)</f>
        <v>0.53100000000000003</v>
      </c>
      <c r="O16" s="150"/>
      <c r="P16" s="149"/>
      <c r="Q16" s="150"/>
      <c r="R16" s="149"/>
      <c r="S16" s="150"/>
      <c r="T16" s="149"/>
      <c r="U16" s="150"/>
      <c r="V16" s="149"/>
      <c r="W16" s="150"/>
      <c r="X16" s="149"/>
      <c r="Y16" s="121"/>
      <c r="Z16" s="121"/>
    </row>
    <row r="17" spans="1:26" s="111" customFormat="1" ht="12.75">
      <c r="A17" s="146" t="s">
        <v>15</v>
      </c>
      <c r="B17" s="123" t="s">
        <v>16</v>
      </c>
      <c r="C17" s="151">
        <f>SUM(C13:C16)</f>
        <v>1146335</v>
      </c>
      <c r="D17" s="147">
        <f t="shared" ref="D17:L17" si="5">SUM(D13:D16)</f>
        <v>1</v>
      </c>
      <c r="E17" s="151">
        <f t="shared" si="5"/>
        <v>962594</v>
      </c>
      <c r="F17" s="147">
        <f t="shared" si="5"/>
        <v>1</v>
      </c>
      <c r="G17" s="151">
        <f t="shared" si="5"/>
        <v>818717</v>
      </c>
      <c r="H17" s="147">
        <f t="shared" si="5"/>
        <v>1</v>
      </c>
      <c r="I17" s="151">
        <f t="shared" si="5"/>
        <v>779202</v>
      </c>
      <c r="J17" s="147">
        <f t="shared" si="5"/>
        <v>1</v>
      </c>
      <c r="K17" s="151">
        <f t="shared" si="5"/>
        <v>771651</v>
      </c>
      <c r="L17" s="147">
        <f t="shared" si="5"/>
        <v>1.0009999999999999</v>
      </c>
      <c r="M17" s="151">
        <f>SUM(M13:M16)</f>
        <v>1172421</v>
      </c>
      <c r="N17" s="147">
        <f>SUM(N13:N16)</f>
        <v>1</v>
      </c>
      <c r="O17" s="148"/>
      <c r="P17" s="149"/>
      <c r="Q17" s="148"/>
      <c r="R17" s="149"/>
      <c r="S17" s="148"/>
      <c r="T17" s="149"/>
      <c r="U17" s="148"/>
      <c r="V17" s="149"/>
      <c r="W17" s="148"/>
      <c r="X17" s="149"/>
      <c r="Y17" s="121"/>
      <c r="Z17" s="121"/>
    </row>
    <row r="18" spans="1:26" s="111" customFormat="1" ht="12.75">
      <c r="C18" s="152"/>
      <c r="D18" s="152"/>
      <c r="E18" s="152"/>
      <c r="F18" s="153"/>
      <c r="G18" s="152"/>
      <c r="H18" s="153"/>
      <c r="I18" s="152"/>
      <c r="J18" s="153"/>
      <c r="K18" s="152"/>
      <c r="L18" s="153"/>
      <c r="M18" s="150"/>
      <c r="N18" s="149"/>
      <c r="O18" s="150"/>
      <c r="P18" s="149"/>
      <c r="Q18" s="150"/>
      <c r="R18" s="149"/>
      <c r="S18" s="150"/>
      <c r="T18" s="149"/>
      <c r="U18" s="150"/>
      <c r="V18" s="149"/>
      <c r="W18" s="150"/>
      <c r="X18" s="149"/>
      <c r="Y18" s="121"/>
      <c r="Z18" s="121"/>
    </row>
    <row r="19" spans="1:26">
      <c r="B19" s="108" t="s">
        <v>17</v>
      </c>
      <c r="C19" s="125"/>
      <c r="D19" s="126"/>
      <c r="E19" s="125"/>
      <c r="F19" s="126"/>
      <c r="G19" s="125"/>
      <c r="H19" s="126"/>
      <c r="I19" s="125"/>
      <c r="J19" s="126"/>
      <c r="K19" s="125"/>
      <c r="L19" s="126"/>
      <c r="M19" s="125"/>
      <c r="N19" s="126"/>
    </row>
    <row r="20" spans="1:26">
      <c r="B20" s="108" t="s">
        <v>18</v>
      </c>
      <c r="C20" s="125"/>
      <c r="D20" s="126"/>
      <c r="E20" s="125"/>
      <c r="F20" s="126"/>
      <c r="G20" s="125"/>
      <c r="H20" s="126"/>
      <c r="I20" s="125"/>
      <c r="J20" s="126"/>
      <c r="K20" s="125"/>
      <c r="L20" s="126"/>
      <c r="M20" s="125"/>
      <c r="N20" s="126"/>
    </row>
    <row r="21" spans="1:26">
      <c r="B21" s="22" t="s">
        <v>86</v>
      </c>
      <c r="C21" s="125"/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6"/>
    </row>
    <row r="22" spans="1:26">
      <c r="C22" s="125"/>
      <c r="D22" s="126"/>
      <c r="E22" s="125"/>
      <c r="F22" s="126"/>
      <c r="G22" s="125"/>
      <c r="H22" s="126"/>
      <c r="I22" s="125"/>
      <c r="J22" s="126"/>
      <c r="K22" s="125"/>
      <c r="L22" s="126"/>
      <c r="M22" s="125"/>
      <c r="N22" s="126"/>
    </row>
    <row r="23" spans="1:26">
      <c r="A23" s="129"/>
      <c r="B23" s="108" t="s">
        <v>75</v>
      </c>
      <c r="C23" s="125"/>
      <c r="D23" s="126"/>
      <c r="E23" s="125"/>
      <c r="F23" s="126"/>
      <c r="G23" s="125"/>
      <c r="H23" s="126"/>
      <c r="I23" s="125"/>
      <c r="J23" s="126"/>
      <c r="K23" s="125"/>
      <c r="L23" s="126"/>
      <c r="M23" s="125"/>
      <c r="N23" s="126"/>
    </row>
    <row r="24" spans="1:26">
      <c r="B24" s="108" t="s">
        <v>76</v>
      </c>
      <c r="C24" s="125"/>
      <c r="E24" s="125"/>
      <c r="F24" s="125"/>
      <c r="G24" s="125"/>
      <c r="H24" s="126"/>
      <c r="I24" s="125"/>
      <c r="J24" s="126"/>
      <c r="K24" s="125"/>
      <c r="L24" s="126"/>
      <c r="M24" s="125"/>
      <c r="N24" s="126"/>
    </row>
  </sheetData>
  <mergeCells count="10">
    <mergeCell ref="C11:D11"/>
    <mergeCell ref="E11:F11"/>
    <mergeCell ref="A11:A12"/>
    <mergeCell ref="B11:B12"/>
    <mergeCell ref="U11:V11"/>
    <mergeCell ref="W11:X11"/>
    <mergeCell ref="Y11:Z11"/>
    <mergeCell ref="O11:P11"/>
    <mergeCell ref="Q11:R11"/>
    <mergeCell ref="S11:T11"/>
  </mergeCells>
  <pageMargins left="0.7" right="0.7" top="0.75" bottom="0.75" header="0.3" footer="0.3"/>
  <pageSetup scale="74" orientation="landscape" r:id="rId1"/>
  <headerFooter>
    <oddHeader>&amp;R&amp;"Times New Roman,Bold"&amp;10KyPSC Case No. 2019-00271
STAFF-DR-01-022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Layout" zoomScale="80" zoomScaleNormal="100" zoomScalePageLayoutView="80" workbookViewId="0">
      <selection activeCell="D34" sqref="D34"/>
    </sheetView>
  </sheetViews>
  <sheetFormatPr defaultColWidth="9.140625" defaultRowHeight="15"/>
  <cols>
    <col min="1" max="1" width="9.140625" style="100"/>
    <col min="2" max="2" width="43.7109375" style="100" customWidth="1"/>
    <col min="3" max="9" width="12.7109375" style="100" customWidth="1"/>
    <col min="10" max="16384" width="9.140625" style="100"/>
  </cols>
  <sheetData>
    <row r="1" spans="1:14">
      <c r="A1" s="130"/>
      <c r="B1" s="131"/>
      <c r="C1" s="131"/>
      <c r="D1" s="131"/>
      <c r="E1" s="131"/>
      <c r="F1" s="131"/>
      <c r="G1" s="131"/>
      <c r="H1" s="3"/>
      <c r="I1" s="132"/>
    </row>
    <row r="2" spans="1:14">
      <c r="A2" s="133"/>
      <c r="B2" s="103"/>
      <c r="C2" s="103"/>
      <c r="D2" s="103"/>
      <c r="E2" s="103"/>
      <c r="F2" s="103"/>
      <c r="G2" s="103"/>
      <c r="H2" s="4"/>
      <c r="I2" s="134"/>
    </row>
    <row r="3" spans="1:14">
      <c r="A3" s="133"/>
      <c r="B3" s="103"/>
      <c r="C3" s="103"/>
      <c r="D3" s="103"/>
      <c r="E3" s="103"/>
      <c r="F3" s="103"/>
      <c r="G3" s="103"/>
      <c r="H3" s="4"/>
      <c r="I3" s="134" t="s">
        <v>92</v>
      </c>
    </row>
    <row r="4" spans="1:14">
      <c r="A4" s="133"/>
      <c r="B4" s="103"/>
      <c r="C4" s="103"/>
      <c r="D4" s="103"/>
      <c r="E4" s="103"/>
      <c r="F4" s="103"/>
      <c r="G4" s="103"/>
      <c r="H4" s="4"/>
      <c r="I4" s="134"/>
    </row>
    <row r="5" spans="1:14" ht="20.25" customHeight="1">
      <c r="A5" s="91" t="str">
        <f>'DEK 22a'!A5</f>
        <v>Duke Energy Kentucky, Inc.</v>
      </c>
      <c r="B5" s="92"/>
      <c r="C5" s="92"/>
      <c r="D5" s="92"/>
      <c r="E5" s="92"/>
      <c r="F5" s="92"/>
      <c r="G5" s="92"/>
      <c r="H5" s="92"/>
      <c r="I5" s="93"/>
      <c r="J5" s="5"/>
      <c r="K5" s="5"/>
      <c r="L5" s="5"/>
      <c r="M5" s="5"/>
      <c r="N5" s="5"/>
    </row>
    <row r="6" spans="1:14" ht="15.75" customHeight="1">
      <c r="A6" s="94" t="str">
        <f>'DEK 22a'!A6</f>
        <v>Case No. 2019-00271</v>
      </c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  <c r="N6" s="6"/>
    </row>
    <row r="7" spans="1:14" ht="15.75" customHeight="1">
      <c r="A7" s="94" t="s">
        <v>19</v>
      </c>
      <c r="B7" s="95"/>
      <c r="C7" s="95"/>
      <c r="D7" s="95"/>
      <c r="E7" s="95"/>
      <c r="F7" s="95"/>
      <c r="G7" s="95"/>
      <c r="H7" s="95"/>
      <c r="I7" s="96"/>
      <c r="J7" s="6"/>
      <c r="K7" s="6"/>
      <c r="L7" s="6"/>
      <c r="M7" s="6"/>
      <c r="N7" s="6"/>
    </row>
    <row r="8" spans="1:14" ht="15.75" customHeight="1">
      <c r="A8" s="94" t="s">
        <v>88</v>
      </c>
      <c r="B8" s="95"/>
      <c r="C8" s="95"/>
      <c r="D8" s="95"/>
      <c r="E8" s="95"/>
      <c r="F8" s="95"/>
      <c r="G8" s="95"/>
      <c r="H8" s="95"/>
      <c r="I8" s="96"/>
      <c r="J8" s="6"/>
      <c r="K8" s="6"/>
      <c r="L8" s="6"/>
      <c r="M8" s="6"/>
      <c r="N8" s="6"/>
    </row>
    <row r="9" spans="1:14">
      <c r="A9" s="97" t="s">
        <v>3</v>
      </c>
      <c r="B9" s="98"/>
      <c r="C9" s="98"/>
      <c r="D9" s="98"/>
      <c r="E9" s="98"/>
      <c r="F9" s="98"/>
      <c r="G9" s="98"/>
      <c r="H9" s="98"/>
      <c r="I9" s="99"/>
      <c r="J9" s="7"/>
      <c r="K9" s="7"/>
      <c r="L9" s="7"/>
      <c r="M9" s="7"/>
      <c r="N9" s="7"/>
    </row>
    <row r="10" spans="1:14">
      <c r="A10" s="8"/>
      <c r="B10" s="9"/>
      <c r="C10" s="9"/>
      <c r="D10" s="9"/>
      <c r="E10" s="9"/>
      <c r="F10" s="9"/>
      <c r="G10" s="9"/>
      <c r="H10" s="9"/>
      <c r="I10" s="10" t="s">
        <v>20</v>
      </c>
      <c r="J10" s="7"/>
      <c r="K10" s="7"/>
      <c r="L10" s="7"/>
      <c r="M10" s="7"/>
      <c r="N10" s="7"/>
    </row>
    <row r="11" spans="1:14">
      <c r="A11" s="11" t="s">
        <v>21</v>
      </c>
      <c r="B11" s="12"/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26</v>
      </c>
      <c r="H11" s="12" t="s">
        <v>27</v>
      </c>
      <c r="I11" s="13" t="s">
        <v>26</v>
      </c>
      <c r="J11" s="7"/>
      <c r="K11" s="7"/>
      <c r="L11" s="7"/>
      <c r="M11" s="7"/>
      <c r="N11" s="7"/>
    </row>
    <row r="12" spans="1:14">
      <c r="A12" s="14" t="s">
        <v>28</v>
      </c>
      <c r="B12" s="15" t="s">
        <v>29</v>
      </c>
      <c r="C12" s="15" t="s">
        <v>30</v>
      </c>
      <c r="D12" s="15" t="s">
        <v>31</v>
      </c>
      <c r="E12" s="15" t="s">
        <v>32</v>
      </c>
      <c r="F12" s="15" t="s">
        <v>33</v>
      </c>
      <c r="G12" s="15" t="s">
        <v>34</v>
      </c>
      <c r="H12" s="15" t="s">
        <v>35</v>
      </c>
      <c r="I12" s="16" t="s">
        <v>36</v>
      </c>
      <c r="J12" s="7"/>
      <c r="K12" s="7"/>
      <c r="L12" s="7"/>
      <c r="M12" s="7"/>
      <c r="N12" s="7"/>
    </row>
    <row r="13" spans="1:14">
      <c r="A13" s="17"/>
      <c r="B13" s="18" t="s">
        <v>37</v>
      </c>
      <c r="C13" s="18" t="s">
        <v>38</v>
      </c>
      <c r="D13" s="18" t="s">
        <v>39</v>
      </c>
      <c r="E13" s="18" t="s">
        <v>40</v>
      </c>
      <c r="F13" s="18" t="s">
        <v>41</v>
      </c>
      <c r="G13" s="18" t="s">
        <v>42</v>
      </c>
      <c r="H13" s="18" t="s">
        <v>43</v>
      </c>
      <c r="I13" s="19" t="s">
        <v>44</v>
      </c>
      <c r="J13" s="7"/>
      <c r="K13" s="7"/>
      <c r="L13" s="7"/>
      <c r="M13" s="7"/>
      <c r="N13" s="7"/>
    </row>
    <row r="14" spans="1:14">
      <c r="A14" s="135">
        <v>1</v>
      </c>
      <c r="B14" s="105" t="s">
        <v>87</v>
      </c>
      <c r="C14" s="104">
        <f>D14+E14+F14+I14</f>
        <v>962594</v>
      </c>
      <c r="D14" s="124">
        <f>425295+25000+885</f>
        <v>451180</v>
      </c>
      <c r="E14" s="124">
        <v>0</v>
      </c>
      <c r="F14" s="124">
        <v>0</v>
      </c>
      <c r="G14" s="124">
        <f>I14-H14</f>
        <v>191274</v>
      </c>
      <c r="H14" s="124">
        <v>320140</v>
      </c>
      <c r="I14" s="156">
        <v>511414</v>
      </c>
    </row>
    <row r="15" spans="1:14">
      <c r="A15" s="135">
        <v>2</v>
      </c>
      <c r="B15" s="105" t="s">
        <v>45</v>
      </c>
      <c r="C15" s="106">
        <f>D15+E15+F15+I15</f>
        <v>969770</v>
      </c>
      <c r="D15" s="155">
        <v>451140</v>
      </c>
      <c r="E15" s="155">
        <v>0</v>
      </c>
      <c r="F15" s="155">
        <v>0</v>
      </c>
      <c r="G15" s="155">
        <f>I15-H15</f>
        <v>191274</v>
      </c>
      <c r="H15" s="155">
        <v>327356</v>
      </c>
      <c r="I15" s="157">
        <v>518630</v>
      </c>
    </row>
    <row r="16" spans="1:14">
      <c r="A16" s="135">
        <v>3</v>
      </c>
      <c r="B16" s="105" t="s">
        <v>46</v>
      </c>
      <c r="C16" s="106">
        <f t="shared" ref="C16:C26" si="0">D16+E16+F16+I16</f>
        <v>973246</v>
      </c>
      <c r="D16" s="155">
        <v>451052</v>
      </c>
      <c r="E16" s="155">
        <v>0</v>
      </c>
      <c r="F16" s="155">
        <v>0</v>
      </c>
      <c r="G16" s="155">
        <f t="shared" ref="G16:G26" si="1">I16-H16</f>
        <v>191274</v>
      </c>
      <c r="H16" s="155">
        <v>330920</v>
      </c>
      <c r="I16" s="157">
        <v>522194</v>
      </c>
    </row>
    <row r="17" spans="1:9">
      <c r="A17" s="135">
        <v>4</v>
      </c>
      <c r="B17" s="105" t="s">
        <v>47</v>
      </c>
      <c r="C17" s="106">
        <f t="shared" si="0"/>
        <v>975089</v>
      </c>
      <c r="D17" s="155">
        <v>451012</v>
      </c>
      <c r="E17" s="155">
        <v>0</v>
      </c>
      <c r="F17" s="155">
        <v>0</v>
      </c>
      <c r="G17" s="155">
        <f t="shared" si="1"/>
        <v>191274</v>
      </c>
      <c r="H17" s="155">
        <v>332803</v>
      </c>
      <c r="I17" s="157">
        <v>524077</v>
      </c>
    </row>
    <row r="18" spans="1:9">
      <c r="A18" s="135">
        <v>5</v>
      </c>
      <c r="B18" s="105" t="s">
        <v>48</v>
      </c>
      <c r="C18" s="106">
        <f t="shared" si="0"/>
        <v>975499</v>
      </c>
      <c r="D18" s="155">
        <v>450533</v>
      </c>
      <c r="E18" s="155">
        <v>0</v>
      </c>
      <c r="F18" s="155">
        <v>0</v>
      </c>
      <c r="G18" s="155">
        <f t="shared" si="1"/>
        <v>191274</v>
      </c>
      <c r="H18" s="155">
        <v>333692</v>
      </c>
      <c r="I18" s="157">
        <v>524966</v>
      </c>
    </row>
    <row r="19" spans="1:9">
      <c r="A19" s="135">
        <v>6</v>
      </c>
      <c r="B19" s="105" t="s">
        <v>49</v>
      </c>
      <c r="C19" s="106">
        <f t="shared" si="0"/>
        <v>978522</v>
      </c>
      <c r="D19" s="155">
        <v>450526</v>
      </c>
      <c r="E19" s="155">
        <v>0</v>
      </c>
      <c r="F19" s="155">
        <v>0</v>
      </c>
      <c r="G19" s="155">
        <f t="shared" si="1"/>
        <v>191274</v>
      </c>
      <c r="H19" s="155">
        <v>336722</v>
      </c>
      <c r="I19" s="157">
        <v>527996</v>
      </c>
    </row>
    <row r="20" spans="1:9">
      <c r="A20" s="135">
        <v>7</v>
      </c>
      <c r="B20" s="105" t="s">
        <v>50</v>
      </c>
      <c r="C20" s="106">
        <f t="shared" si="0"/>
        <v>1020212</v>
      </c>
      <c r="D20" s="155">
        <v>450518</v>
      </c>
      <c r="E20" s="155">
        <v>0</v>
      </c>
      <c r="F20" s="155">
        <v>0</v>
      </c>
      <c r="G20" s="155">
        <f t="shared" si="1"/>
        <v>226274</v>
      </c>
      <c r="H20" s="155">
        <v>343420</v>
      </c>
      <c r="I20" s="157">
        <v>569694</v>
      </c>
    </row>
    <row r="21" spans="1:9">
      <c r="A21" s="135">
        <v>8</v>
      </c>
      <c r="B21" s="105" t="s">
        <v>51</v>
      </c>
      <c r="C21" s="106">
        <f t="shared" si="0"/>
        <v>1025311</v>
      </c>
      <c r="D21" s="155">
        <v>450510</v>
      </c>
      <c r="E21" s="155">
        <v>0</v>
      </c>
      <c r="F21" s="155">
        <v>0</v>
      </c>
      <c r="G21" s="155">
        <f t="shared" si="1"/>
        <v>226274</v>
      </c>
      <c r="H21" s="155">
        <v>348527</v>
      </c>
      <c r="I21" s="157">
        <v>574801</v>
      </c>
    </row>
    <row r="22" spans="1:9">
      <c r="A22" s="135">
        <v>9</v>
      </c>
      <c r="B22" s="105" t="s">
        <v>52</v>
      </c>
      <c r="C22" s="106">
        <f t="shared" si="0"/>
        <v>1032530</v>
      </c>
      <c r="D22" s="155">
        <v>450502</v>
      </c>
      <c r="E22" s="155">
        <v>0</v>
      </c>
      <c r="F22" s="155">
        <v>0</v>
      </c>
      <c r="G22" s="155">
        <f t="shared" si="1"/>
        <v>226274</v>
      </c>
      <c r="H22" s="155">
        <v>355754</v>
      </c>
      <c r="I22" s="157">
        <v>582028</v>
      </c>
    </row>
    <row r="23" spans="1:9">
      <c r="A23" s="135">
        <v>10</v>
      </c>
      <c r="B23" s="105" t="s">
        <v>53</v>
      </c>
      <c r="C23" s="106">
        <f t="shared" si="0"/>
        <v>1038790</v>
      </c>
      <c r="D23" s="155">
        <v>450494</v>
      </c>
      <c r="E23" s="155">
        <v>0</v>
      </c>
      <c r="F23" s="155">
        <v>0</v>
      </c>
      <c r="G23" s="155">
        <f t="shared" si="1"/>
        <v>226274</v>
      </c>
      <c r="H23" s="155">
        <v>362022</v>
      </c>
      <c r="I23" s="157">
        <v>588296</v>
      </c>
    </row>
    <row r="24" spans="1:9">
      <c r="A24" s="135">
        <v>11</v>
      </c>
      <c r="B24" s="105" t="s">
        <v>54</v>
      </c>
      <c r="C24" s="106">
        <f>D24+E24+F24+I24</f>
        <v>1106126</v>
      </c>
      <c r="D24" s="155">
        <v>515484</v>
      </c>
      <c r="E24" s="155">
        <v>0</v>
      </c>
      <c r="F24" s="155">
        <v>0</v>
      </c>
      <c r="G24" s="155">
        <f>I24-H24</f>
        <v>226274</v>
      </c>
      <c r="H24" s="155">
        <v>364368</v>
      </c>
      <c r="I24" s="157">
        <v>590642</v>
      </c>
    </row>
    <row r="25" spans="1:9">
      <c r="A25" s="135">
        <v>12</v>
      </c>
      <c r="B25" s="105" t="s">
        <v>55</v>
      </c>
      <c r="C25" s="106">
        <f t="shared" si="0"/>
        <v>1109861</v>
      </c>
      <c r="D25" s="155">
        <v>515435</v>
      </c>
      <c r="E25" s="155">
        <v>0</v>
      </c>
      <c r="F25" s="155">
        <v>0</v>
      </c>
      <c r="G25" s="155">
        <f t="shared" si="1"/>
        <v>226274</v>
      </c>
      <c r="H25" s="155">
        <v>368152</v>
      </c>
      <c r="I25" s="157">
        <v>594426</v>
      </c>
    </row>
    <row r="26" spans="1:9">
      <c r="A26" s="135">
        <v>13</v>
      </c>
      <c r="B26" s="105" t="s">
        <v>56</v>
      </c>
      <c r="C26" s="106">
        <f t="shared" si="0"/>
        <v>1146335</v>
      </c>
      <c r="D26" s="124">
        <v>550111</v>
      </c>
      <c r="E26" s="155">
        <v>0</v>
      </c>
      <c r="F26" s="155">
        <v>0</v>
      </c>
      <c r="G26" s="155">
        <f t="shared" si="1"/>
        <v>226274</v>
      </c>
      <c r="H26" s="124">
        <v>369950</v>
      </c>
      <c r="I26" s="156">
        <v>596224</v>
      </c>
    </row>
    <row r="27" spans="1:9">
      <c r="A27" s="135">
        <v>14</v>
      </c>
      <c r="B27" s="105" t="s">
        <v>57</v>
      </c>
      <c r="C27" s="106">
        <f>SUM(C14:C26)</f>
        <v>13313885</v>
      </c>
      <c r="D27" s="106">
        <f t="shared" ref="D27:I27" si="2">SUM(D14:D26)</f>
        <v>6088497</v>
      </c>
      <c r="E27" s="106">
        <f t="shared" si="2"/>
        <v>0</v>
      </c>
      <c r="F27" s="106">
        <f t="shared" si="2"/>
        <v>0</v>
      </c>
      <c r="G27" s="106">
        <f t="shared" si="2"/>
        <v>2731562</v>
      </c>
      <c r="H27" s="106">
        <f t="shared" si="2"/>
        <v>4493826</v>
      </c>
      <c r="I27" s="137">
        <f t="shared" si="2"/>
        <v>7225388</v>
      </c>
    </row>
    <row r="28" spans="1:9">
      <c r="A28" s="135">
        <v>15</v>
      </c>
      <c r="B28" s="105" t="s">
        <v>58</v>
      </c>
      <c r="C28" s="104">
        <f>C27/13</f>
        <v>1024145</v>
      </c>
      <c r="D28" s="104">
        <f t="shared" ref="D28:I28" si="3">D27/13</f>
        <v>468345.92307692306</v>
      </c>
      <c r="E28" s="104">
        <f t="shared" si="3"/>
        <v>0</v>
      </c>
      <c r="F28" s="104">
        <f t="shared" si="3"/>
        <v>0</v>
      </c>
      <c r="G28" s="104">
        <f t="shared" si="3"/>
        <v>210120.15384615384</v>
      </c>
      <c r="H28" s="104">
        <f t="shared" si="3"/>
        <v>345678.92307692306</v>
      </c>
      <c r="I28" s="136">
        <f t="shared" si="3"/>
        <v>555799.07692307688</v>
      </c>
    </row>
    <row r="29" spans="1:9" ht="15.75" thickBot="1">
      <c r="A29" s="138">
        <v>16</v>
      </c>
      <c r="B29" s="139" t="s">
        <v>59</v>
      </c>
      <c r="C29" s="142">
        <f>SUM(D29:F29)+I29</f>
        <v>1</v>
      </c>
      <c r="D29" s="142">
        <f>ROUND(D28/$C$28,4)</f>
        <v>0.45729999999999998</v>
      </c>
      <c r="E29" s="142">
        <f>ROUND(E28/$C$28,4)</f>
        <v>0</v>
      </c>
      <c r="F29" s="142">
        <f>IF(F28=0,0,+F28/$C$42)</f>
        <v>0</v>
      </c>
      <c r="G29" s="142">
        <f>ROUND(G28/$C$28,4)</f>
        <v>0.20519999999999999</v>
      </c>
      <c r="H29" s="142">
        <f>ROUND(H28/$C$28,4)</f>
        <v>0.33750000000000002</v>
      </c>
      <c r="I29" s="143">
        <f>ROUND(G29+H29,4)</f>
        <v>0.54269999999999996</v>
      </c>
    </row>
    <row r="30" spans="1:9" ht="15.75" thickBot="1">
      <c r="A30" s="140">
        <v>17</v>
      </c>
      <c r="B30" s="141" t="s">
        <v>60</v>
      </c>
      <c r="C30" s="144">
        <f>SUM(D30:F30)+I30</f>
        <v>1</v>
      </c>
      <c r="D30" s="144">
        <f>ROUND(D26/$C$26,4)</f>
        <v>0.47989999999999999</v>
      </c>
      <c r="E30" s="144">
        <f>ROUND(E26/$C$26,4)</f>
        <v>0</v>
      </c>
      <c r="F30" s="144">
        <f>F26/$C$26</f>
        <v>0</v>
      </c>
      <c r="G30" s="144">
        <f>ROUND(G26/$C$26,4)</f>
        <v>0.19739999999999999</v>
      </c>
      <c r="H30" s="144">
        <f>ROUND(H26/$C$26,4)</f>
        <v>0.32269999999999999</v>
      </c>
      <c r="I30" s="145">
        <f>ROUND(G30+H30,4)</f>
        <v>0.52010000000000001</v>
      </c>
    </row>
    <row r="31" spans="1:9">
      <c r="C31" s="107"/>
      <c r="D31" s="107"/>
      <c r="E31" s="107"/>
      <c r="F31" s="107"/>
      <c r="G31" s="107"/>
      <c r="H31" s="107"/>
      <c r="I31" s="107"/>
    </row>
    <row r="32" spans="1:9">
      <c r="B32" s="100" t="s">
        <v>17</v>
      </c>
      <c r="C32" s="107"/>
      <c r="D32" s="107"/>
      <c r="E32" s="107"/>
      <c r="F32" s="107"/>
      <c r="G32" s="107"/>
      <c r="H32" s="107"/>
      <c r="I32" s="107"/>
    </row>
    <row r="33" spans="2:9">
      <c r="B33" s="100" t="s">
        <v>61</v>
      </c>
      <c r="C33" s="107"/>
      <c r="D33" s="107"/>
      <c r="E33" s="107"/>
      <c r="F33" s="107"/>
      <c r="G33" s="107"/>
      <c r="H33" s="107"/>
      <c r="I33" s="107"/>
    </row>
    <row r="34" spans="2:9">
      <c r="C34" s="107"/>
      <c r="D34" s="107"/>
      <c r="E34" s="107"/>
      <c r="F34" s="107"/>
      <c r="G34" s="107"/>
      <c r="H34" s="107"/>
      <c r="I34" s="107"/>
    </row>
    <row r="35" spans="2:9">
      <c r="B35" s="85"/>
      <c r="C35" s="107"/>
      <c r="D35" s="107"/>
      <c r="E35" s="107"/>
      <c r="F35" s="107"/>
      <c r="G35" s="107"/>
      <c r="H35" s="107"/>
      <c r="I35" s="107"/>
    </row>
    <row r="36" spans="2:9">
      <c r="B36" s="108" t="s">
        <v>77</v>
      </c>
      <c r="C36" s="108"/>
      <c r="D36" s="108"/>
      <c r="E36" s="108"/>
      <c r="F36" s="108"/>
      <c r="G36" s="108"/>
      <c r="H36" s="108"/>
      <c r="I36" s="108"/>
    </row>
    <row r="37" spans="2:9">
      <c r="B37" s="108" t="s">
        <v>78</v>
      </c>
      <c r="C37" s="108"/>
      <c r="D37" s="108"/>
      <c r="E37" s="108"/>
      <c r="F37" s="108"/>
      <c r="G37" s="108"/>
      <c r="H37" s="108"/>
      <c r="I37" s="108"/>
    </row>
    <row r="38" spans="2:9">
      <c r="B38" s="108" t="s">
        <v>79</v>
      </c>
      <c r="C38" s="108"/>
      <c r="D38" s="108"/>
      <c r="E38" s="108"/>
      <c r="F38" s="108"/>
      <c r="G38" s="108"/>
      <c r="H38" s="108"/>
      <c r="I38" s="108"/>
    </row>
    <row r="39" spans="2:9">
      <c r="B39" s="108"/>
      <c r="C39" s="108"/>
      <c r="D39" s="108"/>
      <c r="E39" s="108"/>
      <c r="F39" s="108"/>
      <c r="G39" s="108"/>
      <c r="H39" s="108"/>
      <c r="I39" s="108"/>
    </row>
    <row r="40" spans="2:9">
      <c r="B40" s="108" t="s">
        <v>80</v>
      </c>
      <c r="C40" s="108"/>
      <c r="D40" s="108"/>
      <c r="E40" s="108"/>
      <c r="F40" s="108"/>
      <c r="G40" s="108"/>
      <c r="H40" s="108"/>
      <c r="I40" s="108"/>
    </row>
  </sheetData>
  <pageMargins left="0.7" right="0.7" top="0.75" bottom="0.75" header="0.3" footer="0.3"/>
  <pageSetup scale="74" orientation="landscape" r:id="rId1"/>
  <headerFooter>
    <oddHeader>&amp;R&amp;"Times New Roman,Bold"&amp;10KyPSC Case No. 2019-00271
STAFF-DR-01-022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Layout" zoomScale="90" zoomScaleNormal="100" zoomScalePageLayoutView="90" workbookViewId="0">
      <selection activeCell="L4" sqref="L4"/>
    </sheetView>
  </sheetViews>
  <sheetFormatPr defaultColWidth="9.140625" defaultRowHeight="12.75"/>
  <cols>
    <col min="1" max="1" width="9.140625" style="22"/>
    <col min="2" max="2" width="29" style="22" customWidth="1"/>
    <col min="3" max="3" width="11.28515625" style="22" customWidth="1"/>
    <col min="4" max="4" width="9.28515625" style="22" bestFit="1" customWidth="1"/>
    <col min="5" max="5" width="11.28515625" style="22" bestFit="1" customWidth="1"/>
    <col min="6" max="6" width="9.28515625" style="22" bestFit="1" customWidth="1"/>
    <col min="7" max="7" width="12.28515625" style="22" bestFit="1" customWidth="1"/>
    <col min="8" max="8" width="9.28515625" style="22" bestFit="1" customWidth="1"/>
    <col min="9" max="9" width="11.28515625" style="22" bestFit="1" customWidth="1"/>
    <col min="10" max="10" width="9.28515625" style="22" bestFit="1" customWidth="1"/>
    <col min="11" max="11" width="12.28515625" style="22" bestFit="1" customWidth="1"/>
    <col min="12" max="12" width="9.28515625" style="22" bestFit="1" customWidth="1"/>
    <col min="13" max="13" width="12.28515625" style="22" bestFit="1" customWidth="1"/>
    <col min="14" max="14" width="7.28515625" style="22" bestFit="1" customWidth="1"/>
    <col min="15" max="16384" width="9.140625" style="22"/>
  </cols>
  <sheetData>
    <row r="1" spans="1:14">
      <c r="K1" s="1"/>
      <c r="L1" s="23"/>
      <c r="M1" s="1"/>
    </row>
    <row r="2" spans="1:14">
      <c r="K2" s="1"/>
      <c r="L2" s="23"/>
      <c r="M2" s="1"/>
    </row>
    <row r="3" spans="1:14">
      <c r="L3" s="23" t="s">
        <v>91</v>
      </c>
    </row>
    <row r="4" spans="1:14">
      <c r="L4" s="23"/>
    </row>
    <row r="5" spans="1:14" ht="20.25">
      <c r="A5" s="24" t="s">
        <v>68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5">
      <c r="A6" s="26" t="str">
        <f>'DEK 22a'!A6</f>
        <v>Case No. 2019-00271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ht="15">
      <c r="A7" s="25" t="s">
        <v>1</v>
      </c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ht="15">
      <c r="A8" s="25" t="s">
        <v>2</v>
      </c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4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2" spans="1:14">
      <c r="A12" s="27"/>
      <c r="B12" s="28"/>
      <c r="C12" s="28"/>
      <c r="D12" s="29"/>
      <c r="E12" s="28"/>
      <c r="F12" s="29"/>
      <c r="G12" s="28"/>
      <c r="H12" s="29"/>
      <c r="I12" s="30"/>
      <c r="J12" s="31"/>
      <c r="K12" s="30" t="s">
        <v>62</v>
      </c>
      <c r="L12" s="31"/>
      <c r="M12" s="30" t="s">
        <v>62</v>
      </c>
      <c r="N12" s="31"/>
    </row>
    <row r="13" spans="1:14">
      <c r="A13" s="32"/>
      <c r="B13" s="33"/>
      <c r="C13" s="33"/>
      <c r="D13" s="34"/>
      <c r="E13" s="33"/>
      <c r="F13" s="34"/>
      <c r="G13" s="33"/>
      <c r="H13" s="34"/>
      <c r="I13" s="35"/>
      <c r="J13" s="36"/>
      <c r="K13" s="35" t="s">
        <v>62</v>
      </c>
      <c r="L13" s="36"/>
      <c r="M13" s="35" t="s">
        <v>66</v>
      </c>
      <c r="N13" s="36"/>
    </row>
    <row r="14" spans="1:14" ht="14.25">
      <c r="A14" s="37" t="s">
        <v>21</v>
      </c>
      <c r="B14" s="38"/>
      <c r="C14" s="39">
        <f>'DEK 22a'!C11</f>
        <v>2018</v>
      </c>
      <c r="D14" s="40"/>
      <c r="E14" s="39">
        <f>'DEK 22a'!E11</f>
        <v>2017</v>
      </c>
      <c r="F14" s="40"/>
      <c r="G14" s="39">
        <f>'DEK 22a'!G11</f>
        <v>2016</v>
      </c>
      <c r="H14" s="40"/>
      <c r="I14" s="39">
        <f>'DEK 22a'!I11</f>
        <v>2015</v>
      </c>
      <c r="J14" s="40"/>
      <c r="K14" s="39">
        <f>'DEK 22a'!K11</f>
        <v>2014</v>
      </c>
      <c r="L14" s="40"/>
      <c r="M14" s="50" t="s">
        <v>67</v>
      </c>
      <c r="N14" s="42"/>
    </row>
    <row r="15" spans="1:14">
      <c r="A15" s="41" t="s">
        <v>28</v>
      </c>
      <c r="B15" s="39" t="s">
        <v>5</v>
      </c>
      <c r="C15" s="43" t="s">
        <v>6</v>
      </c>
      <c r="D15" s="43" t="s">
        <v>7</v>
      </c>
      <c r="E15" s="43" t="s">
        <v>6</v>
      </c>
      <c r="F15" s="43" t="s">
        <v>7</v>
      </c>
      <c r="G15" s="43" t="s">
        <v>6</v>
      </c>
      <c r="H15" s="43" t="s">
        <v>7</v>
      </c>
      <c r="I15" s="43" t="s">
        <v>6</v>
      </c>
      <c r="J15" s="43" t="s">
        <v>7</v>
      </c>
      <c r="K15" s="43" t="s">
        <v>6</v>
      </c>
      <c r="L15" s="43" t="s">
        <v>7</v>
      </c>
      <c r="M15" s="43" t="s">
        <v>6</v>
      </c>
      <c r="N15" s="43" t="s">
        <v>7</v>
      </c>
    </row>
    <row r="16" spans="1:14" ht="14.25">
      <c r="A16" s="44" t="s">
        <v>8</v>
      </c>
      <c r="B16" s="45" t="s">
        <v>83</v>
      </c>
      <c r="C16" s="49">
        <v>54529</v>
      </c>
      <c r="D16" s="158">
        <f>ROUND(C16/C$21,3)</f>
        <v>0.53600000000000003</v>
      </c>
      <c r="E16" s="49">
        <v>52279</v>
      </c>
      <c r="F16" s="158">
        <f>ROUND(E16/E$21,3)</f>
        <v>0.54400000000000004</v>
      </c>
      <c r="G16" s="49">
        <v>47895</v>
      </c>
      <c r="H16" s="158">
        <f>ROUND(G16/G$21,3)</f>
        <v>0.52400000000000002</v>
      </c>
      <c r="I16" s="49">
        <v>38868</v>
      </c>
      <c r="J16" s="158">
        <f>ROUNDUP(I16/I$21,3)</f>
        <v>0.47299999999999998</v>
      </c>
      <c r="K16" s="49">
        <v>39868</v>
      </c>
      <c r="L16" s="158">
        <f>ROUND(K16/K$21,3)</f>
        <v>0.47899999999999998</v>
      </c>
      <c r="M16" s="49">
        <v>57040</v>
      </c>
      <c r="N16" s="47">
        <f>ROUND(M16/$M$21,3)</f>
        <v>0.53700000000000003</v>
      </c>
    </row>
    <row r="17" spans="1:14">
      <c r="A17" s="44" t="s">
        <v>9</v>
      </c>
      <c r="B17" s="45" t="s">
        <v>63</v>
      </c>
      <c r="C17" s="49">
        <v>3410</v>
      </c>
      <c r="D17" s="158">
        <f>ROUNDDOWN(C17/C$21,3)</f>
        <v>3.3000000000000002E-2</v>
      </c>
      <c r="E17" s="49">
        <v>2163</v>
      </c>
      <c r="F17" s="158">
        <f t="shared" ref="F17:F19" si="0">ROUND(E17/E$21,3)</f>
        <v>2.1999999999999999E-2</v>
      </c>
      <c r="G17" s="49">
        <v>2487</v>
      </c>
      <c r="H17" s="158">
        <f t="shared" ref="H17:H19" si="1">ROUND(G17/G$21,3)</f>
        <v>2.7E-2</v>
      </c>
      <c r="I17" s="49">
        <v>3633</v>
      </c>
      <c r="J17" s="158">
        <f t="shared" ref="J17:J20" si="2">ROUND(I17/I$21,3)</f>
        <v>4.3999999999999997E-2</v>
      </c>
      <c r="K17" s="49">
        <v>2514</v>
      </c>
      <c r="L17" s="158">
        <f t="shared" ref="L17:L20" si="3">ROUND(K17/K$21,3)</f>
        <v>0.03</v>
      </c>
      <c r="M17" s="49">
        <v>3793</v>
      </c>
      <c r="N17" s="47">
        <f>ROUND(M17/$M$21,3)</f>
        <v>3.5999999999999997E-2</v>
      </c>
    </row>
    <row r="18" spans="1:14">
      <c r="A18" s="44" t="s">
        <v>11</v>
      </c>
      <c r="B18" s="48" t="s">
        <v>64</v>
      </c>
      <c r="C18" s="49">
        <v>0</v>
      </c>
      <c r="D18" s="158">
        <f t="shared" ref="D18:D19" si="4">ROUND(C18/C$21,3)</f>
        <v>0</v>
      </c>
      <c r="E18" s="49">
        <v>0</v>
      </c>
      <c r="F18" s="158">
        <f t="shared" si="0"/>
        <v>0</v>
      </c>
      <c r="G18" s="49">
        <v>0</v>
      </c>
      <c r="H18" s="158">
        <f t="shared" si="1"/>
        <v>0</v>
      </c>
      <c r="I18" s="49">
        <v>0</v>
      </c>
      <c r="J18" s="158">
        <f t="shared" si="2"/>
        <v>0</v>
      </c>
      <c r="K18" s="49">
        <v>0</v>
      </c>
      <c r="L18" s="158">
        <f t="shared" si="3"/>
        <v>0</v>
      </c>
      <c r="M18" s="49">
        <v>0</v>
      </c>
      <c r="N18" s="47">
        <f>ROUND(M18/$M$21,3)</f>
        <v>0</v>
      </c>
    </row>
    <row r="19" spans="1:14">
      <c r="A19" s="44" t="s">
        <v>13</v>
      </c>
      <c r="B19" s="48" t="s">
        <v>12</v>
      </c>
      <c r="C19" s="49">
        <v>0</v>
      </c>
      <c r="D19" s="158">
        <f t="shared" si="4"/>
        <v>0</v>
      </c>
      <c r="E19" s="49">
        <v>0</v>
      </c>
      <c r="F19" s="158">
        <f t="shared" si="0"/>
        <v>0</v>
      </c>
      <c r="G19" s="49">
        <v>0</v>
      </c>
      <c r="H19" s="158">
        <f t="shared" si="1"/>
        <v>0</v>
      </c>
      <c r="I19" s="49">
        <v>0</v>
      </c>
      <c r="J19" s="158">
        <f t="shared" si="2"/>
        <v>0</v>
      </c>
      <c r="K19" s="49">
        <v>0</v>
      </c>
      <c r="L19" s="158">
        <f t="shared" si="3"/>
        <v>0</v>
      </c>
      <c r="M19" s="49">
        <v>973</v>
      </c>
      <c r="N19" s="47">
        <f>ROUND(M19/$M$21,3)</f>
        <v>8.9999999999999993E-3</v>
      </c>
    </row>
    <row r="20" spans="1:14" ht="14.25">
      <c r="A20" s="44" t="s">
        <v>15</v>
      </c>
      <c r="B20" s="45" t="s">
        <v>14</v>
      </c>
      <c r="C20" s="49">
        <v>43834</v>
      </c>
      <c r="D20" s="158">
        <f>ROUND(C20/C$21,3)</f>
        <v>0.43099999999999999</v>
      </c>
      <c r="E20" s="49">
        <v>41737</v>
      </c>
      <c r="F20" s="158">
        <f>ROUND(E20/E$21,3)</f>
        <v>0.434</v>
      </c>
      <c r="G20" s="49">
        <v>41041</v>
      </c>
      <c r="H20" s="158">
        <f>ROUND(G20/G$21,3)</f>
        <v>0.44900000000000001</v>
      </c>
      <c r="I20" s="49">
        <v>39771</v>
      </c>
      <c r="J20" s="158">
        <f t="shared" si="2"/>
        <v>0.48299999999999998</v>
      </c>
      <c r="K20" s="49">
        <v>40899</v>
      </c>
      <c r="L20" s="158">
        <f t="shared" si="3"/>
        <v>0.49099999999999999</v>
      </c>
      <c r="M20" s="49">
        <v>44359</v>
      </c>
      <c r="N20" s="47">
        <f>ROUND(M20/$M$21,3)</f>
        <v>0.41799999999999998</v>
      </c>
    </row>
    <row r="21" spans="1:14">
      <c r="A21" s="44" t="s">
        <v>65</v>
      </c>
      <c r="B21" s="48" t="s">
        <v>16</v>
      </c>
      <c r="C21" s="46">
        <f t="shared" ref="C21:L21" si="5">SUM(C16:C20)</f>
        <v>101773</v>
      </c>
      <c r="D21" s="47">
        <f t="shared" si="5"/>
        <v>1</v>
      </c>
      <c r="E21" s="46">
        <f t="shared" si="5"/>
        <v>96179</v>
      </c>
      <c r="F21" s="47">
        <f t="shared" si="5"/>
        <v>1</v>
      </c>
      <c r="G21" s="46">
        <f t="shared" si="5"/>
        <v>91423</v>
      </c>
      <c r="H21" s="47">
        <f t="shared" si="5"/>
        <v>1</v>
      </c>
      <c r="I21" s="46">
        <f t="shared" si="5"/>
        <v>82272</v>
      </c>
      <c r="J21" s="47">
        <f t="shared" si="5"/>
        <v>1</v>
      </c>
      <c r="K21" s="46">
        <f t="shared" si="5"/>
        <v>83281</v>
      </c>
      <c r="L21" s="47">
        <f t="shared" si="5"/>
        <v>1</v>
      </c>
      <c r="M21" s="46">
        <f>SUM(M16:M20)</f>
        <v>106165</v>
      </c>
      <c r="N21" s="47">
        <f>SUM(N16:N20)</f>
        <v>1</v>
      </c>
    </row>
    <row r="25" spans="1:14" ht="15">
      <c r="B25" s="100" t="s">
        <v>17</v>
      </c>
    </row>
    <row r="26" spans="1:14" ht="15">
      <c r="B26" s="100" t="s">
        <v>82</v>
      </c>
    </row>
    <row r="27" spans="1:14" ht="15">
      <c r="B27" s="100" t="s">
        <v>89</v>
      </c>
      <c r="G27" s="101"/>
    </row>
    <row r="28" spans="1:14">
      <c r="B28" s="22" t="s">
        <v>84</v>
      </c>
      <c r="G28" s="101"/>
    </row>
    <row r="29" spans="1:14">
      <c r="G29" s="101"/>
    </row>
    <row r="30" spans="1:14">
      <c r="G30" s="102"/>
    </row>
    <row r="31" spans="1:14">
      <c r="A31" s="2"/>
      <c r="G31" s="102"/>
    </row>
  </sheetData>
  <pageMargins left="0.7" right="0.7" top="0.75" bottom="0.75" header="0.3" footer="0.3"/>
  <pageSetup scale="75" fitToHeight="0" orientation="landscape" r:id="rId1"/>
  <headerFooter>
    <oddHeader>&amp;R&amp;"Times New Roman,Bold"&amp;10KyPSC Case No. 2019-00271
STAFF-DR-01-022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view="pageLayout" zoomScale="80" zoomScaleNormal="100" zoomScalePageLayoutView="80" workbookViewId="0">
      <selection activeCell="B19" sqref="B19"/>
    </sheetView>
  </sheetViews>
  <sheetFormatPr defaultColWidth="9.140625" defaultRowHeight="12.75"/>
  <cols>
    <col min="1" max="1" width="4.42578125" style="1" customWidth="1"/>
    <col min="2" max="2" width="34.140625" style="85" customWidth="1"/>
    <col min="3" max="9" width="12.7109375" style="1" customWidth="1"/>
    <col min="10" max="11" width="9.140625" style="1"/>
    <col min="12" max="12" width="10.28515625" style="1" bestFit="1" customWidth="1"/>
    <col min="13" max="16384" width="9.140625" style="1"/>
  </cols>
  <sheetData>
    <row r="1" spans="1:10">
      <c r="A1" s="51"/>
      <c r="B1" s="52"/>
      <c r="C1" s="3"/>
      <c r="D1" s="3"/>
      <c r="E1" s="3"/>
      <c r="F1" s="3"/>
      <c r="G1" s="3"/>
      <c r="H1" s="3"/>
      <c r="I1" s="53"/>
    </row>
    <row r="2" spans="1:10">
      <c r="A2" s="54"/>
      <c r="B2" s="55"/>
      <c r="C2" s="4"/>
      <c r="D2" s="4"/>
      <c r="E2" s="4"/>
      <c r="F2" s="4"/>
      <c r="G2" s="4"/>
      <c r="H2" s="4"/>
      <c r="I2" s="56"/>
    </row>
    <row r="3" spans="1:10">
      <c r="A3" s="54"/>
      <c r="B3" s="55"/>
      <c r="C3" s="4"/>
      <c r="D3" s="4"/>
      <c r="E3" s="4"/>
      <c r="F3" s="4"/>
      <c r="G3" s="4"/>
      <c r="H3" s="4"/>
      <c r="I3" s="56" t="s">
        <v>92</v>
      </c>
    </row>
    <row r="4" spans="1:10">
      <c r="A4" s="54"/>
      <c r="B4" s="55"/>
      <c r="C4" s="4"/>
      <c r="D4" s="4"/>
      <c r="E4" s="4"/>
      <c r="F4" s="4"/>
      <c r="G4" s="4"/>
      <c r="H4" s="4"/>
      <c r="I4" s="56"/>
    </row>
    <row r="5" spans="1:10" ht="20.25">
      <c r="A5" s="57" t="s">
        <v>68</v>
      </c>
      <c r="B5" s="58"/>
      <c r="C5" s="58"/>
      <c r="D5" s="58"/>
      <c r="E5" s="58"/>
      <c r="F5" s="59"/>
      <c r="G5" s="59"/>
      <c r="H5" s="59"/>
      <c r="I5" s="60"/>
      <c r="J5" s="61"/>
    </row>
    <row r="6" spans="1:10" ht="15">
      <c r="A6" s="62" t="str">
        <f>'DEK 22a'!A6</f>
        <v>Case No. 2019-00271</v>
      </c>
      <c r="B6" s="58"/>
      <c r="C6" s="58"/>
      <c r="D6" s="58"/>
      <c r="E6" s="58"/>
      <c r="F6" s="59"/>
      <c r="G6" s="59"/>
      <c r="H6" s="59"/>
      <c r="I6" s="60"/>
    </row>
    <row r="7" spans="1:10" ht="15">
      <c r="A7" s="62" t="s">
        <v>19</v>
      </c>
      <c r="B7" s="58"/>
      <c r="C7" s="58"/>
      <c r="D7" s="58"/>
      <c r="E7" s="58"/>
      <c r="F7" s="59"/>
      <c r="G7" s="59"/>
      <c r="H7" s="59"/>
      <c r="I7" s="60"/>
    </row>
    <row r="8" spans="1:10" ht="15">
      <c r="A8" s="62" t="str">
        <f>'DEK 22b'!A8</f>
        <v>12 Months Ended December 31, 2018</v>
      </c>
      <c r="B8" s="58"/>
      <c r="C8" s="58"/>
      <c r="D8" s="58"/>
      <c r="E8" s="58"/>
      <c r="F8" s="59"/>
      <c r="G8" s="59"/>
      <c r="H8" s="59"/>
      <c r="I8" s="60"/>
    </row>
    <row r="9" spans="1:10">
      <c r="A9" s="63" t="s">
        <v>81</v>
      </c>
      <c r="B9" s="58"/>
      <c r="C9" s="58"/>
      <c r="D9" s="58"/>
      <c r="E9" s="58"/>
      <c r="F9" s="59"/>
      <c r="G9" s="59"/>
      <c r="H9" s="59"/>
      <c r="I9" s="60"/>
    </row>
    <row r="10" spans="1:10">
      <c r="A10" s="64"/>
      <c r="B10" s="58"/>
      <c r="C10" s="58"/>
      <c r="D10" s="58"/>
      <c r="E10" s="58"/>
      <c r="F10" s="59"/>
      <c r="G10" s="59"/>
      <c r="H10" s="59"/>
      <c r="I10" s="60"/>
    </row>
    <row r="11" spans="1:10">
      <c r="A11" s="64"/>
      <c r="B11" s="58"/>
      <c r="C11" s="58"/>
      <c r="D11" s="58"/>
      <c r="E11" s="58"/>
      <c r="F11" s="59"/>
      <c r="G11" s="59"/>
      <c r="H11" s="59"/>
      <c r="I11" s="60"/>
    </row>
    <row r="12" spans="1:10">
      <c r="A12" s="64"/>
      <c r="B12" s="58"/>
      <c r="C12" s="4"/>
      <c r="D12" s="4"/>
      <c r="E12" s="4"/>
      <c r="F12" s="4"/>
      <c r="G12" s="4"/>
      <c r="H12" s="4"/>
      <c r="I12" s="65"/>
    </row>
    <row r="13" spans="1:10">
      <c r="A13" s="8"/>
      <c r="B13" s="66"/>
      <c r="C13" s="9"/>
      <c r="D13" s="9"/>
      <c r="E13" s="9"/>
      <c r="F13" s="9"/>
      <c r="G13" s="9"/>
      <c r="H13" s="9"/>
      <c r="I13" s="10" t="s">
        <v>20</v>
      </c>
    </row>
    <row r="14" spans="1:10" s="67" customFormat="1">
      <c r="A14" s="11" t="s">
        <v>21</v>
      </c>
      <c r="B14" s="12"/>
      <c r="C14" s="12" t="s">
        <v>22</v>
      </c>
      <c r="D14" s="12" t="s">
        <v>23</v>
      </c>
      <c r="E14" s="12" t="s">
        <v>24</v>
      </c>
      <c r="F14" s="12" t="s">
        <v>25</v>
      </c>
      <c r="G14" s="12" t="s">
        <v>26</v>
      </c>
      <c r="H14" s="12" t="s">
        <v>27</v>
      </c>
      <c r="I14" s="13" t="s">
        <v>26</v>
      </c>
    </row>
    <row r="15" spans="1:10" s="68" customFormat="1" ht="14.25">
      <c r="A15" s="14" t="s">
        <v>28</v>
      </c>
      <c r="B15" s="15" t="s">
        <v>29</v>
      </c>
      <c r="C15" s="15" t="s">
        <v>30</v>
      </c>
      <c r="D15" s="15" t="s">
        <v>31</v>
      </c>
      <c r="E15" s="15" t="s">
        <v>69</v>
      </c>
      <c r="F15" s="15" t="s">
        <v>33</v>
      </c>
      <c r="G15" s="15" t="s">
        <v>34</v>
      </c>
      <c r="H15" s="15" t="s">
        <v>70</v>
      </c>
      <c r="I15" s="16" t="s">
        <v>36</v>
      </c>
    </row>
    <row r="16" spans="1:10" s="67" customFormat="1">
      <c r="A16" s="17"/>
      <c r="B16" s="69" t="s">
        <v>37</v>
      </c>
      <c r="C16" s="69" t="s">
        <v>38</v>
      </c>
      <c r="D16" s="69" t="s">
        <v>39</v>
      </c>
      <c r="E16" s="69" t="s">
        <v>40</v>
      </c>
      <c r="F16" s="69" t="s">
        <v>41</v>
      </c>
      <c r="G16" s="69" t="s">
        <v>42</v>
      </c>
      <c r="H16" s="69" t="s">
        <v>43</v>
      </c>
      <c r="I16" s="70" t="s">
        <v>44</v>
      </c>
    </row>
    <row r="17" spans="1:18" s="75" customFormat="1">
      <c r="A17" s="71">
        <v>1</v>
      </c>
      <c r="B17" s="72" t="str">
        <f>'DEK 22b'!B14</f>
        <v>Balance at the beginning of Jan 1, 2018</v>
      </c>
      <c r="C17" s="159">
        <f>+D17+E17+I17</f>
        <v>96179</v>
      </c>
      <c r="D17" s="159">
        <v>52279</v>
      </c>
      <c r="E17" s="159">
        <v>2163</v>
      </c>
      <c r="F17" s="159">
        <v>0</v>
      </c>
      <c r="G17" s="159">
        <f>I17-H17</f>
        <v>38724</v>
      </c>
      <c r="H17" s="159">
        <v>3013</v>
      </c>
      <c r="I17" s="160">
        <v>41737</v>
      </c>
      <c r="R17" s="67"/>
    </row>
    <row r="18" spans="1:18" s="75" customFormat="1">
      <c r="A18" s="71">
        <f t="shared" ref="A18:A30" si="0">1+A17</f>
        <v>2</v>
      </c>
      <c r="B18" s="72" t="s">
        <v>45</v>
      </c>
      <c r="C18" s="159">
        <f t="shared" ref="C18:C29" si="1">SUM(D18:F18)+I18</f>
        <v>96706</v>
      </c>
      <c r="D18" s="159">
        <v>51857</v>
      </c>
      <c r="E18" s="159">
        <v>3279</v>
      </c>
      <c r="F18" s="159">
        <v>0</v>
      </c>
      <c r="G18" s="159">
        <f>I18-H18</f>
        <v>38730</v>
      </c>
      <c r="H18" s="159">
        <v>2840</v>
      </c>
      <c r="I18" s="160">
        <v>41570</v>
      </c>
      <c r="R18" s="67"/>
    </row>
    <row r="19" spans="1:18" s="75" customFormat="1">
      <c r="A19" s="71">
        <f t="shared" si="0"/>
        <v>3</v>
      </c>
      <c r="B19" s="72" t="s">
        <v>46</v>
      </c>
      <c r="C19" s="159">
        <f t="shared" si="1"/>
        <v>96498</v>
      </c>
      <c r="D19" s="159">
        <v>51836</v>
      </c>
      <c r="E19" s="159">
        <v>3029</v>
      </c>
      <c r="F19" s="159">
        <v>0</v>
      </c>
      <c r="G19" s="159">
        <f t="shared" ref="G19:G28" si="2">I19-H19</f>
        <v>38727</v>
      </c>
      <c r="H19" s="159">
        <v>2906</v>
      </c>
      <c r="I19" s="160">
        <v>41633</v>
      </c>
      <c r="R19" s="67"/>
    </row>
    <row r="20" spans="1:18" s="75" customFormat="1">
      <c r="A20" s="71">
        <f t="shared" si="0"/>
        <v>4</v>
      </c>
      <c r="B20" s="72" t="s">
        <v>47</v>
      </c>
      <c r="C20" s="159">
        <f t="shared" si="1"/>
        <v>97748</v>
      </c>
      <c r="D20" s="159">
        <v>52981</v>
      </c>
      <c r="E20" s="159">
        <v>2969</v>
      </c>
      <c r="F20" s="159">
        <v>0</v>
      </c>
      <c r="G20" s="159">
        <f t="shared" si="2"/>
        <v>38777</v>
      </c>
      <c r="H20" s="159">
        <v>3021</v>
      </c>
      <c r="I20" s="160">
        <v>41798</v>
      </c>
      <c r="R20" s="67"/>
    </row>
    <row r="21" spans="1:18" s="75" customFormat="1">
      <c r="A21" s="71">
        <f t="shared" si="0"/>
        <v>5</v>
      </c>
      <c r="B21" s="72" t="s">
        <v>48</v>
      </c>
      <c r="C21" s="159">
        <f t="shared" si="1"/>
        <v>97826</v>
      </c>
      <c r="D21" s="159">
        <v>52657</v>
      </c>
      <c r="E21" s="159">
        <v>3268</v>
      </c>
      <c r="F21" s="159">
        <v>0</v>
      </c>
      <c r="G21" s="159">
        <f t="shared" si="2"/>
        <v>38787</v>
      </c>
      <c r="H21" s="159">
        <v>3114</v>
      </c>
      <c r="I21" s="160">
        <v>41901</v>
      </c>
      <c r="R21" s="67"/>
    </row>
    <row r="22" spans="1:18" s="75" customFormat="1">
      <c r="A22" s="71">
        <f t="shared" si="0"/>
        <v>6</v>
      </c>
      <c r="B22" s="72" t="s">
        <v>49</v>
      </c>
      <c r="C22" s="159">
        <f t="shared" si="1"/>
        <v>97347</v>
      </c>
      <c r="D22" s="159">
        <v>53106</v>
      </c>
      <c r="E22" s="159">
        <v>2693</v>
      </c>
      <c r="F22" s="159">
        <v>0</v>
      </c>
      <c r="G22" s="159">
        <f t="shared" si="2"/>
        <v>38799</v>
      </c>
      <c r="H22" s="159">
        <v>2749</v>
      </c>
      <c r="I22" s="160">
        <v>41548</v>
      </c>
      <c r="R22" s="67"/>
    </row>
    <row r="23" spans="1:18" s="75" customFormat="1">
      <c r="A23" s="71">
        <f t="shared" si="0"/>
        <v>7</v>
      </c>
      <c r="B23" s="72" t="s">
        <v>50</v>
      </c>
      <c r="C23" s="159">
        <f t="shared" si="1"/>
        <v>98559</v>
      </c>
      <c r="D23" s="159">
        <v>52715</v>
      </c>
      <c r="E23" s="159">
        <v>3329</v>
      </c>
      <c r="F23" s="159">
        <v>0</v>
      </c>
      <c r="G23" s="159">
        <f t="shared" si="2"/>
        <v>39621</v>
      </c>
      <c r="H23" s="159">
        <v>2894</v>
      </c>
      <c r="I23" s="160">
        <v>42515</v>
      </c>
      <c r="R23" s="67"/>
    </row>
    <row r="24" spans="1:18" s="75" customFormat="1">
      <c r="A24" s="71">
        <f t="shared" si="0"/>
        <v>8</v>
      </c>
      <c r="B24" s="72" t="s">
        <v>51</v>
      </c>
      <c r="C24" s="159">
        <f t="shared" si="1"/>
        <v>98555</v>
      </c>
      <c r="D24" s="159">
        <v>52694</v>
      </c>
      <c r="E24" s="159">
        <v>3518</v>
      </c>
      <c r="F24" s="159">
        <v>0</v>
      </c>
      <c r="G24" s="159">
        <f t="shared" si="2"/>
        <v>39645</v>
      </c>
      <c r="H24" s="159">
        <v>2698</v>
      </c>
      <c r="I24" s="160">
        <v>42343</v>
      </c>
      <c r="R24" s="67"/>
    </row>
    <row r="25" spans="1:18" s="75" customFormat="1">
      <c r="A25" s="71">
        <f t="shared" si="0"/>
        <v>9</v>
      </c>
      <c r="B25" s="72" t="s">
        <v>52</v>
      </c>
      <c r="C25" s="159">
        <f t="shared" si="1"/>
        <v>98822</v>
      </c>
      <c r="D25" s="159">
        <v>53472</v>
      </c>
      <c r="E25" s="159">
        <v>2607</v>
      </c>
      <c r="F25" s="159">
        <v>0</v>
      </c>
      <c r="G25" s="159">
        <f t="shared" si="2"/>
        <v>39647</v>
      </c>
      <c r="H25" s="159">
        <v>3096</v>
      </c>
      <c r="I25" s="160">
        <v>42743</v>
      </c>
      <c r="R25" s="67"/>
    </row>
    <row r="26" spans="1:18" s="75" customFormat="1">
      <c r="A26" s="71">
        <f t="shared" si="0"/>
        <v>10</v>
      </c>
      <c r="B26" s="72" t="s">
        <v>53</v>
      </c>
      <c r="C26" s="159">
        <f t="shared" si="1"/>
        <v>99867</v>
      </c>
      <c r="D26" s="159">
        <v>53963</v>
      </c>
      <c r="E26" s="159">
        <v>2891</v>
      </c>
      <c r="F26" s="159">
        <v>0</v>
      </c>
      <c r="G26" s="159">
        <f t="shared" si="2"/>
        <v>39700</v>
      </c>
      <c r="H26" s="159">
        <v>3313</v>
      </c>
      <c r="I26" s="160">
        <v>43013</v>
      </c>
      <c r="R26" s="67"/>
    </row>
    <row r="27" spans="1:18" s="75" customFormat="1">
      <c r="A27" s="71">
        <f t="shared" si="0"/>
        <v>11</v>
      </c>
      <c r="B27" s="72" t="s">
        <v>54</v>
      </c>
      <c r="C27" s="159">
        <f t="shared" si="1"/>
        <v>99604</v>
      </c>
      <c r="D27" s="159">
        <v>54011</v>
      </c>
      <c r="E27" s="159">
        <v>3003</v>
      </c>
      <c r="F27" s="159">
        <v>0</v>
      </c>
      <c r="G27" s="159">
        <f t="shared" si="2"/>
        <v>39719</v>
      </c>
      <c r="H27" s="159">
        <v>2871</v>
      </c>
      <c r="I27" s="160">
        <v>42590</v>
      </c>
      <c r="R27" s="67"/>
    </row>
    <row r="28" spans="1:18" s="75" customFormat="1">
      <c r="A28" s="71">
        <f t="shared" si="0"/>
        <v>12</v>
      </c>
      <c r="B28" s="72" t="s">
        <v>55</v>
      </c>
      <c r="C28" s="159">
        <f t="shared" si="1"/>
        <v>100280</v>
      </c>
      <c r="D28" s="159">
        <v>54583</v>
      </c>
      <c r="E28" s="159">
        <v>2908</v>
      </c>
      <c r="F28" s="159">
        <v>0</v>
      </c>
      <c r="G28" s="159">
        <f t="shared" si="2"/>
        <v>39758</v>
      </c>
      <c r="H28" s="159">
        <v>3031</v>
      </c>
      <c r="I28" s="160">
        <v>42789</v>
      </c>
    </row>
    <row r="29" spans="1:18" s="75" customFormat="1">
      <c r="A29" s="71">
        <f t="shared" si="0"/>
        <v>13</v>
      </c>
      <c r="B29" s="72" t="s">
        <v>56</v>
      </c>
      <c r="C29" s="159">
        <f t="shared" si="1"/>
        <v>101773</v>
      </c>
      <c r="D29" s="159">
        <v>54529</v>
      </c>
      <c r="E29" s="159">
        <v>3410</v>
      </c>
      <c r="F29" s="159">
        <v>0</v>
      </c>
      <c r="G29" s="159">
        <f>I29-H29</f>
        <v>40721</v>
      </c>
      <c r="H29" s="159">
        <v>3113</v>
      </c>
      <c r="I29" s="160">
        <v>43834</v>
      </c>
    </row>
    <row r="30" spans="1:18" s="75" customFormat="1">
      <c r="A30" s="71">
        <f t="shared" si="0"/>
        <v>14</v>
      </c>
      <c r="B30" s="76" t="s">
        <v>71</v>
      </c>
      <c r="C30" s="73">
        <f t="shared" ref="C30:I30" si="3">SUM(C17:C29)</f>
        <v>1279764</v>
      </c>
      <c r="D30" s="73">
        <f t="shared" si="3"/>
        <v>690683</v>
      </c>
      <c r="E30" s="73">
        <f t="shared" si="3"/>
        <v>39067</v>
      </c>
      <c r="F30" s="73">
        <f t="shared" si="3"/>
        <v>0</v>
      </c>
      <c r="G30" s="73">
        <f t="shared" si="3"/>
        <v>511355</v>
      </c>
      <c r="H30" s="73">
        <f t="shared" si="3"/>
        <v>38659</v>
      </c>
      <c r="I30" s="74">
        <f t="shared" si="3"/>
        <v>550014</v>
      </c>
    </row>
    <row r="31" spans="1:18" s="75" customFormat="1">
      <c r="A31" s="77"/>
      <c r="B31" s="72"/>
      <c r="C31" s="73"/>
      <c r="D31" s="73"/>
      <c r="E31" s="73"/>
      <c r="F31" s="73"/>
      <c r="G31" s="73"/>
      <c r="H31" s="73"/>
      <c r="I31" s="74"/>
    </row>
    <row r="32" spans="1:18" s="75" customFormat="1">
      <c r="A32" s="71">
        <f>1+A30</f>
        <v>15</v>
      </c>
      <c r="B32" s="72" t="s">
        <v>72</v>
      </c>
      <c r="C32" s="78">
        <f t="shared" ref="C32:I32" si="4">IF(C18=0,"N/A",AVERAGE(C17:C29))</f>
        <v>98443.38461538461</v>
      </c>
      <c r="D32" s="78">
        <f t="shared" si="4"/>
        <v>53129.461538461539</v>
      </c>
      <c r="E32" s="78">
        <f t="shared" si="4"/>
        <v>3005.1538461538462</v>
      </c>
      <c r="F32" s="78" t="str">
        <f t="shared" si="4"/>
        <v>N/A</v>
      </c>
      <c r="G32" s="78">
        <f t="shared" si="4"/>
        <v>39335</v>
      </c>
      <c r="H32" s="78">
        <f t="shared" si="4"/>
        <v>2973.7692307692309</v>
      </c>
      <c r="I32" s="79">
        <f t="shared" si="4"/>
        <v>42308.769230769234</v>
      </c>
    </row>
    <row r="33" spans="1:9" s="75" customFormat="1">
      <c r="A33" s="71"/>
      <c r="B33" s="72"/>
      <c r="C33" s="78"/>
      <c r="D33" s="78"/>
      <c r="E33" s="78"/>
      <c r="F33" s="78"/>
      <c r="G33" s="78"/>
      <c r="H33" s="78"/>
      <c r="I33" s="79"/>
    </row>
    <row r="34" spans="1:9" s="75" customFormat="1">
      <c r="A34" s="71">
        <f>1+A32</f>
        <v>16</v>
      </c>
      <c r="B34" s="72" t="s">
        <v>73</v>
      </c>
      <c r="C34" s="80">
        <f>SUM(D34:F34)+I34</f>
        <v>0.99990000000000001</v>
      </c>
      <c r="D34" s="80">
        <f>ROUND(D32/$C$32,4)-0.0001</f>
        <v>0.53959999999999997</v>
      </c>
      <c r="E34" s="80">
        <f>ROUND(E32/$C$32,4)</f>
        <v>3.0499999999999999E-2</v>
      </c>
      <c r="F34" s="80">
        <f>IF(F30=0,0,+F32/$C$32)</f>
        <v>0</v>
      </c>
      <c r="G34" s="80">
        <f>ROUND(G32/$C$32,4)</f>
        <v>0.39960000000000001</v>
      </c>
      <c r="H34" s="80">
        <f>ROUND(H32/$C$32,4)</f>
        <v>3.0200000000000001E-2</v>
      </c>
      <c r="I34" s="81">
        <f>+G34+H34</f>
        <v>0.42980000000000002</v>
      </c>
    </row>
    <row r="35" spans="1:9" s="75" customFormat="1">
      <c r="A35" s="71"/>
      <c r="B35" s="72"/>
      <c r="C35" s="73"/>
      <c r="D35" s="73"/>
      <c r="E35" s="73"/>
      <c r="F35" s="73"/>
      <c r="G35" s="73"/>
      <c r="H35" s="73"/>
      <c r="I35" s="74"/>
    </row>
    <row r="36" spans="1:9" s="75" customFormat="1" ht="12.75" customHeight="1" thickBot="1">
      <c r="A36" s="82">
        <f>1+A34</f>
        <v>17</v>
      </c>
      <c r="B36" s="83" t="s">
        <v>74</v>
      </c>
      <c r="C36" s="20">
        <f>SUM(D36:F36)+I36</f>
        <v>1</v>
      </c>
      <c r="D36" s="20">
        <f>ROUND(D29/$C$29,4)</f>
        <v>0.53580000000000005</v>
      </c>
      <c r="E36" s="20">
        <f>ROUND(E29/$C$29,4)</f>
        <v>3.3500000000000002E-2</v>
      </c>
      <c r="F36" s="20">
        <f>+F29/$C$29</f>
        <v>0</v>
      </c>
      <c r="G36" s="20">
        <f>ROUND(G29/$C$29,4)</f>
        <v>0.40010000000000001</v>
      </c>
      <c r="H36" s="20">
        <f>ROUND(H29/$C$29,4)</f>
        <v>3.0599999999999999E-2</v>
      </c>
      <c r="I36" s="21">
        <f>+G36+H36</f>
        <v>0.43070000000000003</v>
      </c>
    </row>
    <row r="37" spans="1:9">
      <c r="A37" s="84"/>
      <c r="C37" s="86"/>
      <c r="D37" s="86"/>
      <c r="E37" s="86"/>
      <c r="F37" s="86"/>
      <c r="G37" s="86"/>
      <c r="H37" s="86"/>
      <c r="I37" s="86"/>
    </row>
    <row r="38" spans="1:9" ht="15">
      <c r="A38" s="84"/>
      <c r="B38" t="s">
        <v>17</v>
      </c>
      <c r="C38" s="86"/>
      <c r="D38" s="86"/>
      <c r="E38" s="86"/>
      <c r="F38" s="86"/>
      <c r="G38" s="86"/>
      <c r="H38" s="86"/>
      <c r="I38" s="86"/>
    </row>
    <row r="39" spans="1:9" ht="15">
      <c r="A39" s="84"/>
      <c r="B39" t="s">
        <v>82</v>
      </c>
      <c r="C39" s="86"/>
      <c r="D39" s="86"/>
      <c r="E39" s="86"/>
      <c r="F39" s="86"/>
      <c r="G39" s="86"/>
      <c r="H39" s="86"/>
      <c r="I39" s="86"/>
    </row>
    <row r="40" spans="1:9" ht="15">
      <c r="A40" s="84"/>
      <c r="B40"/>
      <c r="C40" s="86"/>
      <c r="D40" s="86"/>
      <c r="E40" s="86"/>
      <c r="F40" s="86"/>
      <c r="G40" s="86"/>
      <c r="H40" s="86"/>
      <c r="I40" s="86"/>
    </row>
    <row r="41" spans="1:9">
      <c r="A41" s="84"/>
      <c r="C41" s="86"/>
      <c r="D41" s="87"/>
      <c r="E41" s="87"/>
      <c r="F41" s="86"/>
      <c r="G41" s="86"/>
      <c r="H41" s="86"/>
      <c r="I41" s="86"/>
    </row>
    <row r="42" spans="1:9">
      <c r="A42" s="84"/>
      <c r="C42" s="86"/>
      <c r="D42" s="86"/>
      <c r="E42" s="86"/>
      <c r="F42" s="86"/>
      <c r="G42" s="86"/>
      <c r="H42" s="86"/>
      <c r="I42" s="86"/>
    </row>
    <row r="43" spans="1:9">
      <c r="B43" s="2"/>
      <c r="C43" s="86"/>
      <c r="D43" s="86"/>
      <c r="E43" s="86"/>
      <c r="F43" s="86"/>
      <c r="G43" s="86"/>
      <c r="H43" s="86"/>
      <c r="I43" s="86"/>
    </row>
    <row r="44" spans="1:9">
      <c r="C44" s="86"/>
      <c r="D44" s="86"/>
      <c r="E44" s="86"/>
      <c r="F44" s="86"/>
      <c r="G44" s="86"/>
      <c r="H44" s="86"/>
      <c r="I44" s="86"/>
    </row>
    <row r="45" spans="1:9">
      <c r="C45" s="86"/>
      <c r="D45" s="88"/>
      <c r="E45" s="88"/>
      <c r="F45" s="89"/>
      <c r="G45" s="88"/>
      <c r="H45" s="88"/>
      <c r="I45" s="86"/>
    </row>
    <row r="46" spans="1:9">
      <c r="C46" s="86"/>
      <c r="D46" s="86"/>
      <c r="E46" s="86"/>
      <c r="F46" s="86"/>
      <c r="G46" s="86"/>
      <c r="H46" s="86"/>
      <c r="I46" s="86"/>
    </row>
    <row r="47" spans="1:9">
      <c r="C47" s="90"/>
      <c r="D47" s="90"/>
      <c r="I47" s="86"/>
    </row>
    <row r="48" spans="1:9">
      <c r="C48" s="90"/>
      <c r="D48" s="90"/>
      <c r="E48" s="86"/>
      <c r="F48" s="86"/>
      <c r="G48" s="86"/>
      <c r="I48" s="86"/>
    </row>
    <row r="49" spans="3:9">
      <c r="C49" s="90"/>
      <c r="D49" s="90"/>
      <c r="E49" s="86"/>
      <c r="F49" s="86"/>
      <c r="G49" s="86"/>
      <c r="I49" s="86"/>
    </row>
    <row r="50" spans="3:9">
      <c r="C50" s="90"/>
      <c r="D50" s="90"/>
      <c r="F50" s="86"/>
      <c r="G50" s="86"/>
      <c r="I50" s="86"/>
    </row>
    <row r="51" spans="3:9">
      <c r="C51" s="90"/>
      <c r="D51" s="90"/>
      <c r="F51" s="86"/>
      <c r="G51" s="86"/>
      <c r="I51" s="86"/>
    </row>
    <row r="52" spans="3:9">
      <c r="C52" s="90"/>
      <c r="D52" s="90"/>
      <c r="G52" s="86"/>
      <c r="I52" s="86"/>
    </row>
    <row r="53" spans="3:9">
      <c r="C53" s="90"/>
      <c r="D53" s="90"/>
      <c r="F53" s="86"/>
      <c r="G53" s="86"/>
      <c r="I53" s="86"/>
    </row>
    <row r="54" spans="3:9">
      <c r="C54" s="90"/>
      <c r="D54" s="90"/>
      <c r="F54" s="86"/>
      <c r="G54" s="86"/>
      <c r="I54" s="86"/>
    </row>
    <row r="55" spans="3:9">
      <c r="C55" s="90"/>
      <c r="D55" s="90"/>
      <c r="F55" s="86"/>
      <c r="G55" s="86"/>
      <c r="I55" s="86"/>
    </row>
    <row r="56" spans="3:9">
      <c r="C56" s="90"/>
      <c r="D56" s="90"/>
      <c r="F56" s="86"/>
      <c r="G56" s="86"/>
      <c r="I56" s="86"/>
    </row>
    <row r="57" spans="3:9">
      <c r="C57" s="90"/>
      <c r="D57" s="90"/>
      <c r="F57" s="86"/>
      <c r="G57" s="86"/>
      <c r="I57" s="86"/>
    </row>
    <row r="58" spans="3:9">
      <c r="C58" s="90"/>
      <c r="D58" s="90"/>
      <c r="F58" s="86"/>
      <c r="G58" s="86"/>
      <c r="I58" s="86"/>
    </row>
    <row r="59" spans="3:9">
      <c r="C59" s="90"/>
      <c r="D59" s="90"/>
      <c r="F59" s="86"/>
      <c r="G59" s="86"/>
      <c r="I59" s="86"/>
    </row>
    <row r="60" spans="3:9">
      <c r="C60" s="86"/>
      <c r="D60" s="86"/>
      <c r="E60" s="86"/>
      <c r="F60" s="86"/>
      <c r="G60" s="86"/>
      <c r="H60" s="86"/>
      <c r="I60" s="86"/>
    </row>
    <row r="61" spans="3:9">
      <c r="C61" s="86"/>
      <c r="D61" s="86"/>
      <c r="E61" s="86"/>
      <c r="F61" s="86"/>
      <c r="G61" s="86"/>
      <c r="H61" s="86"/>
      <c r="I61" s="86"/>
    </row>
    <row r="62" spans="3:9">
      <c r="C62" s="86"/>
      <c r="D62" s="86"/>
      <c r="E62" s="86"/>
      <c r="F62" s="86"/>
      <c r="G62" s="86"/>
      <c r="H62" s="86"/>
      <c r="I62" s="86"/>
    </row>
    <row r="63" spans="3:9">
      <c r="C63" s="86"/>
      <c r="D63" s="86"/>
      <c r="E63" s="86"/>
      <c r="F63" s="86"/>
      <c r="G63" s="86"/>
      <c r="H63" s="86"/>
      <c r="I63" s="86"/>
    </row>
    <row r="64" spans="3:9">
      <c r="C64" s="86"/>
      <c r="D64" s="86"/>
      <c r="E64" s="86"/>
      <c r="F64" s="86"/>
      <c r="G64" s="86"/>
      <c r="H64" s="86"/>
      <c r="I64" s="86"/>
    </row>
    <row r="65" spans="3:9">
      <c r="C65" s="86"/>
      <c r="D65" s="86"/>
      <c r="E65" s="86"/>
      <c r="F65" s="86"/>
      <c r="G65" s="86"/>
      <c r="H65" s="86"/>
      <c r="I65" s="86"/>
    </row>
    <row r="66" spans="3:9">
      <c r="C66" s="86"/>
      <c r="D66" s="86"/>
      <c r="E66" s="86"/>
      <c r="F66" s="86"/>
      <c r="G66" s="86"/>
      <c r="H66" s="86"/>
      <c r="I66" s="86"/>
    </row>
    <row r="67" spans="3:9">
      <c r="C67" s="86"/>
      <c r="D67" s="86"/>
      <c r="E67" s="86"/>
      <c r="F67" s="86"/>
      <c r="G67" s="86"/>
      <c r="H67" s="86"/>
      <c r="I67" s="86"/>
    </row>
    <row r="68" spans="3:9">
      <c r="C68" s="86"/>
      <c r="D68" s="86"/>
      <c r="E68" s="86"/>
      <c r="F68" s="86"/>
      <c r="G68" s="86"/>
      <c r="H68" s="86"/>
      <c r="I68" s="86"/>
    </row>
    <row r="69" spans="3:9">
      <c r="C69" s="86"/>
      <c r="D69" s="86"/>
      <c r="E69" s="86"/>
      <c r="F69" s="86"/>
      <c r="G69" s="86"/>
      <c r="H69" s="86"/>
      <c r="I69" s="86"/>
    </row>
    <row r="70" spans="3:9">
      <c r="C70" s="86"/>
      <c r="D70" s="86"/>
      <c r="E70" s="86"/>
      <c r="F70" s="86"/>
      <c r="G70" s="86"/>
      <c r="H70" s="86"/>
      <c r="I70" s="86"/>
    </row>
    <row r="71" spans="3:9">
      <c r="C71" s="86"/>
      <c r="D71" s="86"/>
      <c r="E71" s="86"/>
      <c r="F71" s="86"/>
      <c r="G71" s="86"/>
      <c r="H71" s="86"/>
      <c r="I71" s="86"/>
    </row>
    <row r="72" spans="3:9">
      <c r="C72" s="86"/>
      <c r="D72" s="86"/>
      <c r="E72" s="86"/>
      <c r="F72" s="86"/>
      <c r="G72" s="86"/>
      <c r="H72" s="86"/>
      <c r="I72" s="86"/>
    </row>
    <row r="73" spans="3:9">
      <c r="C73" s="86"/>
      <c r="D73" s="86"/>
      <c r="E73" s="86"/>
      <c r="F73" s="86"/>
      <c r="G73" s="86"/>
      <c r="H73" s="86"/>
      <c r="I73" s="86"/>
    </row>
    <row r="74" spans="3:9">
      <c r="C74" s="86"/>
      <c r="D74" s="86"/>
      <c r="E74" s="86"/>
      <c r="F74" s="86"/>
      <c r="G74" s="86"/>
      <c r="H74" s="86"/>
      <c r="I74" s="86"/>
    </row>
  </sheetData>
  <printOptions horizontalCentered="1"/>
  <pageMargins left="0.7" right="0.7" top="0.75" bottom="0.75" header="0.3" footer="0.3"/>
  <pageSetup scale="74" orientation="landscape" blackAndWhite="1" r:id="rId1"/>
  <headerFooter>
    <oddHeader>&amp;R&amp;"Times New Roman,Bold"&amp;10KyPSC Case No. 2019-00271
STAFF-DR-01-022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Witness xmlns="fb86b3f3-0c45-4486-810b-39aa0a1cbbd7">Weatherston</Witness>
  </documentManagement>
</p:properties>
</file>

<file path=customXml/itemProps1.xml><?xml version="1.0" encoding="utf-8"?>
<ds:datastoreItem xmlns:ds="http://schemas.openxmlformats.org/officeDocument/2006/customXml" ds:itemID="{68743503-FD1B-4FDD-84ED-E9043AE0C7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EDA00-ADD2-4992-BE23-699D0F8C3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DB48D6-31AC-4313-8897-6A57DB91DEC9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DEK 22a</vt:lpstr>
      <vt:lpstr>DEK 22b</vt:lpstr>
      <vt:lpstr>DEC 22a</vt:lpstr>
      <vt:lpstr>DEC 22b</vt:lpstr>
      <vt:lpstr>'DEC 22a'!Print_Area</vt:lpstr>
      <vt:lpstr>'DEC 22b'!Print_Area</vt:lpstr>
      <vt:lpstr>'DEK 22a'!Print_Area</vt:lpstr>
      <vt:lpstr>'DEK 22b'!Print_Area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Capital Structure for prior periods</dc:subject>
  <dc:creator>Melendez, Brenda R</dc:creator>
  <cp:lastModifiedBy>Minna Sunderman</cp:lastModifiedBy>
  <cp:lastPrinted>2019-08-30T22:25:13Z</cp:lastPrinted>
  <dcterms:created xsi:type="dcterms:W3CDTF">2009-07-09T21:51:05Z</dcterms:created>
  <dcterms:modified xsi:type="dcterms:W3CDTF">2019-09-12T21:30:14Z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