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REBUTTAL TESTIMONY/Wathen/"/>
    </mc:Choice>
  </mc:AlternateContent>
  <xr:revisionPtr revIDLastSave="0" documentId="13_ncr:1_{ABC601D7-CB87-424B-A5A5-322D1CC66359}" xr6:coauthVersionLast="41" xr6:coauthVersionMax="41" xr10:uidLastSave="{00000000-0000-0000-0000-000000000000}"/>
  <bookViews>
    <workbookView xWindow="25080" yWindow="-120" windowWidth="25440" windowHeight="15990" xr2:uid="{EBBB88BA-A53A-43D6-AB12-C5D4371122BF}"/>
  </bookViews>
  <sheets>
    <sheet name="Sheet1" sheetId="1" r:id="rId1"/>
  </sheets>
  <definedNames>
    <definedName name="_xlnm.Print_Area" localSheetId="0">Sheet1!$A$1:$R$44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  <c r="R27" i="1"/>
  <c r="R10" i="1" l="1"/>
  <c r="E27" i="1" l="1"/>
  <c r="H28" i="1"/>
  <c r="I28" i="1"/>
  <c r="J28" i="1"/>
  <c r="K28" i="1"/>
  <c r="L28" i="1"/>
  <c r="M28" i="1"/>
  <c r="N28" i="1"/>
  <c r="O28" i="1"/>
  <c r="P28" i="1"/>
  <c r="Q28" i="1"/>
  <c r="G28" i="1"/>
  <c r="C27" i="1"/>
  <c r="H27" i="1"/>
  <c r="I27" i="1"/>
  <c r="J27" i="1"/>
  <c r="K27" i="1"/>
  <c r="L27" i="1"/>
  <c r="M27" i="1"/>
  <c r="N27" i="1"/>
  <c r="O27" i="1"/>
  <c r="P27" i="1"/>
  <c r="Q27" i="1"/>
  <c r="G27" i="1"/>
  <c r="R23" i="1"/>
  <c r="R28" i="1" s="1"/>
  <c r="Q23" i="1"/>
  <c r="P23" i="1"/>
  <c r="O23" i="1"/>
  <c r="N23" i="1"/>
  <c r="M23" i="1"/>
  <c r="L23" i="1"/>
  <c r="K23" i="1"/>
  <c r="J23" i="1"/>
  <c r="I23" i="1"/>
  <c r="H23" i="1"/>
  <c r="G23" i="1"/>
  <c r="R17" i="1"/>
  <c r="Q17" i="1"/>
  <c r="P17" i="1"/>
  <c r="O17" i="1"/>
  <c r="N17" i="1"/>
  <c r="M17" i="1"/>
  <c r="L17" i="1"/>
  <c r="K17" i="1"/>
  <c r="J17" i="1"/>
  <c r="I17" i="1"/>
  <c r="H17" i="1"/>
  <c r="G17" i="1"/>
  <c r="Q10" i="1"/>
  <c r="P10" i="1"/>
  <c r="O10" i="1"/>
  <c r="N10" i="1"/>
  <c r="M10" i="1"/>
  <c r="L10" i="1"/>
  <c r="K10" i="1"/>
  <c r="J10" i="1"/>
  <c r="I10" i="1"/>
  <c r="H10" i="1"/>
  <c r="G10" i="1"/>
  <c r="E23" i="1"/>
  <c r="C23" i="1"/>
  <c r="C29" i="1" l="1"/>
  <c r="E28" i="1"/>
  <c r="E29" i="1" s="1"/>
</calcChain>
</file>

<file path=xl/sharedStrings.xml><?xml version="1.0" encoding="utf-8"?>
<sst xmlns="http://schemas.openxmlformats.org/spreadsheetml/2006/main" count="31" uniqueCount="29">
  <si>
    <t>Acct</t>
  </si>
  <si>
    <t>Description</t>
  </si>
  <si>
    <t>Underground Lines</t>
  </si>
  <si>
    <t>Misc. Transmission Plant</t>
  </si>
  <si>
    <t>Regional Marketing</t>
  </si>
  <si>
    <t>Total Transmission Expense</t>
  </si>
  <si>
    <t>Recovered in Rates</t>
  </si>
  <si>
    <t>Duke Energy Kentucky, Inc.</t>
  </si>
  <si>
    <t>2007 - Apr. 2018</t>
  </si>
  <si>
    <t>May 2018 - Present</t>
  </si>
  <si>
    <t>Supervision &amp; Engineering</t>
  </si>
  <si>
    <t>Load Dispatching</t>
  </si>
  <si>
    <t>Station Expense</t>
  </si>
  <si>
    <t>Overhead Lines</t>
  </si>
  <si>
    <t>Transmission of Electricity by Others</t>
  </si>
  <si>
    <t>Miscellaneous Transmission</t>
  </si>
  <si>
    <t>Rents - Interco CG&amp;E</t>
  </si>
  <si>
    <t>Structures</t>
  </si>
  <si>
    <t>Station Equipment</t>
  </si>
  <si>
    <t>Attachment WDW-Rebuttal-1</t>
  </si>
  <si>
    <t>Page 1 of 1</t>
  </si>
  <si>
    <t>Transmission Expense</t>
  </si>
  <si>
    <t>Total</t>
  </si>
  <si>
    <t>2012-2018</t>
  </si>
  <si>
    <t>Under-Recovery of Transmission Exp</t>
  </si>
  <si>
    <t xml:space="preserve"> Transmission Expense Recovered in Rates</t>
  </si>
  <si>
    <t xml:space="preserve">Transmission Expense vs. </t>
  </si>
  <si>
    <t>Transmission Exp. Collected in Rates</t>
  </si>
  <si>
    <t>Transmission Expenses per FERC Form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</si>
</sst>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0000FF"/>
      <name val="Arial"/>
      <family val="2"/>
    </font>
    <font>
      <u val="singleAccounting"/>
      <sz val="10"/>
      <color rgb="FF0000FF"/>
      <name val="Arial"/>
      <family val="2"/>
    </font>
    <font>
      <u/>
      <sz val="10"/>
      <name val="Arial"/>
      <family val="2"/>
    </font>
    <font>
      <u val="doubleAccounting"/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quotePrefix="1" applyFont="1" applyAlignment="1">
      <alignment horizontal="center"/>
    </xf>
    <xf numFmtId="41" fontId="3" fillId="0" borderId="0" xfId="0" applyNumberFormat="1" applyFont="1"/>
    <xf numFmtId="41" fontId="0" fillId="0" borderId="0" xfId="0" applyNumberFormat="1"/>
    <xf numFmtId="42" fontId="3" fillId="0" borderId="0" xfId="0" applyNumberFormat="1" applyFont="1"/>
    <xf numFmtId="42" fontId="0" fillId="0" borderId="0" xfId="0" applyNumberFormat="1"/>
    <xf numFmtId="41" fontId="4" fillId="0" borderId="0" xfId="0" applyNumberFormat="1" applyFont="1"/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42" fontId="6" fillId="0" borderId="0" xfId="0" applyNumberFormat="1" applyFont="1"/>
    <xf numFmtId="42" fontId="7" fillId="0" borderId="0" xfId="0" applyNumberFormat="1" applyFont="1"/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F8D59-0B58-406B-A280-DAEE6A15F2B5}">
  <sheetPr>
    <pageSetUpPr fitToPage="1"/>
  </sheetPr>
  <dimension ref="A1:R29"/>
  <sheetViews>
    <sheetView tabSelected="1" zoomScale="90" zoomScaleNormal="90" workbookViewId="0">
      <selection activeCell="B35" sqref="B35"/>
    </sheetView>
  </sheetViews>
  <sheetFormatPr defaultRowHeight="12.75" x14ac:dyDescent="0.2"/>
  <cols>
    <col min="2" max="2" width="31.140625" customWidth="1"/>
    <col min="3" max="3" width="15.7109375" customWidth="1"/>
    <col min="4" max="4" width="1.7109375" customWidth="1"/>
    <col min="5" max="5" width="17.42578125" customWidth="1"/>
    <col min="6" max="6" width="1.5703125" customWidth="1"/>
    <col min="7" max="16" width="13.28515625" bestFit="1" customWidth="1"/>
    <col min="17" max="17" width="13.7109375" customWidth="1"/>
    <col min="18" max="18" width="13.28515625" bestFit="1" customWidth="1"/>
  </cols>
  <sheetData>
    <row r="1" spans="1:18" x14ac:dyDescent="0.2">
      <c r="A1" t="s">
        <v>7</v>
      </c>
      <c r="Q1" s="10" t="s">
        <v>19</v>
      </c>
    </row>
    <row r="2" spans="1:18" x14ac:dyDescent="0.2">
      <c r="A2" t="s">
        <v>26</v>
      </c>
      <c r="Q2" t="s">
        <v>20</v>
      </c>
    </row>
    <row r="3" spans="1:18" x14ac:dyDescent="0.2">
      <c r="A3" s="3" t="s">
        <v>25</v>
      </c>
    </row>
    <row r="6" spans="1:18" x14ac:dyDescent="0.2">
      <c r="C6" s="17" t="s">
        <v>27</v>
      </c>
      <c r="D6" s="15"/>
      <c r="E6" s="16"/>
      <c r="G6" s="17" t="s">
        <v>28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</row>
    <row r="7" spans="1:18" x14ac:dyDescent="0.2">
      <c r="C7" s="18"/>
      <c r="D7" s="19"/>
      <c r="E7" s="19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x14ac:dyDescent="0.2">
      <c r="A8" s="2" t="s">
        <v>0</v>
      </c>
      <c r="B8" s="2" t="s">
        <v>1</v>
      </c>
      <c r="C8" s="4" t="s">
        <v>8</v>
      </c>
      <c r="E8" s="2" t="s">
        <v>9</v>
      </c>
      <c r="G8" s="11">
        <v>2007</v>
      </c>
      <c r="H8" s="11">
        <v>2008</v>
      </c>
      <c r="I8" s="11">
        <v>2009</v>
      </c>
      <c r="J8" s="11">
        <v>2010</v>
      </c>
      <c r="K8" s="11">
        <v>2011</v>
      </c>
      <c r="L8" s="11">
        <v>2012</v>
      </c>
      <c r="M8" s="11">
        <v>2013</v>
      </c>
      <c r="N8" s="11">
        <v>2014</v>
      </c>
      <c r="O8" s="11">
        <v>2015</v>
      </c>
      <c r="P8" s="11">
        <v>2016</v>
      </c>
      <c r="Q8" s="11">
        <v>2017</v>
      </c>
      <c r="R8" s="12">
        <v>2018</v>
      </c>
    </row>
    <row r="9" spans="1:18" x14ac:dyDescent="0.2">
      <c r="A9" s="1">
        <v>560</v>
      </c>
      <c r="B9" t="s">
        <v>10</v>
      </c>
      <c r="C9" s="7">
        <v>59231</v>
      </c>
      <c r="D9" s="8"/>
      <c r="E9" s="7">
        <v>39904</v>
      </c>
      <c r="G9" s="7">
        <v>98717</v>
      </c>
      <c r="H9" s="7">
        <v>55350</v>
      </c>
      <c r="I9" s="7">
        <v>36352</v>
      </c>
      <c r="J9" s="7">
        <v>6230</v>
      </c>
      <c r="K9" s="7">
        <v>6202</v>
      </c>
      <c r="L9" s="7">
        <v>19822</v>
      </c>
      <c r="M9" s="7">
        <v>18154</v>
      </c>
      <c r="N9" s="7">
        <v>2225</v>
      </c>
      <c r="O9" s="7">
        <v>7699</v>
      </c>
      <c r="P9" s="7">
        <v>3132</v>
      </c>
      <c r="Q9" s="7">
        <v>2789</v>
      </c>
      <c r="R9" s="7">
        <v>2518</v>
      </c>
    </row>
    <row r="10" spans="1:18" x14ac:dyDescent="0.2">
      <c r="A10" s="1">
        <v>561</v>
      </c>
      <c r="B10" t="s">
        <v>11</v>
      </c>
      <c r="C10" s="5">
        <v>1891531</v>
      </c>
      <c r="D10" s="6"/>
      <c r="E10" s="5">
        <v>4507629</v>
      </c>
      <c r="G10" s="5">
        <f>178470+66501+9523+715531+43289</f>
        <v>1013314</v>
      </c>
      <c r="H10" s="5">
        <f>102646+43701-257+709796+43274</f>
        <v>899160</v>
      </c>
      <c r="I10" s="5">
        <f>67685+465193+109693+717492+43698</f>
        <v>1403761</v>
      </c>
      <c r="J10" s="5">
        <f>80357+194813+15860+727013+42674</f>
        <v>1060717</v>
      </c>
      <c r="K10" s="5">
        <f>77204+353009+15661+882082+46980</f>
        <v>1374936</v>
      </c>
      <c r="L10" s="5">
        <f>82314+124689+17333+137114-26</f>
        <v>361424</v>
      </c>
      <c r="M10" s="5">
        <f>79077+106082+14728+117701</f>
        <v>317588</v>
      </c>
      <c r="N10" s="5">
        <f>86039+385000+52420+5516</f>
        <v>528975</v>
      </c>
      <c r="O10" s="5">
        <f>101477+405611+55813+902</f>
        <v>563803</v>
      </c>
      <c r="P10" s="5">
        <f>104843+490530+68624+1460340+470</f>
        <v>2124807</v>
      </c>
      <c r="Q10" s="5">
        <f>94788+435117+59082+1877059+1424+666832</f>
        <v>3134302</v>
      </c>
      <c r="R10" s="5">
        <f>93821+435265+59242+3046615-6392346+8029254</f>
        <v>5271851</v>
      </c>
    </row>
    <row r="11" spans="1:18" x14ac:dyDescent="0.2">
      <c r="A11" s="1">
        <v>562</v>
      </c>
      <c r="B11" t="s">
        <v>12</v>
      </c>
      <c r="C11" s="5">
        <v>4064</v>
      </c>
      <c r="D11" s="6"/>
      <c r="E11" s="5">
        <v>108794</v>
      </c>
      <c r="G11" s="5">
        <v>69078</v>
      </c>
      <c r="H11" s="5">
        <v>115821</v>
      </c>
      <c r="I11" s="5">
        <v>183302</v>
      </c>
      <c r="J11" s="5">
        <v>116667</v>
      </c>
      <c r="K11" s="5">
        <v>106518</v>
      </c>
      <c r="L11" s="5">
        <v>99625</v>
      </c>
      <c r="M11" s="5">
        <v>119495</v>
      </c>
      <c r="N11" s="5">
        <v>98548</v>
      </c>
      <c r="O11" s="5">
        <v>116017</v>
      </c>
      <c r="P11" s="5">
        <v>107358</v>
      </c>
      <c r="Q11" s="5">
        <v>111250</v>
      </c>
      <c r="R11" s="5">
        <v>148685</v>
      </c>
    </row>
    <row r="12" spans="1:18" x14ac:dyDescent="0.2">
      <c r="A12" s="1">
        <v>563</v>
      </c>
      <c r="B12" t="s">
        <v>13</v>
      </c>
      <c r="C12" s="5">
        <v>12180</v>
      </c>
      <c r="D12" s="6"/>
      <c r="E12" s="5">
        <v>22478</v>
      </c>
      <c r="G12" s="5">
        <v>14348</v>
      </c>
      <c r="H12" s="5">
        <v>22451</v>
      </c>
      <c r="I12" s="5">
        <v>203659</v>
      </c>
      <c r="J12" s="5">
        <v>81675</v>
      </c>
      <c r="K12" s="5">
        <v>88323</v>
      </c>
      <c r="L12" s="5">
        <v>40881</v>
      </c>
      <c r="M12" s="5">
        <v>44712</v>
      </c>
      <c r="N12" s="5">
        <v>83162</v>
      </c>
      <c r="O12" s="5">
        <v>103310</v>
      </c>
      <c r="P12" s="5">
        <v>16744</v>
      </c>
      <c r="Q12" s="5">
        <v>46121</v>
      </c>
      <c r="R12" s="5">
        <v>33532</v>
      </c>
    </row>
    <row r="13" spans="1:18" x14ac:dyDescent="0.2">
      <c r="A13" s="1">
        <v>565</v>
      </c>
      <c r="B13" t="s">
        <v>14</v>
      </c>
      <c r="C13" s="5">
        <v>12043213</v>
      </c>
      <c r="D13" s="6"/>
      <c r="E13" s="5">
        <v>13361709</v>
      </c>
      <c r="G13" s="5">
        <v>17325885</v>
      </c>
      <c r="H13" s="5">
        <v>16813303</v>
      </c>
      <c r="I13" s="5">
        <v>15773589</v>
      </c>
      <c r="J13" s="5">
        <v>17241235</v>
      </c>
      <c r="K13" s="5">
        <v>27082235</v>
      </c>
      <c r="L13" s="5">
        <v>11169053</v>
      </c>
      <c r="M13" s="5">
        <v>8944811</v>
      </c>
      <c r="N13" s="5">
        <v>11958297</v>
      </c>
      <c r="O13" s="5">
        <v>14117924</v>
      </c>
      <c r="P13" s="5">
        <v>15553606</v>
      </c>
      <c r="Q13" s="5">
        <v>12797078</v>
      </c>
      <c r="R13" s="5">
        <v>13909634</v>
      </c>
    </row>
    <row r="14" spans="1:18" x14ac:dyDescent="0.2">
      <c r="A14" s="1">
        <v>566</v>
      </c>
      <c r="B14" t="s">
        <v>15</v>
      </c>
      <c r="C14" s="5">
        <v>42517</v>
      </c>
      <c r="D14" s="6"/>
      <c r="E14" s="5">
        <v>331678</v>
      </c>
      <c r="G14" s="5">
        <v>61450</v>
      </c>
      <c r="H14" s="5">
        <v>8717</v>
      </c>
      <c r="I14" s="5">
        <v>23</v>
      </c>
      <c r="J14" s="5">
        <v>68</v>
      </c>
      <c r="K14" s="5">
        <v>2628943</v>
      </c>
      <c r="L14" s="5">
        <v>201817</v>
      </c>
      <c r="M14" s="5">
        <v>130672</v>
      </c>
      <c r="N14" s="5">
        <v>286930</v>
      </c>
      <c r="O14" s="5">
        <v>409751</v>
      </c>
      <c r="P14" s="5">
        <v>629025</v>
      </c>
      <c r="Q14" s="5">
        <v>481220</v>
      </c>
      <c r="R14" s="5">
        <v>486517</v>
      </c>
    </row>
    <row r="15" spans="1:18" x14ac:dyDescent="0.2">
      <c r="A15" s="1">
        <v>567</v>
      </c>
      <c r="B15" t="s">
        <v>16</v>
      </c>
      <c r="C15" s="5">
        <v>1933776</v>
      </c>
      <c r="D15" s="6"/>
      <c r="E15" s="5">
        <v>0</v>
      </c>
      <c r="G15" s="5">
        <v>1934700</v>
      </c>
      <c r="H15" s="5">
        <v>1934700</v>
      </c>
      <c r="I15" s="5">
        <v>1934700</v>
      </c>
      <c r="J15" s="5">
        <v>1934700</v>
      </c>
      <c r="K15" s="5">
        <v>1934161</v>
      </c>
      <c r="L15" s="5">
        <v>701774</v>
      </c>
      <c r="M15" s="5"/>
      <c r="N15" s="5">
        <v>935</v>
      </c>
      <c r="O15" s="5">
        <v>618</v>
      </c>
      <c r="P15" s="5">
        <v>1668</v>
      </c>
      <c r="Q15" s="5">
        <v>0</v>
      </c>
      <c r="R15" s="5">
        <v>0</v>
      </c>
    </row>
    <row r="16" spans="1:18" x14ac:dyDescent="0.2">
      <c r="A16" s="1">
        <v>568</v>
      </c>
      <c r="B16" t="s">
        <v>10</v>
      </c>
      <c r="C16" s="5">
        <v>79147</v>
      </c>
      <c r="D16" s="6"/>
      <c r="E16" s="5">
        <v>0</v>
      </c>
      <c r="G16" s="5">
        <v>7912</v>
      </c>
      <c r="H16" s="5">
        <v>4235</v>
      </c>
      <c r="I16" s="5">
        <v>0</v>
      </c>
      <c r="J16" s="5">
        <v>0</v>
      </c>
      <c r="K16" s="5">
        <v>0</v>
      </c>
      <c r="L16" s="5">
        <v>0</v>
      </c>
      <c r="M16" s="5">
        <v>11</v>
      </c>
      <c r="N16" s="5">
        <v>11</v>
      </c>
      <c r="O16" s="5">
        <v>0</v>
      </c>
      <c r="P16" s="5">
        <v>0</v>
      </c>
      <c r="Q16" s="5">
        <v>0</v>
      </c>
      <c r="R16" s="5">
        <v>0</v>
      </c>
    </row>
    <row r="17" spans="1:18" x14ac:dyDescent="0.2">
      <c r="A17" s="1">
        <v>569</v>
      </c>
      <c r="B17" t="s">
        <v>17</v>
      </c>
      <c r="C17" s="5">
        <v>59045</v>
      </c>
      <c r="D17" s="6"/>
      <c r="E17" s="5">
        <v>258690</v>
      </c>
      <c r="G17" s="5">
        <f>10459</f>
        <v>10459</v>
      </c>
      <c r="H17" s="5">
        <f>9736+2346+41700</f>
        <v>53782</v>
      </c>
      <c r="I17" s="5">
        <f>10136+10184+270637+128</f>
        <v>291085</v>
      </c>
      <c r="J17" s="5">
        <f>17440+14882+144297+60</f>
        <v>176679</v>
      </c>
      <c r="K17" s="5">
        <f>11375+16997+124924+4149</f>
        <v>157445</v>
      </c>
      <c r="L17" s="5">
        <f>9366+15655+141396+4460</f>
        <v>170877</v>
      </c>
      <c r="M17" s="5">
        <f>11359+16670+71029+1386</f>
        <v>100444</v>
      </c>
      <c r="N17" s="5">
        <f>7273+19511+151035</f>
        <v>177819</v>
      </c>
      <c r="O17" s="5">
        <f>21868+1182+262370</f>
        <v>285420</v>
      </c>
      <c r="P17" s="5">
        <f>39988+2499+199640</f>
        <v>242127</v>
      </c>
      <c r="Q17" s="5">
        <f>8929+615+97287</f>
        <v>106831</v>
      </c>
      <c r="R17" s="5">
        <f>29250+1011+134506</f>
        <v>164767</v>
      </c>
    </row>
    <row r="18" spans="1:18" x14ac:dyDescent="0.2">
      <c r="A18" s="1">
        <v>570</v>
      </c>
      <c r="B18" t="s">
        <v>18</v>
      </c>
      <c r="C18" s="5">
        <v>8340</v>
      </c>
      <c r="D18" s="6"/>
      <c r="E18" s="5">
        <v>280677</v>
      </c>
      <c r="G18" s="5">
        <v>79007</v>
      </c>
      <c r="H18" s="5">
        <v>196460</v>
      </c>
      <c r="I18" s="5">
        <v>178267</v>
      </c>
      <c r="J18" s="5">
        <v>562193</v>
      </c>
      <c r="K18" s="5">
        <v>280257</v>
      </c>
      <c r="L18" s="5">
        <v>390270</v>
      </c>
      <c r="M18" s="5">
        <v>304018</v>
      </c>
      <c r="N18" s="5">
        <v>315030</v>
      </c>
      <c r="O18" s="5">
        <v>279482</v>
      </c>
      <c r="P18" s="5">
        <v>329419</v>
      </c>
      <c r="Q18" s="5">
        <v>335680</v>
      </c>
      <c r="R18" s="5">
        <v>255031</v>
      </c>
    </row>
    <row r="19" spans="1:18" x14ac:dyDescent="0.2">
      <c r="A19" s="1">
        <v>571</v>
      </c>
      <c r="B19" t="s">
        <v>13</v>
      </c>
      <c r="C19" s="5">
        <v>806712</v>
      </c>
      <c r="D19" s="6"/>
      <c r="E19" s="5">
        <v>612194</v>
      </c>
      <c r="G19" s="5">
        <v>158295</v>
      </c>
      <c r="H19" s="5">
        <v>226912</v>
      </c>
      <c r="I19" s="5">
        <v>76996</v>
      </c>
      <c r="J19" s="5">
        <v>295352</v>
      </c>
      <c r="K19" s="5">
        <v>134549</v>
      </c>
      <c r="L19" s="5">
        <v>295028</v>
      </c>
      <c r="M19" s="5">
        <v>225835</v>
      </c>
      <c r="N19" s="5">
        <v>361344</v>
      </c>
      <c r="O19" s="5">
        <v>299887</v>
      </c>
      <c r="P19" s="5">
        <v>409659</v>
      </c>
      <c r="Q19" s="5">
        <v>230761</v>
      </c>
      <c r="R19" s="5">
        <v>428751</v>
      </c>
    </row>
    <row r="20" spans="1:18" x14ac:dyDescent="0.2">
      <c r="A20" s="1">
        <v>572</v>
      </c>
      <c r="B20" t="s">
        <v>2</v>
      </c>
      <c r="C20" s="5">
        <v>0</v>
      </c>
      <c r="D20" s="6"/>
      <c r="E20" s="5">
        <v>0</v>
      </c>
      <c r="G20" s="5">
        <v>0</v>
      </c>
      <c r="H20" s="5">
        <v>2570</v>
      </c>
      <c r="I20" s="5">
        <v>6190</v>
      </c>
      <c r="J20" s="5">
        <v>4006</v>
      </c>
      <c r="K20" s="5">
        <v>9754</v>
      </c>
      <c r="L20" s="5">
        <v>25860</v>
      </c>
      <c r="M20" s="5">
        <v>24026</v>
      </c>
      <c r="N20" s="5">
        <v>29132</v>
      </c>
      <c r="O20" s="5">
        <v>0</v>
      </c>
      <c r="P20" s="5">
        <v>0</v>
      </c>
      <c r="Q20" s="5">
        <v>0</v>
      </c>
      <c r="R20" s="5">
        <v>0</v>
      </c>
    </row>
    <row r="21" spans="1:18" x14ac:dyDescent="0.2">
      <c r="A21" s="1">
        <v>573</v>
      </c>
      <c r="B21" t="s">
        <v>3</v>
      </c>
      <c r="C21" s="5">
        <v>0</v>
      </c>
      <c r="D21" s="6"/>
      <c r="E21" s="5">
        <v>0</v>
      </c>
      <c r="G21" s="5">
        <v>4145</v>
      </c>
      <c r="H21" s="5">
        <v>-994</v>
      </c>
      <c r="I21" s="5"/>
      <c r="J21" s="5"/>
      <c r="K21" s="5"/>
      <c r="L21" s="5"/>
      <c r="M21" s="5"/>
      <c r="N21" s="5">
        <v>5</v>
      </c>
      <c r="O21" s="5">
        <v>0</v>
      </c>
      <c r="P21" s="5">
        <v>0</v>
      </c>
      <c r="Q21" s="5">
        <v>0</v>
      </c>
      <c r="R21" s="5">
        <v>2108</v>
      </c>
    </row>
    <row r="22" spans="1:18" ht="15" x14ac:dyDescent="0.35">
      <c r="A22" s="1">
        <v>575</v>
      </c>
      <c r="B22" t="s">
        <v>4</v>
      </c>
      <c r="C22" s="9">
        <v>0</v>
      </c>
      <c r="D22" s="6"/>
      <c r="E22" s="9">
        <v>1716657</v>
      </c>
      <c r="G22" s="9">
        <v>750811</v>
      </c>
      <c r="H22" s="9">
        <v>794621</v>
      </c>
      <c r="I22" s="9">
        <v>979808</v>
      </c>
      <c r="J22" s="9">
        <v>937155</v>
      </c>
      <c r="K22" s="9">
        <v>908830</v>
      </c>
      <c r="L22" s="9">
        <v>1339759</v>
      </c>
      <c r="M22" s="9">
        <v>1580293</v>
      </c>
      <c r="N22" s="9">
        <v>1598163</v>
      </c>
      <c r="O22" s="9">
        <v>1707710</v>
      </c>
      <c r="P22" s="9">
        <v>1731904</v>
      </c>
      <c r="Q22" s="9">
        <v>1870407</v>
      </c>
      <c r="R22" s="9">
        <v>1689716</v>
      </c>
    </row>
    <row r="23" spans="1:18" ht="15" x14ac:dyDescent="0.35">
      <c r="B23" s="3" t="s">
        <v>5</v>
      </c>
      <c r="C23" s="13">
        <f>SUM(C9:C22)</f>
        <v>16939756</v>
      </c>
      <c r="D23" s="8"/>
      <c r="E23" s="13">
        <f>SUM(E9:E22)</f>
        <v>21240410</v>
      </c>
      <c r="G23" s="13">
        <f t="shared" ref="G23:R23" si="0">SUM(G9:G22)</f>
        <v>21528121</v>
      </c>
      <c r="H23" s="13">
        <f t="shared" si="0"/>
        <v>21127088</v>
      </c>
      <c r="I23" s="13">
        <f t="shared" si="0"/>
        <v>21067732</v>
      </c>
      <c r="J23" s="13">
        <f t="shared" si="0"/>
        <v>22416677</v>
      </c>
      <c r="K23" s="13">
        <f t="shared" si="0"/>
        <v>34712153</v>
      </c>
      <c r="L23" s="13">
        <f t="shared" si="0"/>
        <v>14816190</v>
      </c>
      <c r="M23" s="13">
        <f t="shared" si="0"/>
        <v>11810059</v>
      </c>
      <c r="N23" s="13">
        <f t="shared" si="0"/>
        <v>15440576</v>
      </c>
      <c r="O23" s="13">
        <f t="shared" si="0"/>
        <v>17891621</v>
      </c>
      <c r="P23" s="13">
        <f t="shared" si="0"/>
        <v>21149449</v>
      </c>
      <c r="Q23" s="13">
        <f t="shared" si="0"/>
        <v>19116439</v>
      </c>
      <c r="R23" s="13">
        <f t="shared" si="0"/>
        <v>22393110</v>
      </c>
    </row>
    <row r="26" spans="1:18" x14ac:dyDescent="0.2">
      <c r="C26" s="2" t="s">
        <v>22</v>
      </c>
      <c r="E26" s="4" t="s">
        <v>23</v>
      </c>
    </row>
    <row r="27" spans="1:18" x14ac:dyDescent="0.2">
      <c r="B27" t="s">
        <v>6</v>
      </c>
      <c r="C27" s="8">
        <f>SUM(G27:R27)</f>
        <v>206144174</v>
      </c>
      <c r="E27" s="8">
        <f>SUM(L27:R27)</f>
        <v>121445394</v>
      </c>
      <c r="G27" s="8">
        <f>$C$23</f>
        <v>16939756</v>
      </c>
      <c r="H27" s="8">
        <f t="shared" ref="H27:Q27" si="1">$C$23</f>
        <v>16939756</v>
      </c>
      <c r="I27" s="8">
        <f t="shared" si="1"/>
        <v>16939756</v>
      </c>
      <c r="J27" s="8">
        <f t="shared" si="1"/>
        <v>16939756</v>
      </c>
      <c r="K27" s="8">
        <f t="shared" si="1"/>
        <v>16939756</v>
      </c>
      <c r="L27" s="8">
        <f t="shared" si="1"/>
        <v>16939756</v>
      </c>
      <c r="M27" s="8">
        <f t="shared" si="1"/>
        <v>16939756</v>
      </c>
      <c r="N27" s="8">
        <f t="shared" si="1"/>
        <v>16939756</v>
      </c>
      <c r="O27" s="8">
        <f t="shared" si="1"/>
        <v>16939756</v>
      </c>
      <c r="P27" s="8">
        <f t="shared" si="1"/>
        <v>16939756</v>
      </c>
      <c r="Q27" s="8">
        <f t="shared" si="1"/>
        <v>16939756</v>
      </c>
      <c r="R27" s="8">
        <f>ROUND(C23/12*4,0)+ROUND(E23/12*8,0)</f>
        <v>19806858</v>
      </c>
    </row>
    <row r="28" spans="1:18" ht="15" x14ac:dyDescent="0.35">
      <c r="B28" t="s">
        <v>21</v>
      </c>
      <c r="C28" s="14">
        <f>SUM(G28:R28)</f>
        <v>243469215</v>
      </c>
      <c r="E28" s="14">
        <f>SUM(L28:R28)</f>
        <v>122617444</v>
      </c>
      <c r="G28" s="8">
        <f>G23</f>
        <v>21528121</v>
      </c>
      <c r="H28" s="8">
        <f t="shared" ref="H28:R28" si="2">H23</f>
        <v>21127088</v>
      </c>
      <c r="I28" s="8">
        <f t="shared" si="2"/>
        <v>21067732</v>
      </c>
      <c r="J28" s="8">
        <f t="shared" si="2"/>
        <v>22416677</v>
      </c>
      <c r="K28" s="8">
        <f t="shared" si="2"/>
        <v>34712153</v>
      </c>
      <c r="L28" s="8">
        <f t="shared" si="2"/>
        <v>14816190</v>
      </c>
      <c r="M28" s="8">
        <f t="shared" si="2"/>
        <v>11810059</v>
      </c>
      <c r="N28" s="8">
        <f t="shared" si="2"/>
        <v>15440576</v>
      </c>
      <c r="O28" s="8">
        <f t="shared" si="2"/>
        <v>17891621</v>
      </c>
      <c r="P28" s="8">
        <f t="shared" si="2"/>
        <v>21149449</v>
      </c>
      <c r="Q28" s="8">
        <f t="shared" si="2"/>
        <v>19116439</v>
      </c>
      <c r="R28" s="8">
        <f t="shared" si="2"/>
        <v>22393110</v>
      </c>
    </row>
    <row r="29" spans="1:18" x14ac:dyDescent="0.2">
      <c r="B29" t="s">
        <v>24</v>
      </c>
      <c r="C29" s="8">
        <f>C27-C28</f>
        <v>-37325041</v>
      </c>
      <c r="E29" s="8">
        <f>E27-E28</f>
        <v>-1172050</v>
      </c>
    </row>
  </sheetData>
  <pageMargins left="0.5" right="0.5" top="1" bottom="0.75" header="0.3" footer="0.3"/>
  <pageSetup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Wathen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EB3B26-1AE1-497B-9E13-DC5154122B0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1b08b4f-a83f-4c03-90bd-2a79b6ed54d4"/>
    <ds:schemaRef ds:uri="fb86b3f3-0c45-4486-810b-39aa0a1cbbd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7E8CC5E-CFBE-4CB6-BC7A-EBF77F51BD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43C02D-9A75-437B-912F-6684AF0C45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Transmission Expenses vs Recovery 2007-2018</dc:subject>
  <dc:creator>Czupik, Ted</dc:creator>
  <cp:lastModifiedBy>Gates, Debbie</cp:lastModifiedBy>
  <cp:lastPrinted>2020-01-31T18:04:32Z</cp:lastPrinted>
  <dcterms:created xsi:type="dcterms:W3CDTF">2020-01-08T17:27:15Z</dcterms:created>
  <dcterms:modified xsi:type="dcterms:W3CDTF">2020-01-31T18:04:35Z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