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defaultThemeVersion="124226"/>
  <mc:AlternateContent xmlns:mc="http://schemas.openxmlformats.org/markup-compatibility/2006">
    <mc:Choice Requires="x15">
      <x15ac:absPath xmlns:x15ac="http://schemas.microsoft.com/office/spreadsheetml/2010/11/ac" url="https://collaborate.duke-energy.com/sites/2019KYElectricRateCase/2019  KY Electric Rate Case/Discovery/AG 1st Set Data Requests/"/>
    </mc:Choice>
  </mc:AlternateContent>
  <bookViews>
    <workbookView xWindow="-1665" yWindow="2400" windowWidth="15480" windowHeight="3810" tabRatio="800" firstSheet="40" activeTab="47"/>
  </bookViews>
  <sheets>
    <sheet name="DEK Jan 2015" sheetId="115" state="hidden" r:id="rId1"/>
    <sheet name="DEK Feb 2015" sheetId="116" state="hidden" r:id="rId2"/>
    <sheet name="DEK Mar 2015" sheetId="117" state="hidden" r:id="rId3"/>
    <sheet name="DEK Q1 2015" sheetId="118" state="hidden" r:id="rId4"/>
    <sheet name="DEK Apr 2015" sheetId="119" state="hidden" r:id="rId5"/>
    <sheet name="DEK May 2015" sheetId="120" state="hidden" r:id="rId6"/>
    <sheet name="DEK Jun 2015" sheetId="121" state="hidden" r:id="rId7"/>
    <sheet name="DEK Q2 2015" sheetId="122" state="hidden" r:id="rId8"/>
    <sheet name="DEK Jul 2015" sheetId="123" state="hidden" r:id="rId9"/>
    <sheet name="DEK Aug 2015" sheetId="124" state="hidden" r:id="rId10"/>
    <sheet name="DEK Sep 2015" sheetId="125" state="hidden" r:id="rId11"/>
    <sheet name="DEK Q3 2015" sheetId="126" state="hidden" r:id="rId12"/>
    <sheet name="DEK Oct 2015" sheetId="127" state="hidden" r:id="rId13"/>
    <sheet name="DEK Nov 2015" sheetId="128" state="hidden" r:id="rId14"/>
    <sheet name="DEK Dec 2015" sheetId="129" state="hidden" r:id="rId15"/>
    <sheet name="DEK Q4 2015" sheetId="130" state="hidden" r:id="rId16"/>
    <sheet name="YTD 2015" sheetId="131" state="hidden" r:id="rId17"/>
    <sheet name="DEK Jan 2016" sheetId="132" state="hidden" r:id="rId18"/>
    <sheet name="DEK Feb 2016" sheetId="133" state="hidden" r:id="rId19"/>
    <sheet name="DEK Mar 2016" sheetId="134" state="hidden" r:id="rId20"/>
    <sheet name="DEK Q1 2016" sheetId="135" state="hidden" r:id="rId21"/>
    <sheet name="DEK Apr 2016" sheetId="136" state="hidden" r:id="rId22"/>
    <sheet name="DEK May 2016" sheetId="137" state="hidden" r:id="rId23"/>
    <sheet name="DEK Jun 2016" sheetId="138" state="hidden" r:id="rId24"/>
    <sheet name="DEK Q2 2016" sheetId="139" state="hidden" r:id="rId25"/>
    <sheet name="DEK Jul 2016" sheetId="140" state="hidden" r:id="rId26"/>
    <sheet name="DEK Aug 2016" sheetId="141" state="hidden" r:id="rId27"/>
    <sheet name="DEK Q3 2016" sheetId="142" state="hidden" r:id="rId28"/>
    <sheet name="DEK Oct 2016" sheetId="143" state="hidden" r:id="rId29"/>
    <sheet name="DEK Dec 2016" sheetId="144" state="hidden" r:id="rId30"/>
    <sheet name="DEK Jan 2017" sheetId="145" state="hidden" r:id="rId31"/>
    <sheet name="DEK Feb 2017" sheetId="146" state="hidden" r:id="rId32"/>
    <sheet name="DEK Q1 2017" sheetId="147" state="hidden" r:id="rId33"/>
    <sheet name="DEK Apr 2017" sheetId="148" state="hidden" r:id="rId34"/>
    <sheet name="DEK May 2017" sheetId="149" state="hidden" r:id="rId35"/>
    <sheet name="DEK Q2 2017" sheetId="150" state="hidden" r:id="rId36"/>
    <sheet name="DEK Jul 2017" sheetId="151" state="hidden" r:id="rId37"/>
    <sheet name="DEK Aug 2017" sheetId="152" state="hidden" r:id="rId38"/>
    <sheet name="DEK Q3 2017" sheetId="153" state="hidden" r:id="rId39"/>
    <sheet name="DEK Oct 2017 " sheetId="154" state="hidden" r:id="rId40"/>
    <sheet name="Summary" sheetId="172" r:id="rId41"/>
    <sheet name="Amort 0182366" sheetId="173" r:id="rId42"/>
    <sheet name="Amort 0182525" sheetId="179" r:id="rId43"/>
    <sheet name="Amort 0182714" sheetId="176" r:id="rId44"/>
    <sheet name="Amort 0182700" sheetId="178" r:id="rId45"/>
    <sheet name="Amort 0182050" sheetId="174" r:id="rId46"/>
    <sheet name="Amort 0186108" sheetId="180" r:id="rId47"/>
    <sheet name="Amort 0182493" sheetId="18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P">#REF!</definedName>
    <definedName name="__bev1">#REF!</definedName>
    <definedName name="__bev2">#REF!</definedName>
    <definedName name="__new2">'[1]Intangible (2)'!$A$11:$C$40</definedName>
    <definedName name="_0419110_Equity">#REF!</definedName>
    <definedName name="_0432000_Debt">#REF!</definedName>
    <definedName name="_121">#REF!</definedName>
    <definedName name="_12840">#REF!</definedName>
    <definedName name="_141">#REF!</definedName>
    <definedName name="_253">#REF!</definedName>
    <definedName name="_25399">#REF!</definedName>
    <definedName name="_bev1">#REF!</definedName>
    <definedName name="_bev2">#REF!</definedName>
    <definedName name="_Dist_Bin" hidden="1">#REF!</definedName>
    <definedName name="_Dist_Values" hidden="1">#REF!</definedName>
    <definedName name="_FPC1">#REF!</definedName>
    <definedName name="_FPC10">#REF!</definedName>
    <definedName name="_FPC11">#REF!</definedName>
    <definedName name="_FPC12">#REF!</definedName>
    <definedName name="_FPC13">#REF!</definedName>
    <definedName name="_FPC14">#REF!</definedName>
    <definedName name="_FPC15">#REF!</definedName>
    <definedName name="_FPC16">#REF!</definedName>
    <definedName name="_FPC17">#REF!</definedName>
    <definedName name="_FPC18">#REF!</definedName>
    <definedName name="_FPC19">#REF!</definedName>
    <definedName name="_FPC2">#REF!</definedName>
    <definedName name="_FPC20">#REF!</definedName>
    <definedName name="_FPC21">#REF!</definedName>
    <definedName name="_FPC22">#REF!</definedName>
    <definedName name="_FPC23">#REF!</definedName>
    <definedName name="_FPC24">#REF!</definedName>
    <definedName name="_FPC25">#REF!</definedName>
    <definedName name="_FPC26">#REF!</definedName>
    <definedName name="_FPC27">#REF!</definedName>
    <definedName name="_FPC28">#REF!</definedName>
    <definedName name="_FPC29">#REF!</definedName>
    <definedName name="_FPC3">#REF!</definedName>
    <definedName name="_FPC30">#REF!</definedName>
    <definedName name="_FPC4">#REF!</definedName>
    <definedName name="_FPC5">#REF!</definedName>
    <definedName name="_FPC6">#REF!</definedName>
    <definedName name="_FPC7">#REF!</definedName>
    <definedName name="_FPC8">#REF!</definedName>
    <definedName name="_FPC9">#REF!</definedName>
    <definedName name="_Key1" hidden="1">'[2]TAX_EQUITY_Field Serv'!$A$10</definedName>
    <definedName name="_new2">'[1]Intangible (2)'!$A$11:$C$40</definedName>
    <definedName name="_Order1" hidden="1">255</definedName>
    <definedName name="_Sort" hidden="1">'[2]TAX_EQUITY_Field Serv'!$A$10:$E$76</definedName>
    <definedName name="_WIT1">[3]LOGO!$G$6</definedName>
    <definedName name="_WIT10">[3]LOGO!$G$15</definedName>
    <definedName name="_Wit11">[3]LOGO!$G$16</definedName>
    <definedName name="_WIT2">[3]LOGO!$G$7</definedName>
    <definedName name="_WIT3">[3]LOGO!$G$8</definedName>
    <definedName name="_WIT4">[3]LOGO!$G$9</definedName>
    <definedName name="_WIT6">[3]LOGO!$G$11</definedName>
    <definedName name="_WIT7">[4]LOGO!$G$12</definedName>
    <definedName name="_WIT9">[3]LOGO!$G$14</definedName>
    <definedName name="AccessLink">[5]DatabaseLink!#REF!</definedName>
    <definedName name="Account_Breakdown">#REF!</definedName>
    <definedName name="Acct1186">#REF!</definedName>
    <definedName name="ACCTS">#REF!</definedName>
    <definedName name="ACT_TRANS">#REF!</definedName>
    <definedName name="ACTUAL_vs._BUDGET___MONTH">#REF!</definedName>
    <definedName name="ACTUAL_vs._BUDGET___YTD">#REF!</definedName>
    <definedName name="ACTUAL_vs._FORECAST___MONTH">#REF!</definedName>
    <definedName name="ACTUAL_vs._PRIOR_YEAR___MONTH">#REF!</definedName>
    <definedName name="ACTUAL_vs._PRIOR_YEAR___YTD">#REF!</definedName>
    <definedName name="ACTUALS">#REF!</definedName>
    <definedName name="AFDC_Reversal_Variance">#REF!</definedName>
    <definedName name="AINT_BAL">'[1]Down Aint Bal.'!$A$1:$E$27</definedName>
    <definedName name="Aint_dollars">#REF!</definedName>
    <definedName name="Aint1">#REF!</definedName>
    <definedName name="Allocation_of_Earnings">#REF!</definedName>
    <definedName name="ALLOCTABLE">[4]ALLOCTABLE!$A$3:$D$36</definedName>
    <definedName name="AMORT1">#REF!</definedName>
    <definedName name="AmountBP">'[3]BASE PERIOD'!$E$11:$E$222</definedName>
    <definedName name="AmountFP">'[3]FORECASTED PERIOD'!$E$11:$E$222</definedName>
    <definedName name="Analysis_Area">#REF!</definedName>
    <definedName name="Annualfields">#REF!</definedName>
    <definedName name="anscount" hidden="1">1</definedName>
    <definedName name="APA">#REF!</definedName>
    <definedName name="APN">#REF!</definedName>
    <definedName name="APPORT">[3]SCH_E1!$AH$281</definedName>
    <definedName name="Apr_Y1">#REF!</definedName>
    <definedName name="Apr_Y2">#REF!</definedName>
    <definedName name="Apr_Y3">#REF!</definedName>
    <definedName name="April">#REF!</definedName>
    <definedName name="April_recon">#REF!</definedName>
    <definedName name="AS2DocOpenMode" hidden="1">"AS2DocumentEdit"</definedName>
    <definedName name="Asset_Depr_Class_Debt">#REF!</definedName>
    <definedName name="Asset_Depr_Class_Equity">#REF!</definedName>
    <definedName name="Asset_Depr_Class_Gross">#REF!</definedName>
    <definedName name="asset_sale_detail">#REF!</definedName>
    <definedName name="AST">#REF!</definedName>
    <definedName name="ASwaptionTrades">#REF!</definedName>
    <definedName name="ATrades">#REF!</definedName>
    <definedName name="Attachment_C">#REF!</definedName>
    <definedName name="Attachment_F">#REF!</definedName>
    <definedName name="Aug_y1">#REF!</definedName>
    <definedName name="Aug_Y2">#REF!</definedName>
    <definedName name="Aug_Y3">#REF!</definedName>
    <definedName name="August">#REF!</definedName>
    <definedName name="August_recon">#REF!</definedName>
    <definedName name="AVA">#REF!</definedName>
    <definedName name="avamonth">#REF!</definedName>
    <definedName name="avaqtr">#REF!</definedName>
    <definedName name="AVB">#REF!</definedName>
    <definedName name="avbmonth">#REF!</definedName>
    <definedName name="Base_Period">[3]LOGO!$B$10</definedName>
    <definedName name="Base1">'[3]BASE PERIOD'!$F$11:$F$222</definedName>
    <definedName name="Base10">'[3]BASE PERIOD'!$O$11:$O$222</definedName>
    <definedName name="Base11">'[3]BASE PERIOD'!$P$11:$P$222</definedName>
    <definedName name="Base12">'[3]BASE PERIOD'!$Q$11:$Q$222</definedName>
    <definedName name="Base2">'[3]BASE PERIOD'!$G$11:$G$222</definedName>
    <definedName name="Base3">'[3]BASE PERIOD'!$H$11:$H$222</definedName>
    <definedName name="Base4">'[3]BASE PERIOD'!$I$11:$I$222</definedName>
    <definedName name="Base5">'[3]BASE PERIOD'!$J$11:$J$222</definedName>
    <definedName name="Base6">'[3]BASE PERIOD'!$K$11:$K$222</definedName>
    <definedName name="Base7">'[3]BASE PERIOD'!$L$11:$L$222</definedName>
    <definedName name="Base8">'[3]BASE PERIOD'!$M$11:$M$222</definedName>
    <definedName name="Base9">'[3]BASE PERIOD'!$N$11:$N$222</definedName>
    <definedName name="BaseFuelCurrent">[3]LOGO!$C$31</definedName>
    <definedName name="BaseFuelProposed">[3]LOGO!$C$32</definedName>
    <definedName name="BasePeriod">'[3]BASE PERIOD'!$A$11:$Q$222</definedName>
    <definedName name="BD_TRANS">#REF!</definedName>
    <definedName name="Begin">#REF!</definedName>
    <definedName name="BPActRev1">'[3]BP Actual Rev'!$E$2:$E$63</definedName>
    <definedName name="BPActRev2">'[3]BP Actual Rev'!$F$2:$F$63</definedName>
    <definedName name="BPActRev3">'[3]BP Actual Rev'!$G$2:$G$63</definedName>
    <definedName name="BPActRev4">'[3]BP Actual Rev'!$H$2:$H$63</definedName>
    <definedName name="BPActRev5">'[3]BP Actual Rev'!$I$2:$I$63</definedName>
    <definedName name="BPActRev6">'[3]BP Actual Rev'!$J$2:$J$63</definedName>
    <definedName name="BPActRevAccount">'[3]BP Actual Rev'!$A$2:$A$63</definedName>
    <definedName name="BPActRevProduct">'[3]BP Actual Rev'!$C$2:$C$63</definedName>
    <definedName name="BPActual">'[3]BP Actual Exp'!$A$1:$N$213</definedName>
    <definedName name="BPrev1">'[3]BP Rev by Product'!$G$12:$G$65</definedName>
    <definedName name="BPrev10">'[3]BP Rev by Product'!$P$12:$P$65</definedName>
    <definedName name="BPrev11">'[3]BP Rev by Product'!$Q$12:$Q$65</definedName>
    <definedName name="BPrev12">'[3]BP Rev by Product'!$R$12:$R$65</definedName>
    <definedName name="BPrev2">'[3]BP Rev by Product'!$H$12:$H$65</definedName>
    <definedName name="BPrev3">'[3]BP Rev by Product'!$I$12:$I$65</definedName>
    <definedName name="BPrev4">'[3]BP Rev by Product'!$J$12:$J$65</definedName>
    <definedName name="BPrev5">'[3]BP Rev by Product'!$K$12:$K$65</definedName>
    <definedName name="BPrev6">'[3]BP Rev by Product'!$L$12:$L$65</definedName>
    <definedName name="BPrev7">'[3]BP Rev by Product'!$M$12:$M$65</definedName>
    <definedName name="BPrev8">'[3]BP Rev by Product'!$N$12:$N$65</definedName>
    <definedName name="BPrev9">'[3]BP Rev by Product'!$O$12:$O$65</definedName>
    <definedName name="BPrevACCT">'[3]BP Rev by Product'!$A$12:$A$65</definedName>
    <definedName name="BPREVPROD">'[3]BP Rev by Product'!$D$12:$D$65</definedName>
    <definedName name="broker_id">[6]Ref_dat!$G$3:$G$9</definedName>
    <definedName name="bs_ca_cash">#REF!</definedName>
    <definedName name="bs_cl_std">#REF!</definedName>
    <definedName name="bs_cp_cms">#REF!</definedName>
    <definedName name="bs_cp_ltd">#REF!</definedName>
    <definedName name="bs_dc_other">#REF!</definedName>
    <definedName name="bs_other_prop">#REF!</definedName>
    <definedName name="bs_subs_invest">#REF!</definedName>
    <definedName name="bs_tot_assets">#REF!</definedName>
    <definedName name="bs_tot_liab_eq">#REF!</definedName>
    <definedName name="BU">#REF!</definedName>
    <definedName name="bu_home">#REF!</definedName>
    <definedName name="BU_names">'[7]BU names'!$B$3:$C$124</definedName>
    <definedName name="BUDGET_AFDC_SPLIT">[8]INPUT!#REF!</definedName>
    <definedName name="BUDGETS">#REF!</definedName>
    <definedName name="BUN">#REF!</definedName>
    <definedName name="bus_expan_detail">#REF!</definedName>
    <definedName name="Bus_Unit">#REF!</definedName>
    <definedName name="BUV">#REF!</definedName>
    <definedName name="buy_sell_id">[6]Ref_dat!$D$3:$D$4</definedName>
    <definedName name="C_1_PROEXP">[3]SCH_C1!$G$23</definedName>
    <definedName name="CASE">[4]LOGO!$B$6</definedName>
    <definedName name="cboxdate">[6]Ref_dat!$K$16</definedName>
    <definedName name="cbr_ratios">#REF!</definedName>
    <definedName name="cf_amort">#REF!</definedName>
    <definedName name="cf_amort_iss_CMDCC">#REF!</definedName>
    <definedName name="cf_amort_iss_CMDEC">#REF!</definedName>
    <definedName name="cf_amort_iss_CMDEG">#REF!</definedName>
    <definedName name="cf_amort_iss_CMELE">#REF!</definedName>
    <definedName name="cf_amort_ret_CMDCC">#REF!</definedName>
    <definedName name="cf_amort_ret_CMDEC">#REF!</definedName>
    <definedName name="cf_amort_ret_CMDEG">#REF!</definedName>
    <definedName name="cf_amort_ret_CMELE">#REF!</definedName>
    <definedName name="cf_asset_sales">#REF!</definedName>
    <definedName name="cf_asset_sales_CMDCC">#REF!</definedName>
    <definedName name="cf_asset_sales_CMDEC">#REF!</definedName>
    <definedName name="cf_asset_sales_CMDEG">#REF!</definedName>
    <definedName name="cf_asset_sales_CMELE">#REF!</definedName>
    <definedName name="cf_asset_sales_cres">#REF!</definedName>
    <definedName name="cf_asset_sales_crmw">#REF!</definedName>
    <definedName name="cf_asset_sales_dadj">#REF!</definedName>
    <definedName name="cf_asset_sales_dcc">#REF!</definedName>
    <definedName name="cf_asset_sales_dccw">#REF!</definedName>
    <definedName name="cf_asset_sales_dcom">#REF!</definedName>
    <definedName name="cf_asset_sales_degw">#REF!</definedName>
    <definedName name="cf_asset_sales_deiw">#REF!</definedName>
    <definedName name="cf_asset_sales_denw">#REF!</definedName>
    <definedName name="cf_asset_sales_desi">#REF!</definedName>
    <definedName name="cf_asset_sales_dess">#REF!</definedName>
    <definedName name="cf_asset_sales_dnet">#REF!</definedName>
    <definedName name="cf_asset_sales_dpbg">#REF!</definedName>
    <definedName name="cf_asset_sales_dsol">#REF!</definedName>
    <definedName name="cf_asset_sales_elec">#REF!</definedName>
    <definedName name="cf_asset_sales_esvc">#REF!</definedName>
    <definedName name="cf_asset_sales_fnco">#REF!</definedName>
    <definedName name="cf_asset_sales_fsac">#REF!</definedName>
    <definedName name="cf_asset_sales_fser">#REF!</definedName>
    <definedName name="cf_asset_sales_fstp">#REF!</definedName>
    <definedName name="cf_asset_sales_gadd">#REF!</definedName>
    <definedName name="cf_asset_sales_gadi">#REF!</definedName>
    <definedName name="cf_asset_sales_govd">#REF!</definedName>
    <definedName name="cf_asset_sales_gove">#REF!</definedName>
    <definedName name="cf_asset_sales_nep">#REF!</definedName>
    <definedName name="cf_asset_sales_resm">#REF!</definedName>
    <definedName name="cf_asset_sales_sols">#REF!</definedName>
    <definedName name="cf_asset_sales_tam">#REF!</definedName>
    <definedName name="cf_asset_sales_tsc">#REF!</definedName>
    <definedName name="cf_asset_sales_vent">#REF!</definedName>
    <definedName name="cf_bef_fin_ebit">#REF!</definedName>
    <definedName name="cf_cap_exp">#REF!</definedName>
    <definedName name="cf_cap_exp_CMDCC">#REF!</definedName>
    <definedName name="cf_cap_exp_CMDEC">#REF!</definedName>
    <definedName name="cf_cap_exp_CMDEG">#REF!</definedName>
    <definedName name="cf_cap_exp_CMELE">#REF!</definedName>
    <definedName name="cf_cap_exp_cres">#REF!</definedName>
    <definedName name="cf_cap_exp_crmw">#REF!</definedName>
    <definedName name="cf_cap_exp_dadj">#REF!</definedName>
    <definedName name="cf_cap_exp_dcc">#REF!</definedName>
    <definedName name="cf_cap_exp_dccw">#REF!</definedName>
    <definedName name="cf_cap_exp_dcom">#REF!</definedName>
    <definedName name="cf_cap_exp_degw">#REF!</definedName>
    <definedName name="cf_cap_exp_deiw">#REF!</definedName>
    <definedName name="cf_cap_exp_denw">#REF!</definedName>
    <definedName name="cf_cap_exp_desi">#REF!</definedName>
    <definedName name="cf_cap_exp_dess">#REF!</definedName>
    <definedName name="cf_cap_exp_dfd">#REF!</definedName>
    <definedName name="cf_cap_exp_dnet">#REF!</definedName>
    <definedName name="cf_cap_exp_dpbg">#REF!</definedName>
    <definedName name="cf_cap_exp_dsol">#REF!</definedName>
    <definedName name="cf_cap_exp_elec">#REF!</definedName>
    <definedName name="cf_cap_exp_esvc">#REF!</definedName>
    <definedName name="cf_cap_exp_fnco">#REF!</definedName>
    <definedName name="cf_cap_exp_fsac">#REF!</definedName>
    <definedName name="cf_cap_exp_fser">#REF!</definedName>
    <definedName name="cf_cap_exp_fstp">#REF!</definedName>
    <definedName name="cf_cap_exp_gadd">#REF!</definedName>
    <definedName name="cf_cap_exp_gadi">#REF!</definedName>
    <definedName name="cf_cap_exp_govd">#REF!</definedName>
    <definedName name="cf_cap_exp_gove">#REF!</definedName>
    <definedName name="cf_cap_exp_nep">#REF!</definedName>
    <definedName name="cf_cap_exp_resm">#REF!</definedName>
    <definedName name="cf_cap_exp_sols">#REF!</definedName>
    <definedName name="cf_cap_exp_tam">#REF!</definedName>
    <definedName name="cf_cap_exp_tsc">#REF!</definedName>
    <definedName name="cf_cap_exp_vent">#REF!</definedName>
    <definedName name="cf_cap_exp_watr">#REF!</definedName>
    <definedName name="cf_cap_exp_west">#REF!</definedName>
    <definedName name="cf_cash_chg">#REF!</definedName>
    <definedName name="cf_cash_chg_CM1DC">#REF!</definedName>
    <definedName name="cf_cash_chg_CM1DE">#REF!</definedName>
    <definedName name="cf_cash_chg_CM1EL">#REF!</definedName>
    <definedName name="cf_cash_chg_CM4DC">#REF!</definedName>
    <definedName name="cf_cash_chg_CM4DE">#REF!</definedName>
    <definedName name="cf_cash_chg_CM4EL">#REF!</definedName>
    <definedName name="cf_cash_chg_CMDCC">#REF!</definedName>
    <definedName name="cf_cash_chg_CMDEC">#REF!</definedName>
    <definedName name="cf_cash_chg_CMDEG">#REF!</definedName>
    <definedName name="cf_cash_chg_CMELE">#REF!</definedName>
    <definedName name="cf_cash_chg_cres">#REF!</definedName>
    <definedName name="cf_cash_chg_crmw">#REF!</definedName>
    <definedName name="cf_cash_chg_dadj">#REF!</definedName>
    <definedName name="cf_cash_chg_dcc">#REF!</definedName>
    <definedName name="cf_cash_chg_dccw">#REF!</definedName>
    <definedName name="cf_cash_chg_dcom">#REF!</definedName>
    <definedName name="cf_cash_chg_degw">#REF!</definedName>
    <definedName name="cf_cash_chg_deiw">#REF!</definedName>
    <definedName name="cf_cash_chg_denw">#REF!</definedName>
    <definedName name="cf_cash_chg_desi">#REF!</definedName>
    <definedName name="cf_cash_chg_dess">#REF!</definedName>
    <definedName name="cf_cash_chg_dfd">#REF!</definedName>
    <definedName name="cf_cash_chg_dnet">#REF!</definedName>
    <definedName name="cf_cash_chg_dpbg">#REF!</definedName>
    <definedName name="cf_cash_chg_dsol">#REF!</definedName>
    <definedName name="cf_cash_chg_elec">#REF!</definedName>
    <definedName name="cf_cash_chg_esvc">#REF!</definedName>
    <definedName name="cf_cash_chg_fnco">#REF!</definedName>
    <definedName name="cf_cash_chg_fsac">#REF!</definedName>
    <definedName name="cf_cash_chg_fser">#REF!</definedName>
    <definedName name="cf_cash_chg_fstp">#REF!</definedName>
    <definedName name="cf_cash_chg_gadd">#REF!</definedName>
    <definedName name="cf_cash_chg_gadi">#REF!</definedName>
    <definedName name="cf_cash_chg_govd">#REF!</definedName>
    <definedName name="cf_cash_chg_gove">#REF!</definedName>
    <definedName name="cf_cash_chg_nep">#REF!</definedName>
    <definedName name="cf_cash_chg_resm">#REF!</definedName>
    <definedName name="cf_cash_chg_sols">#REF!</definedName>
    <definedName name="cf_cash_chg_tam">#REF!</definedName>
    <definedName name="cf_cash_chg_tsc">#REF!</definedName>
    <definedName name="cf_cash_chg_vent">#REF!</definedName>
    <definedName name="cf_cash_chg_watr">#REF!</definedName>
    <definedName name="cf_cash_chg_west">#REF!</definedName>
    <definedName name="cf_cms_iss">#REF!</definedName>
    <definedName name="cf_cms_iss_CMDCC">#REF!</definedName>
    <definedName name="cf_cms_iss_CMDEC">#REF!</definedName>
    <definedName name="cf_cms_iss_CMDEG">#REF!</definedName>
    <definedName name="cf_cms_iss_CMELE">#REF!</definedName>
    <definedName name="cf_cms_iss_cres">#REF!</definedName>
    <definedName name="cf_cms_iss_crmw">#REF!</definedName>
    <definedName name="cf_cms_iss_dadj">#REF!</definedName>
    <definedName name="cf_cms_iss_dcc">#REF!</definedName>
    <definedName name="cf_cms_iss_dccw">#REF!</definedName>
    <definedName name="cf_cms_iss_dcom">#REF!</definedName>
    <definedName name="cf_cms_iss_degw">#REF!</definedName>
    <definedName name="cf_cms_iss_deiw">#REF!</definedName>
    <definedName name="cf_cms_iss_denw">#REF!</definedName>
    <definedName name="cf_cms_iss_desi">#REF!</definedName>
    <definedName name="cf_cms_iss_dess">#REF!</definedName>
    <definedName name="cf_cms_iss_dfd">#REF!</definedName>
    <definedName name="cf_cms_iss_dnet">#REF!</definedName>
    <definedName name="cf_cms_iss_dpbg">#REF!</definedName>
    <definedName name="cf_cms_iss_dsol">#REF!</definedName>
    <definedName name="cf_cms_iss_elec">#REF!</definedName>
    <definedName name="cf_cms_iss_esvc">#REF!</definedName>
    <definedName name="cf_cms_iss_fnco">#REF!</definedName>
    <definedName name="cf_cms_iss_fsac">#REF!</definedName>
    <definedName name="cf_cms_iss_fser">#REF!</definedName>
    <definedName name="cf_cms_iss_fstp">#REF!</definedName>
    <definedName name="cf_cms_iss_gadd">#REF!</definedName>
    <definedName name="cf_cms_iss_gadi">#REF!</definedName>
    <definedName name="cf_cms_iss_govd">#REF!</definedName>
    <definedName name="cf_cms_iss_gove">#REF!</definedName>
    <definedName name="cf_cms_iss_nep">#REF!</definedName>
    <definedName name="cf_cms_iss_resm">#REF!</definedName>
    <definedName name="cf_cms_iss_sols">#REF!</definedName>
    <definedName name="cf_cms_iss_tam">#REF!</definedName>
    <definedName name="cf_cms_iss_tsc">#REF!</definedName>
    <definedName name="cf_cms_iss_vent">#REF!</definedName>
    <definedName name="cf_cms_iss_watr">#REF!</definedName>
    <definedName name="cf_cms_iss_west">#REF!</definedName>
    <definedName name="cf_convert_iss_CM1DC">#REF!</definedName>
    <definedName name="cf_convert_iss_CM1DE">#REF!</definedName>
    <definedName name="cf_convert_iss_CM1EL">#REF!</definedName>
    <definedName name="cf_convert_iss_CM4EL">#REF!</definedName>
    <definedName name="cf_convert_iss_CMDCC">#REF!</definedName>
    <definedName name="cf_convert_iss_CMDEC">#REF!</definedName>
    <definedName name="cf_convert_iss_CMDEG">#REF!</definedName>
    <definedName name="cf_convert_iss_CMELE">#REF!</definedName>
    <definedName name="cf_convert_iss_dcc">#REF!</definedName>
    <definedName name="cf_convert_iss_dpbg">#REF!</definedName>
    <definedName name="cf_convert_iss_nep">#REF!</definedName>
    <definedName name="cf_cs_div_CMDCC">#REF!</definedName>
    <definedName name="cf_cs_div_CMDEC">#REF!</definedName>
    <definedName name="cf_cs_div_CMDEG">#REF!</definedName>
    <definedName name="cf_cs_div_CMELE">#REF!</definedName>
    <definedName name="cf_deprec">#REF!</definedName>
    <definedName name="cf_deprec_CMDCC">#REF!</definedName>
    <definedName name="cf_deprec_CMDEC">#REF!</definedName>
    <definedName name="cf_deprec_CMDEG">#REF!</definedName>
    <definedName name="cf_deprec_CMELE">#REF!</definedName>
    <definedName name="cf_deprec_cres">#REF!</definedName>
    <definedName name="cf_deprec_crmw">#REF!</definedName>
    <definedName name="cf_deprec_dcc">#REF!</definedName>
    <definedName name="cf_deprec_dccw">#REF!</definedName>
    <definedName name="cf_deprec_dcom">#REF!</definedName>
    <definedName name="cf_deprec_desi">#REF!</definedName>
    <definedName name="cf_deprec_dfd">#REF!</definedName>
    <definedName name="cf_deprec_dnet">#REF!</definedName>
    <definedName name="cf_deprec_dpbg">#REF!</definedName>
    <definedName name="cf_deprec_dsol">#REF!</definedName>
    <definedName name="cf_deprec_elec">#REF!</definedName>
    <definedName name="cf_deprec_esvc">#REF!</definedName>
    <definedName name="cf_deprec_fnco">#REF!</definedName>
    <definedName name="cf_deprec_fsac">#REF!</definedName>
    <definedName name="cf_deprec_fstp">#REF!</definedName>
    <definedName name="cf_deprec_gadd">#REF!</definedName>
    <definedName name="cf_deprec_gadi">#REF!</definedName>
    <definedName name="cf_deprec_govd">#REF!</definedName>
    <definedName name="cf_deprec_gove">#REF!</definedName>
    <definedName name="cf_deprec_nep">#REF!</definedName>
    <definedName name="cf_deprec_resm">#REF!</definedName>
    <definedName name="cf_deprec_tam">#REF!</definedName>
    <definedName name="cf_deprec_tsc">#REF!</definedName>
    <definedName name="cf_deprec_vent">#REF!</definedName>
    <definedName name="cf_dtax">#REF!</definedName>
    <definedName name="cf_expan_capx">#REF!</definedName>
    <definedName name="cf_expan_capx_acq">#REF!</definedName>
    <definedName name="cf_expan_capx_adcc">#REF!</definedName>
    <definedName name="cf_expan_capx_adj">#REF!</definedName>
    <definedName name="cf_expan_capx_adj_esvc">#REF!</definedName>
    <definedName name="cf_expan_capx_adpb">#REF!</definedName>
    <definedName name="cf_expan_capx_CM1DC">#REF!</definedName>
    <definedName name="cf_expan_capx_CM1DE">#REF!</definedName>
    <definedName name="cf_expan_capx_CM1EL">#REF!</definedName>
    <definedName name="cf_expan_capx_CM4DC">#REF!</definedName>
    <definedName name="cf_expan_capx_CM4DE">#REF!</definedName>
    <definedName name="cf_expan_capx_CM4EL">#REF!</definedName>
    <definedName name="cf_expan_capx_CMDCC">#REF!</definedName>
    <definedName name="cf_expan_capx_CMDEC">#REF!</definedName>
    <definedName name="cf_expan_capx_CMDEG">#REF!</definedName>
    <definedName name="cf_expan_capx_CMELE">#REF!</definedName>
    <definedName name="cf_expan_capx_cres">#REF!</definedName>
    <definedName name="cf_expan_capx_crmw">#REF!</definedName>
    <definedName name="cf_expan_capx_dadj">#REF!</definedName>
    <definedName name="cf_expan_capx_dcc">#REF!</definedName>
    <definedName name="cf_expan_capx_dccw">#REF!</definedName>
    <definedName name="cf_expan_capx_dcom">#REF!</definedName>
    <definedName name="cf_expan_capx_degw">#REF!</definedName>
    <definedName name="cf_expan_capx_deiw">#REF!</definedName>
    <definedName name="cf_expan_capx_denw">#REF!</definedName>
    <definedName name="cf_expan_capx_desi">#REF!</definedName>
    <definedName name="cf_expan_capx_dess">#REF!</definedName>
    <definedName name="cf_expan_capx_dev">#REF!</definedName>
    <definedName name="cf_expan_capx_dfd">#REF!</definedName>
    <definedName name="cf_expan_capx_dnet">#REF!</definedName>
    <definedName name="cf_expan_capx_dpbg">#REF!</definedName>
    <definedName name="cf_expan_capx_dsol">#REF!</definedName>
    <definedName name="cf_expan_capx_elec">#REF!</definedName>
    <definedName name="cf_expan_capx_esvc">#REF!</definedName>
    <definedName name="cf_expan_capx_etrn">#REF!</definedName>
    <definedName name="cf_expan_capx_fnco">#REF!</definedName>
    <definedName name="cf_expan_capx_fsac">#REF!</definedName>
    <definedName name="cf_expan_capx_fser">#REF!</definedName>
    <definedName name="cf_expan_capx_fstp">#REF!</definedName>
    <definedName name="cf_expan_capx_gadd">#REF!</definedName>
    <definedName name="cf_expan_capx_gadi">#REF!</definedName>
    <definedName name="cf_expan_capx_govd">#REF!</definedName>
    <definedName name="cf_expan_capx_gove">#REF!</definedName>
    <definedName name="cf_expan_capx_gross">#REF!</definedName>
    <definedName name="cf_expan_capx_iden">#REF!</definedName>
    <definedName name="cf_expan_capx_iden_cres">#REF!</definedName>
    <definedName name="cf_expan_capx_iden_crmw">#REF!</definedName>
    <definedName name="cf_expan_capx_iden_dadj">#REF!</definedName>
    <definedName name="cf_expan_capx_iden_dcc">#REF!</definedName>
    <definedName name="cf_expan_capx_iden_dccw">#REF!</definedName>
    <definedName name="cf_expan_capx_iden_dcom">#REF!</definedName>
    <definedName name="cf_expan_capx_iden_degw">#REF!</definedName>
    <definedName name="cf_expan_capx_iden_deiw">#REF!</definedName>
    <definedName name="cf_expan_capx_iden_denw">#REF!</definedName>
    <definedName name="cf_expan_capx_iden_desi">#REF!</definedName>
    <definedName name="cf_expan_capx_iden_dess">#REF!</definedName>
    <definedName name="cf_expan_capx_iden_dfd">#REF!</definedName>
    <definedName name="cf_expan_capx_iden_dnet">#REF!</definedName>
    <definedName name="cf_expan_capx_iden_dpbg">#REF!</definedName>
    <definedName name="cf_expan_capx_iden_dsol">#REF!</definedName>
    <definedName name="cf_expan_capx_iden_elec">#REF!</definedName>
    <definedName name="cf_expan_capx_iden_esvc">#REF!</definedName>
    <definedName name="cf_expan_capx_iden_fnco">#REF!</definedName>
    <definedName name="cf_expan_capx_iden_fsac">#REF!</definedName>
    <definedName name="cf_expan_capx_iden_fser">#REF!</definedName>
    <definedName name="cf_expan_capx_iden_fstp">#REF!</definedName>
    <definedName name="cf_expan_capx_iden_gadd">#REF!</definedName>
    <definedName name="cf_expan_capx_iden_gadi">#REF!</definedName>
    <definedName name="cf_expan_capx_iden_govd">#REF!</definedName>
    <definedName name="cf_expan_capx_iden_gove">#REF!</definedName>
    <definedName name="cf_expan_capx_iden_nep">#REF!</definedName>
    <definedName name="cf_expan_capx_iden_resm">#REF!</definedName>
    <definedName name="cf_expan_capx_iden_sols">#REF!</definedName>
    <definedName name="cf_expan_capx_iden_tam">#REF!</definedName>
    <definedName name="cf_expan_capx_iden_tsc">#REF!</definedName>
    <definedName name="cf_expan_capx_iden_vent">#REF!</definedName>
    <definedName name="cf_expan_capx_iden_watr">#REF!</definedName>
    <definedName name="cf_expan_capx_iden_west">#REF!</definedName>
    <definedName name="cf_expan_capx_nep">#REF!</definedName>
    <definedName name="cf_expan_capx_net">#REF!</definedName>
    <definedName name="cf_expan_capx_net_minit">#REF!</definedName>
    <definedName name="cf_expan_capx_oth">#REF!</definedName>
    <definedName name="cf_expan_capx_resm">#REF!</definedName>
    <definedName name="cf_expan_capx_sols">#REF!</definedName>
    <definedName name="cf_expan_capx_tam">#REF!</definedName>
    <definedName name="cf_expan_capx_tsc">#REF!</definedName>
    <definedName name="cf_expan_capx_uniden">#REF!</definedName>
    <definedName name="cf_expan_capx_vent">#REF!</definedName>
    <definedName name="cf_expan_capx_watr">#REF!</definedName>
    <definedName name="cf_expan_capx_west">#REF!</definedName>
    <definedName name="cf_fin_act">#REF!</definedName>
    <definedName name="cf_fin_act_CMDCC">#REF!</definedName>
    <definedName name="cf_fin_act_CMDEC">#REF!</definedName>
    <definedName name="cf_fin_act_CMDEG">#REF!</definedName>
    <definedName name="cf_fin_act_CMELE">#REF!</definedName>
    <definedName name="cf_fin_act_cres">#REF!</definedName>
    <definedName name="cf_fin_act_crmw">#REF!</definedName>
    <definedName name="cf_fin_act_dadj">#REF!</definedName>
    <definedName name="cf_fin_act_DCC">#REF!</definedName>
    <definedName name="cf_fin_act_dccw">#REF!</definedName>
    <definedName name="cf_fin_act_dcom">#REF!</definedName>
    <definedName name="cf_fin_act_degw">#REF!</definedName>
    <definedName name="cf_fin_act_deiw">#REF!</definedName>
    <definedName name="cf_fin_act_denw">#REF!</definedName>
    <definedName name="cf_fin_act_desi">#REF!</definedName>
    <definedName name="cf_fin_act_dess">#REF!</definedName>
    <definedName name="cf_fin_act_dfd">#REF!</definedName>
    <definedName name="cf_fin_act_dnet">#REF!</definedName>
    <definedName name="cf_fin_act_dpbg">#REF!</definedName>
    <definedName name="cf_fin_act_dsol">#REF!</definedName>
    <definedName name="cf_fin_act_elec">#REF!</definedName>
    <definedName name="cf_fin_act_esvc">#REF!</definedName>
    <definedName name="cf_fin_act_fnco">#REF!</definedName>
    <definedName name="cf_fin_act_fsac">#REF!</definedName>
    <definedName name="cf_fin_act_fser">#REF!</definedName>
    <definedName name="cf_fin_act_fstp">#REF!</definedName>
    <definedName name="cf_fin_act_gadd">#REF!</definedName>
    <definedName name="cf_fin_act_gadi">#REF!</definedName>
    <definedName name="cf_fin_act_govd">#REF!</definedName>
    <definedName name="cf_fin_act_gove">#REF!</definedName>
    <definedName name="cf_fin_act_nep">#REF!</definedName>
    <definedName name="cf_fin_act_resm">#REF!</definedName>
    <definedName name="cf_fin_act_sols">#REF!</definedName>
    <definedName name="cf_fin_act_tam">#REF!</definedName>
    <definedName name="cf_fin_act_tsc">#REF!</definedName>
    <definedName name="cf_fin_act_vent">#REF!</definedName>
    <definedName name="cf_fin_act_watr">#REF!</definedName>
    <definedName name="cf_fin_act_west">#REF!</definedName>
    <definedName name="cf_inv_act_CMDCC">#REF!</definedName>
    <definedName name="cf_inv_act_CMDEC">#REF!</definedName>
    <definedName name="cf_inv_act_CMDEG">#REF!</definedName>
    <definedName name="cf_inv_act_CMELE">#REF!</definedName>
    <definedName name="cf_inv_act_cres">#REF!</definedName>
    <definedName name="cf_inv_act_crmw">#REF!</definedName>
    <definedName name="cf_inv_act_dadj">#REF!</definedName>
    <definedName name="cf_inv_act_DCC">#REF!</definedName>
    <definedName name="cf_inv_act_dccw">#REF!</definedName>
    <definedName name="cf_inv_act_dcom">#REF!</definedName>
    <definedName name="cf_inv_act_degw">#REF!</definedName>
    <definedName name="cf_inv_act_deiw">#REF!</definedName>
    <definedName name="cf_inv_act_denw">#REF!</definedName>
    <definedName name="cf_inv_act_desi">#REF!</definedName>
    <definedName name="cf_inv_act_dess">#REF!</definedName>
    <definedName name="cf_inv_act_dfd">#REF!</definedName>
    <definedName name="cf_inv_act_dnet">#REF!</definedName>
    <definedName name="cf_inv_act_dpbg">#REF!</definedName>
    <definedName name="cf_inv_act_dsol">#REF!</definedName>
    <definedName name="cf_inv_act_elec">#REF!</definedName>
    <definedName name="cf_inv_act_esvc">#REF!</definedName>
    <definedName name="cf_inv_act_fnco">#REF!</definedName>
    <definedName name="cf_inv_act_fsac">#REF!</definedName>
    <definedName name="cf_inv_act_fser">#REF!</definedName>
    <definedName name="cf_inv_act_fstp">#REF!</definedName>
    <definedName name="cf_inv_act_gadd">#REF!</definedName>
    <definedName name="cf_inv_act_gadi">#REF!</definedName>
    <definedName name="cf_inv_act_govd">#REF!</definedName>
    <definedName name="cf_inv_act_gove">#REF!</definedName>
    <definedName name="cf_inv_act_nep">#REF!</definedName>
    <definedName name="cf_inv_act_resm">#REF!</definedName>
    <definedName name="cf_inv_act_sols">#REF!</definedName>
    <definedName name="cf_inv_act_tam">#REF!</definedName>
    <definedName name="cf_inv_act_tsc">#REF!</definedName>
    <definedName name="cf_inv_act_vent">#REF!</definedName>
    <definedName name="cf_inv_act_watr">#REF!</definedName>
    <definedName name="cf_inv_act_west">#REF!</definedName>
    <definedName name="cf_invsec">#REF!</definedName>
    <definedName name="cf_invsec_CMDCC">#REF!</definedName>
    <definedName name="cf_invsec_CMDEC">#REF!</definedName>
    <definedName name="cf_invsec_CMDEG">#REF!</definedName>
    <definedName name="cf_invsec_CMELE">#REF!</definedName>
    <definedName name="cf_invsec_cres">#REF!</definedName>
    <definedName name="cf_invsec_crmw">#REF!</definedName>
    <definedName name="cf_invsec_dadj">#REF!</definedName>
    <definedName name="cf_invsec_dcc">#REF!</definedName>
    <definedName name="cf_invsec_dccw">#REF!</definedName>
    <definedName name="cf_invsec_dcom">#REF!</definedName>
    <definedName name="cf_invsec_degw">#REF!</definedName>
    <definedName name="cf_invsec_deiw">#REF!</definedName>
    <definedName name="cf_invsec_denw">#REF!</definedName>
    <definedName name="cf_invsec_desi">#REF!</definedName>
    <definedName name="cf_invsec_dess">#REF!</definedName>
    <definedName name="cf_invsec_dfd">#REF!</definedName>
    <definedName name="cf_invsec_dnet">#REF!</definedName>
    <definedName name="cf_invsec_dpbg">#REF!</definedName>
    <definedName name="cf_invsec_dsol">#REF!</definedName>
    <definedName name="cf_invsec_elec">#REF!</definedName>
    <definedName name="cf_invsec_esvc">#REF!</definedName>
    <definedName name="cf_invsec_fnco">#REF!</definedName>
    <definedName name="cf_invsec_fsac">#REF!</definedName>
    <definedName name="cf_invsec_fser">#REF!</definedName>
    <definedName name="cf_invsec_fstp">#REF!</definedName>
    <definedName name="cf_invsec_gadd">#REF!</definedName>
    <definedName name="cf_invsec_gadi">#REF!</definedName>
    <definedName name="cf_invsec_govd">#REF!</definedName>
    <definedName name="cf_invsec_gove">#REF!</definedName>
    <definedName name="cf_invsec_nep">#REF!</definedName>
    <definedName name="cf_invsec_resm">#REF!</definedName>
    <definedName name="cf_invsec_sols">#REF!</definedName>
    <definedName name="cf_invsec_tam">#REF!</definedName>
    <definedName name="cf_invsec_tsc">#REF!</definedName>
    <definedName name="cf_invsec_vent">#REF!</definedName>
    <definedName name="cf_invsec_watr">#REF!</definedName>
    <definedName name="cf_invsec_west">#REF!</definedName>
    <definedName name="cf_joint_earn">#REF!</definedName>
    <definedName name="cf_ltd_iss">#REF!</definedName>
    <definedName name="cf_ltd_iss_CMDCC">#REF!</definedName>
    <definedName name="cf_ltd_iss_CMDEC">#REF!</definedName>
    <definedName name="cf_ltd_iss_CMDEG">#REF!</definedName>
    <definedName name="cf_ltd_iss_CMELE">#REF!</definedName>
    <definedName name="cf_ltd_iss_cres">#REF!</definedName>
    <definedName name="cf_ltd_iss_crmw">#REF!</definedName>
    <definedName name="cf_ltd_iss_dadj">#REF!</definedName>
    <definedName name="cf_ltd_iss_DCC">#REF!</definedName>
    <definedName name="cf_ltd_iss_dccw">#REF!</definedName>
    <definedName name="cf_ltd_iss_dcom">#REF!</definedName>
    <definedName name="cf_ltd_iss_debt">#REF!</definedName>
    <definedName name="cf_ltd_iss_degw">#REF!</definedName>
    <definedName name="cf_ltd_iss_deiw">#REF!</definedName>
    <definedName name="cf_ltd_iss_denw">#REF!</definedName>
    <definedName name="cf_ltd_iss_desi">#REF!</definedName>
    <definedName name="cf_ltd_iss_dess">#REF!</definedName>
    <definedName name="cf_ltd_iss_dfd">#REF!</definedName>
    <definedName name="cf_ltd_iss_dnet">#REF!</definedName>
    <definedName name="cf_ltd_iss_dpbg">#REF!</definedName>
    <definedName name="cf_ltd_iss_dsol">#REF!</definedName>
    <definedName name="cf_ltd_iss_elec">#REF!</definedName>
    <definedName name="cf_ltd_iss_esvc">#REF!</definedName>
    <definedName name="cf_ltd_iss_fnco">#REF!</definedName>
    <definedName name="cf_ltd_iss_fsac">#REF!</definedName>
    <definedName name="cf_ltd_iss_fser">#REF!</definedName>
    <definedName name="cf_ltd_iss_fstp">#REF!</definedName>
    <definedName name="cf_ltd_iss_gadd">#REF!</definedName>
    <definedName name="cf_ltd_iss_gadi">#REF!</definedName>
    <definedName name="cf_ltd_iss_govd">#REF!</definedName>
    <definedName name="cf_ltd_iss_gove">#REF!</definedName>
    <definedName name="cf_ltd_iss_inco">#REF!</definedName>
    <definedName name="cf_ltd_iss_inco_esvc">#REF!</definedName>
    <definedName name="cf_ltd_iss_nep">#REF!</definedName>
    <definedName name="cf_ltd_iss_resm">#REF!</definedName>
    <definedName name="cf_ltd_iss_sols">#REF!</definedName>
    <definedName name="cf_ltd_iss_tam">#REF!</definedName>
    <definedName name="cf_ltd_iss_tsc">#REF!</definedName>
    <definedName name="cf_ltd_iss_vent">#REF!</definedName>
    <definedName name="cf_ltd_iss_watr">#REF!</definedName>
    <definedName name="cf_ltd_iss_west">#REF!</definedName>
    <definedName name="cf_maint_capx">#REF!</definedName>
    <definedName name="cf_maint_capx_adcc">#REF!</definedName>
    <definedName name="cf_maint_capx_adj">#REF!</definedName>
    <definedName name="cf_maint_capx_adpb">#REF!</definedName>
    <definedName name="cf_maint_capx_CM1DC">#REF!</definedName>
    <definedName name="cf_maint_capx_CM1DE">#REF!</definedName>
    <definedName name="cf_maint_capx_CM1EL">#REF!</definedName>
    <definedName name="cf_maint_capx_CM4DC">#REF!</definedName>
    <definedName name="cf_maint_capx_CM4DE">#REF!</definedName>
    <definedName name="cf_maint_capx_CM4EL">#REF!</definedName>
    <definedName name="cf_maint_capx_CMDCC">#REF!</definedName>
    <definedName name="cf_maint_capx_CMDEC">#REF!</definedName>
    <definedName name="cf_maint_capx_CMDEG">#REF!</definedName>
    <definedName name="cf_maint_capx_CMELE">#REF!</definedName>
    <definedName name="cf_maint_capx_cres">#REF!</definedName>
    <definedName name="cf_maint_capx_crmw">#REF!</definedName>
    <definedName name="cf_maint_capx_dadj">#REF!</definedName>
    <definedName name="cf_maint_capx_dcc">#REF!</definedName>
    <definedName name="cf_maint_capx_dccw">#REF!</definedName>
    <definedName name="cf_maint_capx_dcom">#REF!</definedName>
    <definedName name="cf_maint_capx_degw">#REF!</definedName>
    <definedName name="cf_maint_capx_deiw">#REF!</definedName>
    <definedName name="cf_maint_capx_denw">#REF!</definedName>
    <definedName name="cf_maint_capx_desi">#REF!</definedName>
    <definedName name="cf_maint_capx_dess">#REF!</definedName>
    <definedName name="cf_maint_capx_dfd">#REF!</definedName>
    <definedName name="cf_maint_capx_dnet">#REF!</definedName>
    <definedName name="cf_maint_capx_dpbg">#REF!</definedName>
    <definedName name="cf_maint_capx_dsol">#REF!</definedName>
    <definedName name="cf_maint_capx_elec">#REF!</definedName>
    <definedName name="cf_maint_capx_esvc">#REF!</definedName>
    <definedName name="cf_maint_capx_etrn">#REF!</definedName>
    <definedName name="cf_maint_capx_fnco">#REF!</definedName>
    <definedName name="cf_maint_capx_fsac">#REF!</definedName>
    <definedName name="cf_maint_capx_fser">#REF!</definedName>
    <definedName name="cf_maint_capx_fstp">#REF!</definedName>
    <definedName name="cf_maint_capx_gadd">#REF!</definedName>
    <definedName name="cf_maint_capx_gadi">#REF!</definedName>
    <definedName name="cf_maint_capx_govd">#REF!</definedName>
    <definedName name="cf_maint_capx_gove">#REF!</definedName>
    <definedName name="cf_maint_capx_gross">#REF!</definedName>
    <definedName name="cf_maint_capx_iden">#REF!</definedName>
    <definedName name="cf_maint_capx_iden_cres">#REF!</definedName>
    <definedName name="cf_maint_capx_iden_crmw">#REF!</definedName>
    <definedName name="cf_maint_capx_iden_dadj">#REF!</definedName>
    <definedName name="cf_maint_capx_iden_dcc">#REF!</definedName>
    <definedName name="cf_maint_capx_iden_dccw">#REF!</definedName>
    <definedName name="cf_maint_capx_iden_dcom">#REF!</definedName>
    <definedName name="cf_maint_capx_iden_degw">#REF!</definedName>
    <definedName name="cf_maint_capx_iden_deiw">#REF!</definedName>
    <definedName name="cf_maint_capx_iden_denw">#REF!</definedName>
    <definedName name="cf_maint_capx_iden_desi">#REF!</definedName>
    <definedName name="cf_maint_capx_iden_dess">#REF!</definedName>
    <definedName name="cf_maint_capx_iden_dfd">#REF!</definedName>
    <definedName name="cf_maint_capx_iden_dnet">#REF!</definedName>
    <definedName name="cf_maint_capx_iden_dpbg">#REF!</definedName>
    <definedName name="cf_maint_capx_iden_dsol">#REF!</definedName>
    <definedName name="cf_maint_capx_iden_elec">#REF!</definedName>
    <definedName name="cf_maint_capx_iden_esvc">#REF!</definedName>
    <definedName name="cf_maint_capx_iden_fnco">#REF!</definedName>
    <definedName name="cf_maint_capx_iden_fsac">#REF!</definedName>
    <definedName name="cf_maint_capx_iden_fser">#REF!</definedName>
    <definedName name="cf_maint_capx_iden_fstp">#REF!</definedName>
    <definedName name="cf_maint_capx_iden_gadd">#REF!</definedName>
    <definedName name="cf_maint_capx_iden_gadi">#REF!</definedName>
    <definedName name="cf_maint_capx_iden_govd">#REF!</definedName>
    <definedName name="cf_maint_capx_iden_gove">#REF!</definedName>
    <definedName name="cf_maint_capx_iden_nep">#REF!</definedName>
    <definedName name="cf_maint_capx_iden_resm">#REF!</definedName>
    <definedName name="cf_maint_capx_iden_sols">#REF!</definedName>
    <definedName name="cf_maint_capx_iden_tam">#REF!</definedName>
    <definedName name="cf_maint_capx_iden_tsc">#REF!</definedName>
    <definedName name="cf_maint_capx_iden_vent">#REF!</definedName>
    <definedName name="cf_maint_capx_iden_watr">#REF!</definedName>
    <definedName name="cf_maint_capx_iden_west">#REF!</definedName>
    <definedName name="cf_maint_capx_nep">#REF!</definedName>
    <definedName name="cf_maint_capx_net">#REF!</definedName>
    <definedName name="cf_maint_capx_net_minit">#REF!</definedName>
    <definedName name="cf_maint_capx_resm">#REF!</definedName>
    <definedName name="cf_maint_capx_sols">#REF!</definedName>
    <definedName name="cf_maint_capx_tam">#REF!</definedName>
    <definedName name="cf_maint_capx_tsc">#REF!</definedName>
    <definedName name="cf_maint_capx_uniden">#REF!</definedName>
    <definedName name="cf_maint_capx_vent">#REF!</definedName>
    <definedName name="cf_maint_capx_watr">#REF!</definedName>
    <definedName name="cf_maint_capx_west">#REF!</definedName>
    <definedName name="cf_minint_dist_CM1DC">#REF!</definedName>
    <definedName name="cf_minint_dist_CM1DE">#REF!</definedName>
    <definedName name="cf_minint_dist_CM1EL">#REF!</definedName>
    <definedName name="cf_minint_dist_CM4DC">#REF!</definedName>
    <definedName name="cf_minint_dist_CM4DE">#REF!</definedName>
    <definedName name="cf_minint_dist_CM4EL">#REF!</definedName>
    <definedName name="cf_minint_dist_CMDCC">#REF!</definedName>
    <definedName name="cf_minint_dist_CMDEC">#REF!</definedName>
    <definedName name="cf_minint_dist_CMDEG">#REF!</definedName>
    <definedName name="cf_minint_dist_CMELE">#REF!</definedName>
    <definedName name="cf_minint_dist_cres">#REF!</definedName>
    <definedName name="cf_minint_dist_crmw">#REF!</definedName>
    <definedName name="cf_minint_dist_dcc">#REF!</definedName>
    <definedName name="cf_minint_dist_dccw">#REF!</definedName>
    <definedName name="cf_minint_dist_dcom">#REF!</definedName>
    <definedName name="cf_minint_dist_desi">#REF!</definedName>
    <definedName name="cf_minint_dist_dfd">#REF!</definedName>
    <definedName name="cf_minint_dist_dnet">#REF!</definedName>
    <definedName name="cf_minint_dist_dpbg">#REF!</definedName>
    <definedName name="cf_minint_dist_dsol">#REF!</definedName>
    <definedName name="cf_minint_dist_elec">#REF!</definedName>
    <definedName name="cf_minint_dist_esvc">#REF!</definedName>
    <definedName name="cf_minint_dist_fnco">#REF!</definedName>
    <definedName name="cf_minint_dist_fsac">#REF!</definedName>
    <definedName name="cf_minint_dist_fstp">#REF!</definedName>
    <definedName name="cf_minint_dist_gadd">#REF!</definedName>
    <definedName name="cf_minint_dist_gadi">#REF!</definedName>
    <definedName name="cf_minint_dist_govd">#REF!</definedName>
    <definedName name="cf_minint_dist_gove">#REF!</definedName>
    <definedName name="cf_minint_dist_nep">#REF!</definedName>
    <definedName name="cf_minint_dist_resm">#REF!</definedName>
    <definedName name="cf_minint_dist_tam">#REF!</definedName>
    <definedName name="cf_minint_dist_tsc">#REF!</definedName>
    <definedName name="cf_minint_dist_vent">#REF!</definedName>
    <definedName name="cf_net_proceeds">#REF!</definedName>
    <definedName name="cf_oper_CMDCC">#REF!</definedName>
    <definedName name="cf_oper_CMDEC">#REF!</definedName>
    <definedName name="cf_oper_CMDEG">#REF!</definedName>
    <definedName name="cf_oper_CMELE">#REF!</definedName>
    <definedName name="cf_oper_cres">#REF!</definedName>
    <definedName name="cf_oper_crmw">#REF!</definedName>
    <definedName name="cf_oper_dadj">#REF!</definedName>
    <definedName name="cf_oper_DCC">#REF!</definedName>
    <definedName name="cf_oper_dccw">#REF!</definedName>
    <definedName name="cf_oper_dcom">#REF!</definedName>
    <definedName name="cf_oper_degw">#REF!</definedName>
    <definedName name="cf_oper_deiw">#REF!</definedName>
    <definedName name="cf_oper_denw">#REF!</definedName>
    <definedName name="cf_oper_desi">#REF!</definedName>
    <definedName name="cf_oper_dess">#REF!</definedName>
    <definedName name="cf_oper_dfd">#REF!</definedName>
    <definedName name="cf_oper_dnet">#REF!</definedName>
    <definedName name="cf_oper_dpbg">#REF!</definedName>
    <definedName name="cf_oper_dsol">#REF!</definedName>
    <definedName name="cf_oper_elec">#REF!</definedName>
    <definedName name="cf_oper_esvc">#REF!</definedName>
    <definedName name="cf_oper_fnco">#REF!</definedName>
    <definedName name="cf_oper_fsac">#REF!</definedName>
    <definedName name="cf_oper_fser">#REF!</definedName>
    <definedName name="cf_oper_fstp">#REF!</definedName>
    <definedName name="cf_oper_gadd">#REF!</definedName>
    <definedName name="cf_oper_gadi">#REF!</definedName>
    <definedName name="cf_oper_govd">#REF!</definedName>
    <definedName name="cf_oper_gove">#REF!</definedName>
    <definedName name="cf_oper_nep">#REF!</definedName>
    <definedName name="cf_oper_resm">#REF!</definedName>
    <definedName name="cf_oper_sols">#REF!</definedName>
    <definedName name="cf_oper_tam">#REF!</definedName>
    <definedName name="cf_oper_tsc">#REF!</definedName>
    <definedName name="cf_oper_vent">#REF!</definedName>
    <definedName name="cf_oper_watr">#REF!</definedName>
    <definedName name="cf_oper_west">#REF!</definedName>
    <definedName name="cf_oth">#REF!</definedName>
    <definedName name="cf_oth_asset_loss">#REF!</definedName>
    <definedName name="cf_oth_invest_CM1DC">#REF!</definedName>
    <definedName name="cf_oth_invest_CM1DE">#REF!</definedName>
    <definedName name="cf_oth_invest_CM1EL">#REF!</definedName>
    <definedName name="cf_oth_invest_CM4DC">#REF!</definedName>
    <definedName name="cf_oth_invest_CM4DE">#REF!</definedName>
    <definedName name="cf_oth_invest_CM4EL">#REF!</definedName>
    <definedName name="cf_oth_invest_CMDCC">#REF!</definedName>
    <definedName name="cf_oth_invest_CMDEC">#REF!</definedName>
    <definedName name="cf_oth_invest_CMDEG">#REF!</definedName>
    <definedName name="cf_oth_invest_CMELE">#REF!</definedName>
    <definedName name="cf_oth_invest_cres">#REF!</definedName>
    <definedName name="cf_oth_invest_crmw">#REF!</definedName>
    <definedName name="cf_oth_invest_dcc">#REF!</definedName>
    <definedName name="cf_oth_invest_dccw">#REF!</definedName>
    <definedName name="cf_oth_invest_dcom">#REF!</definedName>
    <definedName name="cf_oth_invest_desi">#REF!</definedName>
    <definedName name="cf_oth_invest_dfd">#REF!</definedName>
    <definedName name="cf_oth_invest_dnet">#REF!</definedName>
    <definedName name="cf_oth_invest_dpbg">#REF!</definedName>
    <definedName name="cf_oth_invest_dsol">#REF!</definedName>
    <definedName name="cf_oth_invest_elec">#REF!</definedName>
    <definedName name="cf_oth_invest_esvc">#REF!</definedName>
    <definedName name="cf_oth_invest_fnco">#REF!</definedName>
    <definedName name="cf_oth_invest_fsac">#REF!</definedName>
    <definedName name="cf_oth_invest_fstp">#REF!</definedName>
    <definedName name="cf_oth_invest_gadd">#REF!</definedName>
    <definedName name="cf_oth_invest_gadi">#REF!</definedName>
    <definedName name="cf_oth_invest_govd">#REF!</definedName>
    <definedName name="cf_oth_invest_gove">#REF!</definedName>
    <definedName name="cf_oth_invest_nep">#REF!</definedName>
    <definedName name="cf_oth_invest_resm">#REF!</definedName>
    <definedName name="cf_oth_invest_tam">#REF!</definedName>
    <definedName name="cf_oth_invest_tsc">#REF!</definedName>
    <definedName name="cf_oth_invest_vent">#REF!</definedName>
    <definedName name="cf_otherinv">#REF!</definedName>
    <definedName name="cf_pfin_iss_CMDCC">#REF!</definedName>
    <definedName name="cf_pfin_iss_CMDEC">#REF!</definedName>
    <definedName name="cf_pfin_iss_CMDEG">#REF!</definedName>
    <definedName name="cf_pfin_iss_CMELE">#REF!</definedName>
    <definedName name="cf_pfs_div_CMDCC">#REF!</definedName>
    <definedName name="cf_pfs_div_CMDEC">#REF!</definedName>
    <definedName name="cf_pfs_div_CMDEG">#REF!</definedName>
    <definedName name="cf_pfs_div_CMELE">#REF!</definedName>
    <definedName name="cf_pfs_div_cres">#REF!</definedName>
    <definedName name="cf_pfs_div_crmw">#REF!</definedName>
    <definedName name="cf_pfs_div_dadj">#REF!</definedName>
    <definedName name="cf_pfs_div_dcc">#REF!</definedName>
    <definedName name="cf_pfs_div_dccw">#REF!</definedName>
    <definedName name="cf_pfs_div_dcom">#REF!</definedName>
    <definedName name="cf_pfs_div_degw">#REF!</definedName>
    <definedName name="cf_pfs_div_deiw">#REF!</definedName>
    <definedName name="cf_pfs_div_denw">#REF!</definedName>
    <definedName name="cf_pfs_div_desi">#REF!</definedName>
    <definedName name="cf_pfs_div_dess">#REF!</definedName>
    <definedName name="cf_pfs_div_dfd">#REF!</definedName>
    <definedName name="cf_pfs_div_dnet">#REF!</definedName>
    <definedName name="cf_pfs_div_dpbg">#REF!</definedName>
    <definedName name="cf_pfs_div_dsol">#REF!</definedName>
    <definedName name="cf_pfs_div_elec">#REF!</definedName>
    <definedName name="cf_pfs_div_esvc">#REF!</definedName>
    <definedName name="cf_pfs_div_fnco">#REF!</definedName>
    <definedName name="cf_pfs_div_fsac">#REF!</definedName>
    <definedName name="cf_pfs_div_fser">#REF!</definedName>
    <definedName name="cf_pfs_div_fstp">#REF!</definedName>
    <definedName name="cf_pfs_div_gadd">#REF!</definedName>
    <definedName name="cf_pfs_div_gadi">#REF!</definedName>
    <definedName name="cf_pfs_div_govd">#REF!</definedName>
    <definedName name="cf_pfs_div_gove">#REF!</definedName>
    <definedName name="cf_pfs_div_nep">#REF!</definedName>
    <definedName name="cf_pfs_div_resm">#REF!</definedName>
    <definedName name="cf_pfs_div_sols">#REF!</definedName>
    <definedName name="cf_pfs_div_tam">#REF!</definedName>
    <definedName name="cf_pfs_div_tsc">#REF!</definedName>
    <definedName name="cf_pfs_div_vent">#REF!</definedName>
    <definedName name="cf_pfs_div_watr">#REF!</definedName>
    <definedName name="cf_pfs_div_west">#REF!</definedName>
    <definedName name="cf_prefinance_CMDCC">#REF!</definedName>
    <definedName name="cf_prefinance_CMDEC">#REF!</definedName>
    <definedName name="cf_prefinance_CMDEG">#REF!</definedName>
    <definedName name="cf_prefinance_CMELE">#REF!</definedName>
    <definedName name="cf_quip_iss_CMDCC">#REF!</definedName>
    <definedName name="cf_quip_iss_CMDEC">#REF!</definedName>
    <definedName name="cf_quip_iss_CMDEG">#REF!</definedName>
    <definedName name="cf_quip_iss_CMELE">#REF!</definedName>
    <definedName name="cf_quip_iss_DCC">#REF!</definedName>
    <definedName name="cf_quip_iss_dpbg">#REF!</definedName>
    <definedName name="cf_quip_iss_nep">#REF!</definedName>
    <definedName name="cf_stb_iss">#REF!</definedName>
    <definedName name="cf_stb_iss_CMDCC">#REF!</definedName>
    <definedName name="cf_stb_iss_CMDEC">#REF!</definedName>
    <definedName name="cf_stb_iss_CMDEG">#REF!</definedName>
    <definedName name="cf_stb_iss_CMELE">#REF!</definedName>
    <definedName name="cf_stb_iss_cres">#REF!</definedName>
    <definedName name="cf_stb_iss_crmw">#REF!</definedName>
    <definedName name="cf_stb_iss_dadj">#REF!</definedName>
    <definedName name="cf_stb_iss_DCC">#REF!</definedName>
    <definedName name="cf_stb_iss_dccw">#REF!</definedName>
    <definedName name="cf_stb_iss_dcom">#REF!</definedName>
    <definedName name="cf_stb_iss_degw">#REF!</definedName>
    <definedName name="cf_stb_iss_deiw">#REF!</definedName>
    <definedName name="cf_stb_iss_denw">#REF!</definedName>
    <definedName name="cf_stb_iss_desi">#REF!</definedName>
    <definedName name="cf_stb_iss_dess">#REF!</definedName>
    <definedName name="cf_stb_iss_dfd">#REF!</definedName>
    <definedName name="cf_stb_iss_dnet">#REF!</definedName>
    <definedName name="cf_stb_iss_dpbg">#REF!</definedName>
    <definedName name="cf_stb_iss_dsol">#REF!</definedName>
    <definedName name="cf_stb_iss_elec">#REF!</definedName>
    <definedName name="cf_stb_iss_esvc">#REF!</definedName>
    <definedName name="cf_stb_iss_fnco">#REF!</definedName>
    <definedName name="cf_stb_iss_fsac">#REF!</definedName>
    <definedName name="cf_stb_iss_fser">#REF!</definedName>
    <definedName name="cf_stb_iss_fstp">#REF!</definedName>
    <definedName name="cf_stb_iss_gadd">#REF!</definedName>
    <definedName name="cf_stb_iss_gadi">#REF!</definedName>
    <definedName name="cf_stb_iss_govd">#REF!</definedName>
    <definedName name="cf_stb_iss_gove">#REF!</definedName>
    <definedName name="cf_stb_iss_nep">#REF!</definedName>
    <definedName name="cf_stb_iss_resm">#REF!</definedName>
    <definedName name="cf_stb_iss_sols">#REF!</definedName>
    <definedName name="cf_stb_iss_tam">#REF!</definedName>
    <definedName name="cf_stb_iss_tsc">#REF!</definedName>
    <definedName name="cf_stb_iss_vent">#REF!</definedName>
    <definedName name="cf_stb_iss_watr">#REF!</definedName>
    <definedName name="cf_stb_iss_west">#REF!</definedName>
    <definedName name="cf_subs_div">#REF!</definedName>
    <definedName name="cf_subs_earn">#REF!</definedName>
    <definedName name="cf_subs_invest">#REF!</definedName>
    <definedName name="cf_tot_ret">#REF!</definedName>
    <definedName name="cf_tot_ret_CMDCC">#REF!</definedName>
    <definedName name="cf_tot_ret_CMDEC">#REF!</definedName>
    <definedName name="cf_tot_ret_CMDEG">#REF!</definedName>
    <definedName name="cf_tot_ret_CMELE">#REF!</definedName>
    <definedName name="cf_tot_ret_cres">#REF!</definedName>
    <definedName name="cf_tot_ret_crmw">#REF!</definedName>
    <definedName name="cf_tot_ret_dadj">#REF!</definedName>
    <definedName name="cf_tot_ret_dcc">#REF!</definedName>
    <definedName name="cf_tot_ret_dccw">#REF!</definedName>
    <definedName name="cf_tot_ret_dcom">#REF!</definedName>
    <definedName name="cf_tot_ret_degw">#REF!</definedName>
    <definedName name="cf_tot_ret_deiw">#REF!</definedName>
    <definedName name="cf_tot_ret_denw">#REF!</definedName>
    <definedName name="cf_tot_ret_desi">#REF!</definedName>
    <definedName name="cf_tot_ret_dess">#REF!</definedName>
    <definedName name="cf_tot_ret_dfd">#REF!</definedName>
    <definedName name="cf_tot_ret_div">#REF!</definedName>
    <definedName name="cf_tot_ret_dnet">#REF!</definedName>
    <definedName name="cf_tot_ret_dpbg">#REF!</definedName>
    <definedName name="cf_tot_ret_dsol">#REF!</definedName>
    <definedName name="cf_tot_ret_elec">#REF!</definedName>
    <definedName name="cf_tot_ret_esvc">#REF!</definedName>
    <definedName name="cf_tot_ret_fnco">#REF!</definedName>
    <definedName name="cf_tot_ret_fsac">#REF!</definedName>
    <definedName name="cf_tot_ret_fser">#REF!</definedName>
    <definedName name="cf_tot_ret_fstp">#REF!</definedName>
    <definedName name="cf_tot_ret_gadd">#REF!</definedName>
    <definedName name="cf_tot_ret_gadi">#REF!</definedName>
    <definedName name="cf_tot_ret_govd">#REF!</definedName>
    <definedName name="cf_tot_ret_gove">#REF!</definedName>
    <definedName name="cf_tot_ret_nep">#REF!</definedName>
    <definedName name="cf_tot_ret_resm">#REF!</definedName>
    <definedName name="cf_tot_ret_sols">#REF!</definedName>
    <definedName name="cf_tot_ret_tam">#REF!</definedName>
    <definedName name="cf_tot_ret_tsc">#REF!</definedName>
    <definedName name="cf_tot_ret_vent">#REF!</definedName>
    <definedName name="cf_tot_ret_watr">#REF!</definedName>
    <definedName name="cf_tot_ret_west">#REF!</definedName>
    <definedName name="cf_vfs_iss_CM1DC">#REF!</definedName>
    <definedName name="cf_vfs_iss_CM1DE">#REF!</definedName>
    <definedName name="cf_vfs_iss_CM1EL">#REF!</definedName>
    <definedName name="cf_vfs_iss_CM4EL">#REF!</definedName>
    <definedName name="cf_vfs_iss_CMDCC">#REF!</definedName>
    <definedName name="cf_vfs_iss_CMDEC">#REF!</definedName>
    <definedName name="cf_vfs_iss_CMDEG">#REF!</definedName>
    <definedName name="cf_vfs_iss_CMELE">#REF!</definedName>
    <definedName name="cf_vfs_iss_dpbg">#REF!</definedName>
    <definedName name="cf_vfs_iss_nep">#REF!</definedName>
    <definedName name="cf_wc">#REF!</definedName>
    <definedName name="cf_wc_minint_be">#REF!</definedName>
    <definedName name="cf_wc_minint_be_CM1DE">#REF!</definedName>
    <definedName name="cf_wc_minint_be_CM1EL">#REF!</definedName>
    <definedName name="cf_wc_minint_be_CM4DE">#REF!</definedName>
    <definedName name="cf_wc_minint_be_CM4EL">#REF!</definedName>
    <definedName name="cf_wc_minint_be_CMDCC">#REF!</definedName>
    <definedName name="cf_wc_minint_be_CMDEG">#REF!</definedName>
    <definedName name="cf_wc_minint_be_CMELE">#REF!</definedName>
    <definedName name="cf_wc_minint_be_cres">#REF!</definedName>
    <definedName name="cf_wc_minint_be_crmw">#REF!</definedName>
    <definedName name="cf_wc_minint_be_dadj">#REF!</definedName>
    <definedName name="cf_wc_minint_be_dcc">#REF!</definedName>
    <definedName name="cf_wc_minint_be_dccw">#REF!</definedName>
    <definedName name="cf_wc_minint_be_dcom">#REF!</definedName>
    <definedName name="cf_wc_minint_be_degw">#REF!</definedName>
    <definedName name="cf_wc_minint_be_deiw">#REF!</definedName>
    <definedName name="cf_wc_minint_be_denw">#REF!</definedName>
    <definedName name="cf_wc_minint_be_desi">#REF!</definedName>
    <definedName name="cf_wc_minint_be_dess">#REF!</definedName>
    <definedName name="cf_wc_minint_be_dfd">#REF!</definedName>
    <definedName name="cf_wc_minint_be_dnet">#REF!</definedName>
    <definedName name="cf_wc_minint_be_dpbg">#REF!</definedName>
    <definedName name="cf_wc_minint_be_dsol">#REF!</definedName>
    <definedName name="cf_wc_minint_be_elec">#REF!</definedName>
    <definedName name="cf_wc_minint_be_esvc">#REF!</definedName>
    <definedName name="cf_wc_minint_be_fnco">#REF!</definedName>
    <definedName name="cf_wc_minint_be_fsac">#REF!</definedName>
    <definedName name="cf_wc_minint_be_fser">#REF!</definedName>
    <definedName name="cf_wc_minint_be_fstp">#REF!</definedName>
    <definedName name="cf_wc_minint_be_gadd">#REF!</definedName>
    <definedName name="cf_wc_minint_be_gadi">#REF!</definedName>
    <definedName name="cf_wc_minint_be_govd">#REF!</definedName>
    <definedName name="cf_wc_minint_be_gove">#REF!</definedName>
    <definedName name="cf_wc_minint_be_nep">#REF!</definedName>
    <definedName name="cf_wc_minint_be_resm">#REF!</definedName>
    <definedName name="cf_wc_minint_be_sols">#REF!</definedName>
    <definedName name="cf_wc_minint_be_tam">#REF!</definedName>
    <definedName name="cf_wc_minint_be_tsc">#REF!</definedName>
    <definedName name="cf_wc_minint_be_vent">#REF!</definedName>
    <definedName name="cf_wc_minint_be_watr">#REF!</definedName>
    <definedName name="cf_wc_minint_be_west">#REF!</definedName>
    <definedName name="cf_wc_minint_maint">#REF!</definedName>
    <definedName name="cf_wc_minint_maint_CM1DE">#REF!</definedName>
    <definedName name="cf_wc_minint_maint_CM1EL">#REF!</definedName>
    <definedName name="cf_wc_minint_maint_CM4DE">#REF!</definedName>
    <definedName name="cf_wc_minint_maint_CM4EL">#REF!</definedName>
    <definedName name="cf_wc_minint_maint_CMDCC">#REF!</definedName>
    <definedName name="cf_wc_minint_maint_CMDEG">#REF!</definedName>
    <definedName name="cf_wc_minint_maint_CMELE">#REF!</definedName>
    <definedName name="cf_wc_minint_maint_cres">#REF!</definedName>
    <definedName name="cf_wc_minint_maint_crmw">#REF!</definedName>
    <definedName name="cf_wc_minint_maint_dadj">#REF!</definedName>
    <definedName name="cf_wc_minint_maint_dcc">#REF!</definedName>
    <definedName name="cf_wc_minint_maint_dccw">#REF!</definedName>
    <definedName name="cf_wc_minint_maint_dcom">#REF!</definedName>
    <definedName name="cf_wc_minint_maint_degw">#REF!</definedName>
    <definedName name="cf_wc_minint_maint_deiw">#REF!</definedName>
    <definedName name="cf_wc_minint_maint_denw">#REF!</definedName>
    <definedName name="cf_wc_minint_maint_desi">#REF!</definedName>
    <definedName name="cf_wc_minint_maint_dess">#REF!</definedName>
    <definedName name="cf_wc_minint_maint_dfd">#REF!</definedName>
    <definedName name="cf_wc_minint_maint_dnet">#REF!</definedName>
    <definedName name="cf_wc_minint_maint_dpbg">#REF!</definedName>
    <definedName name="cf_wc_minint_maint_dsol">#REF!</definedName>
    <definedName name="cf_wc_minint_maint_elec">#REF!</definedName>
    <definedName name="cf_wc_minint_maint_esvc">#REF!</definedName>
    <definedName name="cf_wc_minint_maint_fnco">#REF!</definedName>
    <definedName name="cf_wc_minint_maint_fsac">#REF!</definedName>
    <definedName name="cf_wc_minint_maint_fser">#REF!</definedName>
    <definedName name="cf_wc_minint_maint_fstp">#REF!</definedName>
    <definedName name="cf_wc_minint_maint_gadd">#REF!</definedName>
    <definedName name="cf_wc_minint_maint_gadi">#REF!</definedName>
    <definedName name="cf_wc_minint_maint_govd">#REF!</definedName>
    <definedName name="cf_wc_minint_maint_gove">#REF!</definedName>
    <definedName name="cf_wc_minint_maint_nep">#REF!</definedName>
    <definedName name="cf_wc_minint_maint_resm">#REF!</definedName>
    <definedName name="cf_wc_minint_maint_sols">#REF!</definedName>
    <definedName name="cf_wc_minint_maint_tam">#REF!</definedName>
    <definedName name="cf_wc_minint_maint_tsc">#REF!</definedName>
    <definedName name="cf_wc_minint_maint_vent">#REF!</definedName>
    <definedName name="cf_wc_minint_maint_watr">#REF!</definedName>
    <definedName name="cf_wc_minint_maint_west">#REF!</definedName>
    <definedName name="cf_wc_other">#REF!</definedName>
    <definedName name="CFB4Fin">#REF!</definedName>
    <definedName name="check">#REF!</definedName>
    <definedName name="Co_Name">#REF!</definedName>
    <definedName name="CODE">'[3]BASE PERIOD'!$C$11:$C$222</definedName>
    <definedName name="CodeF">'[3]FORECASTED PERIOD'!$C$11:$C$222</definedName>
    <definedName name="COMBINE">'[1]Intangible (2)'!$R$11:$R$40</definedName>
    <definedName name="CommonE">'[9]SCH B-2.1'!$C$259</definedName>
    <definedName name="COMPANY">[4]LOGO!$B$5</definedName>
    <definedName name="composition">#REF!</definedName>
    <definedName name="contract_list">[6]Ref_dat!$K$3:$K$13</definedName>
    <definedName name="contrib_margin_detail">#REF!</definedName>
    <definedName name="CountDK104Records">COUNTIF(#REF!,"DE Carolinas")</definedName>
    <definedName name="counterparty_id">[6]Ref_dat!$B$3:$B$34</definedName>
    <definedName name="coversheet">[10]COVERSHEET!$A$1:$R$42</definedName>
    <definedName name="cp_jun_jun">#REF!</definedName>
    <definedName name="CPindex">[6]Ref_dat!$B$3:$C$34</definedName>
    <definedName name="cri_balance_sheet">#REF!</definedName>
    <definedName name="cur_alpha_month">'[11]Page 3'!$A$2</definedName>
    <definedName name="cur_year">'[11]Page 3'!$B$2</definedName>
    <definedName name="curmonth">#REF!</definedName>
    <definedName name="current_month">'[11]Page 5'!$C$1:$C$65536</definedName>
    <definedName name="CURYR">#REF!</definedName>
    <definedName name="D_1_INTADJ">[3]SCH_D2.19!$AE$94</definedName>
    <definedName name="Data">[3]LOGO!$B$12</definedName>
    <definedName name="DataB">[3]LOGO!$B$14</definedName>
    <definedName name="DataF">[4]LOGO!$B$13</definedName>
    <definedName name="Day">'[12]Date Table'!$A$2</definedName>
    <definedName name="DB_BS">#REF!</definedName>
    <definedName name="DB_CF">#REF!</definedName>
    <definedName name="DB_ELIM">#REF!</definedName>
    <definedName name="DB_IS">#REF!</definedName>
    <definedName name="db_op">#REF!</definedName>
    <definedName name="db_roce">#REF!</definedName>
    <definedName name="db_sva">#REF!</definedName>
    <definedName name="dccdebt">#REF!</definedName>
    <definedName name="DCPS_CUR_RPT">[13]DCPS_ESTI_IS!#REF!</definedName>
    <definedName name="DCPS_PRIOR_ACT">[13]DCPS_ESTI_IS!#REF!</definedName>
    <definedName name="DCPS_PRIOR_RPT">[13]DCPS_ESTI_IS!#REF!</definedName>
    <definedName name="debt">'[14]Debt Detail'!#REF!</definedName>
    <definedName name="debtdetailpg1_DEC">#REF!</definedName>
    <definedName name="debtdetailpg2_PEC">'[15]Debt Detail'!#REF!</definedName>
    <definedName name="debtdetailpg3_DCC">#REF!</definedName>
    <definedName name="Dec_Y1">#REF!</definedName>
    <definedName name="Dec_Y2">#REF!</definedName>
    <definedName name="Dec_Y3">#REF!</definedName>
    <definedName name="decdebt">#REF!</definedName>
    <definedName name="December">#REF!</definedName>
    <definedName name="December_recon">#REF!</definedName>
    <definedName name="deg_balance_sheet">#REF!</definedName>
    <definedName name="DEG_CUR_EST">#REF!</definedName>
    <definedName name="DEG_CUR_RPT">#REF!</definedName>
    <definedName name="deg_income_statement">#REF!</definedName>
    <definedName name="DEG_PRIOR_ACT">#REF!</definedName>
    <definedName name="DEG_PRIOR_RPT">#REF!</definedName>
    <definedName name="deg_rev_cost">#REF!</definedName>
    <definedName name="depr_amort_detail">#REF!</definedName>
    <definedName name="Depr_Balance">'[1]DOWN DEPR. BAL'!$A$1:$E$500</definedName>
    <definedName name="DEPT">[4]LOGO!$B$9</definedName>
    <definedName name="DES">#REF!</definedName>
    <definedName name="DES_CUR_EST">#REF!</definedName>
    <definedName name="des_income_statement">#REF!</definedName>
    <definedName name="DES_rev_cost">#REF!</definedName>
    <definedName name="Description">#REF!</definedName>
    <definedName name="DFD_PRIOR_RPT">[13]DFD_ESTI_IS!#REF!</definedName>
    <definedName name="DK104_ccnc">OFFSET(#REF!,0,0,CountDK104Records,1)</definedName>
    <definedName name="DK104_depr_summary2">OFFSET(#REF!,0,0,CountDK104Records,1)</definedName>
    <definedName name="DTS">#REF!</definedName>
    <definedName name="Duke_Energy_Natural_Gas_Corp___Co._10049">#REF!</definedName>
    <definedName name="Duke_Power">#REF!</definedName>
    <definedName name="earnings_pgs_print">#REF!</definedName>
    <definedName name="End_of_Data_Range_DB_ROCE">#REF!</definedName>
    <definedName name="enddate">[6]Ref_dat!$L$17</definedName>
    <definedName name="EnergyTradingReport">#REF!</definedName>
    <definedName name="EnergyTradingReportAndHeader">#REF!</definedName>
    <definedName name="ep_ep_CM4DE">#REF!</definedName>
    <definedName name="ep_ep_CMDEC">#REF!</definedName>
    <definedName name="ep_ep_cres">#REF!</definedName>
    <definedName name="ep_ep_crmw">#REF!</definedName>
    <definedName name="ep_ep_dcc">#REF!</definedName>
    <definedName name="ep_ep_dccw">#REF!</definedName>
    <definedName name="ep_ep_dcom">#REF!</definedName>
    <definedName name="ep_ep_desi">#REF!</definedName>
    <definedName name="ep_ep_dfd">#REF!</definedName>
    <definedName name="ep_ep_dnet">#REF!</definedName>
    <definedName name="ep_ep_dpbg">#REF!</definedName>
    <definedName name="ep_ep_dsol">#REF!</definedName>
    <definedName name="ep_ep_elec">#REF!</definedName>
    <definedName name="ep_ep_esvc">#REF!</definedName>
    <definedName name="ep_ep_fnco">#REF!</definedName>
    <definedName name="ep_ep_fsac">#REF!</definedName>
    <definedName name="ep_ep_fstp">#REF!</definedName>
    <definedName name="ep_ep_gadd">#REF!</definedName>
    <definedName name="ep_ep_gadi">#REF!</definedName>
    <definedName name="ep_ep_govd">#REF!</definedName>
    <definedName name="ep_ep_gove">#REF!</definedName>
    <definedName name="ep_ep_nep">#REF!</definedName>
    <definedName name="ep_ep_resm">#REF!</definedName>
    <definedName name="ep_ep_tam">#REF!</definedName>
    <definedName name="ep_ep_tsc">#REF!</definedName>
    <definedName name="ep_ep_vent">#REF!</definedName>
    <definedName name="ERBR_BP">'[3]Rate Base Ratios'!$J$49</definedName>
    <definedName name="ERBR_FP">'[3]Rate Base Ratios'!$X$108</definedName>
    <definedName name="Estimated_Qualified_Fund_earnings">#REF!</definedName>
    <definedName name="ExpGRCF">[3]SCH_H!$I$81</definedName>
    <definedName name="FAV">#REF!</definedName>
    <definedName name="fbroker_id">[6]Ref_dat!$I$3:$I$8</definedName>
    <definedName name="fdates">[6]Ref_dat!$K$3:$L$15</definedName>
    <definedName name="Feb_Y1">#REF!</definedName>
    <definedName name="Feb_Y2">#REF!</definedName>
    <definedName name="Feb_Y3">#REF!</definedName>
    <definedName name="February">#REF!</definedName>
    <definedName name="February_recon">#REF!</definedName>
    <definedName name="FERCBP">'[3]BASE PERIOD'!$D$11:$D$222</definedName>
    <definedName name="FERCFP">'[3]FORECASTED PERIOD'!$D$11:$D$222</definedName>
    <definedName name="fieldinput">#REF!</definedName>
    <definedName name="filepathinput">#REF!</definedName>
    <definedName name="Finance_factor">'[11]Page 3'!$F$2</definedName>
    <definedName name="first_adte">[6]Input!$B$10</definedName>
    <definedName name="first_date">#REF!</definedName>
    <definedName name="firstqtr">'[16]IR Earnings Drivers (QTR)'!$A$1:$Q$121</definedName>
    <definedName name="FIT">[3]LOGO!$C$25</definedName>
    <definedName name="fn_ltd_off_bs_CMDCC">#REF!</definedName>
    <definedName name="fn_ltd_off_bs_CMDEC">#REF!</definedName>
    <definedName name="fn_ltd_off_bs_CMDEG">#REF!</definedName>
    <definedName name="fn_ltd_off_bs_CMELE">#REF!</definedName>
    <definedName name="fn_quips_CMDCC">#REF!</definedName>
    <definedName name="fn_quips_CMDEC">#REF!</definedName>
    <definedName name="fn_quips_CMDEG">#REF!</definedName>
    <definedName name="fn_quips_CMELE">#REF!</definedName>
    <definedName name="Forecast">[3]LOGO!$B$11</definedName>
    <definedName name="Forecast1">'[3]FORECASTED PERIOD'!$F$11:$F$222</definedName>
    <definedName name="Forecast10">'[3]FORECASTED PERIOD'!$O$11:$O$222</definedName>
    <definedName name="Forecast11">'[3]FORECASTED PERIOD'!$P$11:$P$222</definedName>
    <definedName name="Forecast12">'[3]FORECASTED PERIOD'!$Q$11:$Q$222</definedName>
    <definedName name="Forecast2">'[3]FORECASTED PERIOD'!$G$11:$G$222</definedName>
    <definedName name="Forecast3">'[3]FORECASTED PERIOD'!$H$11:$H$222</definedName>
    <definedName name="forecast4">'[3]FORECASTED PERIOD'!$I$11:$I$222</definedName>
    <definedName name="Forecast5">'[3]FORECASTED PERIOD'!$J$11:$J$222</definedName>
    <definedName name="Forecast6">'[3]FORECASTED PERIOD'!$K$11:$K$222</definedName>
    <definedName name="Forecast7">'[3]FORECASTED PERIOD'!$L$11:$L$222</definedName>
    <definedName name="Forecast8">'[3]FORECASTED PERIOD'!$M$11:$M$222</definedName>
    <definedName name="Forecast9">'[3]FORECASTED PERIOD'!$N$11:$N$222</definedName>
    <definedName name="four_three_last">'[11]Page 5'!$B$1:$E$65536</definedName>
    <definedName name="FPC">#REF!</definedName>
    <definedName name="FPERIOD">'[3]FORECASTED PERIOD'!$A$11:$Q$222</definedName>
    <definedName name="FPrev1">'[3]FP Rev by Product'!$G$12:$G$65</definedName>
    <definedName name="FPrev10">'[3]FP Rev by Product'!$P$12:$P$65</definedName>
    <definedName name="FPrev11">'[3]FP Rev by Product'!$Q$12:$Q$65</definedName>
    <definedName name="FPrev12">'[3]FP Rev by Product'!$R$12:$R$65</definedName>
    <definedName name="FPrev2">'[3]FP Rev by Product'!$H$12:$H$65</definedName>
    <definedName name="FPrev3">'[3]FP Rev by Product'!$I$12:$I$65</definedName>
    <definedName name="FPrev4">'[3]FP Rev by Product'!$J$12:$J$65</definedName>
    <definedName name="FPrev5">'[3]FP Rev by Product'!$K$12:$K$65</definedName>
    <definedName name="FPrev6">'[3]FP Rev by Product'!$L$12:$L$65</definedName>
    <definedName name="FPrev7">'[3]FP Rev by Product'!$M$12:$M$65</definedName>
    <definedName name="FPrev8">'[3]FP Rev by Product'!$N$12:$N$65</definedName>
    <definedName name="FPrev9">'[3]FP Rev by Product'!$O$12:$O$65</definedName>
    <definedName name="FPrevAcct">'[3]FP Rev by Product'!$A$12:$A$65</definedName>
    <definedName name="FPrevProd">'[3]FP Rev by Product'!$D$12:$D$65</definedName>
    <definedName name="fregion_id">[6]Ref_dat!$M$3:$M$4</definedName>
    <definedName name="fs_cms_book_ratio_CMDCC">#REF!</definedName>
    <definedName name="fs_cms_book_ratio_CMDEC">#REF!</definedName>
    <definedName name="fs_cms_book_ratio_CMDEG">#REF!</definedName>
    <definedName name="fs_cms_book_ratio_CMELE">#REF!</definedName>
    <definedName name="fs_cms_ratio_CMDCC">#REF!</definedName>
    <definedName name="fs_cms_ratio_CMDEC">#REF!</definedName>
    <definedName name="fs_cms_ratio_CMDEG">#REF!</definedName>
    <definedName name="fs_cms_ratio_CMELE">#REF!</definedName>
    <definedName name="fs_cms_ratio_sp_CMDCC">#REF!</definedName>
    <definedName name="fs_cms_ratio_sp_CMDEC">#REF!</definedName>
    <definedName name="fs_cms_ratio_sp_CMDEG">#REF!</definedName>
    <definedName name="fs_cms_ratio_sp_CMELE">#REF!</definedName>
    <definedName name="fs_convert_book_ratio_CM1DC">#REF!</definedName>
    <definedName name="fs_convert_book_ratio_CM1DE">#REF!</definedName>
    <definedName name="fs_convert_book_ratio_CM1EL">#REF!</definedName>
    <definedName name="fs_convert_book_ratio_CM4EL">#REF!</definedName>
    <definedName name="fs_convert_book_ratio_CMDCC">#REF!</definedName>
    <definedName name="fs_convert_book_ratio_CMDEC">#REF!</definedName>
    <definedName name="fs_convert_book_ratio_CMDEG">#REF!</definedName>
    <definedName name="fs_convert_book_ratio_CMELE">#REF!</definedName>
    <definedName name="fs_convert_ratio_CMDCC">#REF!</definedName>
    <definedName name="fs_convert_ratio_CMDEC">#REF!</definedName>
    <definedName name="fs_convert_ratio_CMDEG">#REF!</definedName>
    <definedName name="fs_convert_ratio_CMELE">#REF!</definedName>
    <definedName name="fs_convert_ratio_sp_CMDCC">#REF!</definedName>
    <definedName name="fs_convert_ratio_sp_CMDEC">#REF!</definedName>
    <definedName name="fs_convert_ratio_sp_CMDEG">#REF!</definedName>
    <definedName name="fs_convert_ratio_sp_CMELE">#REF!</definedName>
    <definedName name="fs_ffo_interest_CM1EL">#REF!</definedName>
    <definedName name="fs_ffo_interest_CM4EL">#REF!</definedName>
    <definedName name="fs_ffo_interest_CMDCC">#REF!</definedName>
    <definedName name="fs_ffo_interest_CMDEC">#REF!</definedName>
    <definedName name="fs_ffo_interest_CMELE">#REF!</definedName>
    <definedName name="fs_ffo_to_debt_CM1EL">#REF!</definedName>
    <definedName name="fs_ffo_to_debt_CM4EL">#REF!</definedName>
    <definedName name="fs_ffo_to_debt_CMDCC">#REF!</definedName>
    <definedName name="fs_ffo_to_debt_CMDEC">#REF!</definedName>
    <definedName name="fs_ffo_to_debt_CMELE">#REF!</definedName>
    <definedName name="fs_ltd_book_ratio_CMDCC">#REF!</definedName>
    <definedName name="fs_ltd_book_ratio_CMDEC">#REF!</definedName>
    <definedName name="fs_ltd_book_ratio_CMDEG">#REF!</definedName>
    <definedName name="fs_ltd_book_ratio_CMELE">#REF!</definedName>
    <definedName name="fs_ltd_ratio_CMDCC">#REF!</definedName>
    <definedName name="fs_ltd_ratio_CMDEC">#REF!</definedName>
    <definedName name="fs_ltd_ratio_CMDEG">#REF!</definedName>
    <definedName name="fs_ltd_ratio_CMELE">#REF!</definedName>
    <definedName name="fs_ltd_ratio_sp_CMDCC">#REF!</definedName>
    <definedName name="fs_ltd_ratio_sp_CMDEC">#REF!</definedName>
    <definedName name="fs_ltd_ratio_sp_CMDEG">#REF!</definedName>
    <definedName name="fs_ltd_ratio_sp_CMELE">#REF!</definedName>
    <definedName name="fs_minint_book_ratio_CM1EL">#REF!</definedName>
    <definedName name="fs_minint_book_ratio_CM4EL">#REF!</definedName>
    <definedName name="fs_minint_book_ratio_CMDCC">#REF!</definedName>
    <definedName name="fs_minint_book_ratio_CMDEC">#REF!</definedName>
    <definedName name="fs_minint_book_ratio_CMDEG">#REF!</definedName>
    <definedName name="fs_minint_book_ratio_CMELE">#REF!</definedName>
    <definedName name="fs_minint_ratio_CMDCC">#REF!</definedName>
    <definedName name="fs_minint_ratio_CMDEC">#REF!</definedName>
    <definedName name="fs_minint_ratio_CMDEG">#REF!</definedName>
    <definedName name="fs_minint_ratio_CMELE">#REF!</definedName>
    <definedName name="fs_minint_ratio_sp_CMDCC">#REF!</definedName>
    <definedName name="fs_minint_ratio_sp_CMDEC">#REF!</definedName>
    <definedName name="fs_minint_ratio_sp_CMDEG">#REF!</definedName>
    <definedName name="fs_minint_ratio_sp_CMELE">#REF!</definedName>
    <definedName name="fs_oplease_ratio_sp_CMDCC">#REF!</definedName>
    <definedName name="fs_oplease_ratio_sp_CMDEC">#REF!</definedName>
    <definedName name="fs_oplease_ratio_sp_CMDEG">#REF!</definedName>
    <definedName name="fs_oplease_ratio_sp_CMELE">#REF!</definedName>
    <definedName name="fs_pfs_book_ratio_CMDCC">#REF!</definedName>
    <definedName name="fs_pfs_book_ratio_CMDEC">#REF!</definedName>
    <definedName name="fs_pfs_book_ratio_CMDEG">#REF!</definedName>
    <definedName name="fs_pfs_book_ratio_CMELE">#REF!</definedName>
    <definedName name="fs_pfs_ratio_CMDCC">#REF!</definedName>
    <definedName name="fs_pfs_ratio_CMDEC">#REF!</definedName>
    <definedName name="fs_pfs_ratio_CMDEG">#REF!</definedName>
    <definedName name="fs_pfs_ratio_CMELE">#REF!</definedName>
    <definedName name="fs_pfs_ratio_sp_CMDCC">#REF!</definedName>
    <definedName name="fs_pfs_ratio_sp_CMDEC">#REF!</definedName>
    <definedName name="fs_pfs_ratio_sp_CMDEG">#REF!</definedName>
    <definedName name="fs_pfs_ratio_sp_CMELE">#REF!</definedName>
    <definedName name="fs_pretax_interest_CM1EL">#REF!</definedName>
    <definedName name="fs_pretax_interest_CM4EL">#REF!</definedName>
    <definedName name="fs_pretax_interest_CMDCC">#REF!</definedName>
    <definedName name="fs_pretax_interest_CMDEC">#REF!</definedName>
    <definedName name="fs_pretax_interest_CMELE">#REF!</definedName>
    <definedName name="fs_quips_book_ratio_CMDCC">#REF!</definedName>
    <definedName name="fs_quips_book_ratio_CMDEC">#REF!</definedName>
    <definedName name="fs_quips_book_ratio_CMDEG">#REF!</definedName>
    <definedName name="fs_quips_book_ratio_CMELE">#REF!</definedName>
    <definedName name="fs_quips_ratio_CMDCC">#REF!</definedName>
    <definedName name="fs_quips_ratio_CMDEC">#REF!</definedName>
    <definedName name="fs_quips_ratio_CMDEG">#REF!</definedName>
    <definedName name="fs_quips_ratio_CMELE">#REF!</definedName>
    <definedName name="fs_quips_ratio_sp_CMDCC">#REF!</definedName>
    <definedName name="fs_quips_ratio_sp_CMDEC">#REF!</definedName>
    <definedName name="fs_quips_ratio_sp_CMDEG">#REF!</definedName>
    <definedName name="fs_quips_ratio_sp_CMELE">#REF!</definedName>
    <definedName name="fs_roe_CMDCC">#REF!</definedName>
    <definedName name="fs_roe_CMDEC">#REF!</definedName>
    <definedName name="fs_roe_CMDEG">#REF!</definedName>
    <definedName name="fs_roe_CMELE">#REF!</definedName>
    <definedName name="fs_vfs_ratio_sp_CM1DE">#REF!</definedName>
    <definedName name="fs_vfs_ratio_sp_CMDCC">#REF!</definedName>
    <definedName name="fs_vfs_ratio_sp_CMDEC">#REF!</definedName>
    <definedName name="fs_vfs_ratio_sp_CMDEG">#REF!</definedName>
    <definedName name="fs_vfs_ratio_sp_CMELE">#REF!</definedName>
    <definedName name="ftimemap_entry">[6]Ref_dat!$J$3:$J$4</definedName>
    <definedName name="FY2_">#REF!</definedName>
    <definedName name="FY4_">#REF!</definedName>
    <definedName name="gas_rev_detail">#REF!</definedName>
    <definedName name="Global_Asset_Development___Co._10014">#REF!</definedName>
    <definedName name="Goto_Rates">[17]!Goto_Rates</definedName>
    <definedName name="GRCF">[3]SCH_H!$I$34</definedName>
    <definedName name="GRCFdiff">'[3]Rate Case Drivers'!$J$20</definedName>
    <definedName name="GRCFold">'[3]Rate Case Drivers'!$C$20</definedName>
    <definedName name="GT_pkg_print">#REF!</definedName>
    <definedName name="hols">[6]Holiday!$A$11:$A$114</definedName>
    <definedName name="ICT">#REF!</definedName>
    <definedName name="IDN">#REF!</definedName>
    <definedName name="IFN">#REF!</definedName>
    <definedName name="import">#REF!</definedName>
    <definedName name="importarea">#REF!</definedName>
    <definedName name="importprint">#REF!</definedName>
    <definedName name="input">#REF!</definedName>
    <definedName name="Instructions_for_completing_Income_Statement_template">#REF!</definedName>
    <definedName name="int_amort_detail">#REF!</definedName>
    <definedName name="Intan">'[18]Intangible (2)'!$G$11:$G$46</definedName>
    <definedName name="Intan_106_amt">'[1]Intangible (2)'!$G$11:$G$40</definedName>
    <definedName name="Intangible">#REF!</definedName>
    <definedName name="Interim_macro">#REF!</definedName>
    <definedName name="interimprint">#REF!</definedName>
    <definedName name="is_afudcb">#REF!</definedName>
    <definedName name="is_afudcb_CMDCC">#REF!</definedName>
    <definedName name="is_afudcb_CMDEC">#REF!</definedName>
    <definedName name="is_afudcb_CMDEG">#REF!</definedName>
    <definedName name="is_afudcb_CMELE">#REF!</definedName>
    <definedName name="is_afudcb_cres">#REF!</definedName>
    <definedName name="is_afudcb_crmw">#REF!</definedName>
    <definedName name="is_afudcb_dadj">#REF!</definedName>
    <definedName name="is_afudcb_dcc">#REF!</definedName>
    <definedName name="is_afudcb_dccw">#REF!</definedName>
    <definedName name="is_afudcb_dcom">#REF!</definedName>
    <definedName name="is_afudcb_degw">#REF!</definedName>
    <definedName name="is_afudcb_deiw">#REF!</definedName>
    <definedName name="is_afudcb_denw">#REF!</definedName>
    <definedName name="is_afudcb_desi">#REF!</definedName>
    <definedName name="is_afudcb_dess">#REF!</definedName>
    <definedName name="is_afudcb_dfd">#REF!</definedName>
    <definedName name="is_afudcb_dnet">#REF!</definedName>
    <definedName name="is_afudcb_dpbg">#REF!</definedName>
    <definedName name="is_afudcb_dsol">#REF!</definedName>
    <definedName name="is_afudcb_elec">#REF!</definedName>
    <definedName name="is_afudcb_esvc">#REF!</definedName>
    <definedName name="is_afudcb_fnco">#REF!</definedName>
    <definedName name="is_afudcb_fsac">#REF!</definedName>
    <definedName name="is_afudcb_fser">#REF!</definedName>
    <definedName name="is_afudcb_fstp">#REF!</definedName>
    <definedName name="is_afudcb_gadd">#REF!</definedName>
    <definedName name="is_afudcb_gadi">#REF!</definedName>
    <definedName name="is_afudcb_govd">#REF!</definedName>
    <definedName name="is_afudcb_gove">#REF!</definedName>
    <definedName name="is_afudcb_nep">#REF!</definedName>
    <definedName name="is_afudcb_resm">#REF!</definedName>
    <definedName name="is_afudcb_sols">#REF!</definedName>
    <definedName name="is_afudcb_tam">#REF!</definedName>
    <definedName name="is_afudcb_tsc">#REF!</definedName>
    <definedName name="is_afudcb_vent">#REF!</definedName>
    <definedName name="is_afudcb_watr">#REF!</definedName>
    <definedName name="is_afudcb_west">#REF!</definedName>
    <definedName name="is_afudce">#REF!</definedName>
    <definedName name="is_amort_dbt_disc">#REF!</definedName>
    <definedName name="is_amort_dbt_exp">#REF!</definedName>
    <definedName name="is_amort_dbt_loss">#REF!</definedName>
    <definedName name="is_amort_depr">#REF!</definedName>
    <definedName name="is_amort_goodwill">#REF!</definedName>
    <definedName name="is_amort_other">#REF!</definedName>
    <definedName name="is_asset_sale">#REF!</definedName>
    <definedName name="is_avg_cms_out_CMDCC">#REF!</definedName>
    <definedName name="is_avg_cms_out_CMDEC">#REF!</definedName>
    <definedName name="is_avg_cms_out_CMDEG">#REF!</definedName>
    <definedName name="is_avg_cms_out_CMELE">#REF!</definedName>
    <definedName name="is_cms_div_CMDCC">#REF!</definedName>
    <definedName name="is_cms_div_CMDEC">#REF!</definedName>
    <definedName name="is_cms_div_CMDEG">#REF!</definedName>
    <definedName name="is_cms_div_CMELE">#REF!</definedName>
    <definedName name="is_cms_earnings">#REF!</definedName>
    <definedName name="is_cms_earnings_CMDCC">#REF!</definedName>
    <definedName name="is_cms_earnings_CMDEC">#REF!</definedName>
    <definedName name="is_cms_earnings_CMDEG">#REF!</definedName>
    <definedName name="is_cms_earnings_CMELE">#REF!</definedName>
    <definedName name="is_cms_earnings_cres">#REF!</definedName>
    <definedName name="is_cms_earnings_crmw">#REF!</definedName>
    <definedName name="is_cms_earnings_dadj">#REF!</definedName>
    <definedName name="is_cms_earnings_DCC">#REF!</definedName>
    <definedName name="is_cms_earnings_dccw">#REF!</definedName>
    <definedName name="is_cms_earnings_dcom">#REF!</definedName>
    <definedName name="is_cms_earnings_degw">#REF!</definedName>
    <definedName name="is_cms_earnings_deiw">#REF!</definedName>
    <definedName name="is_cms_earnings_denw">#REF!</definedName>
    <definedName name="is_cms_earnings_desi">#REF!</definedName>
    <definedName name="is_cms_earnings_dess">#REF!</definedName>
    <definedName name="is_cms_earnings_dfd">#REF!</definedName>
    <definedName name="is_cms_earnings_dnet">#REF!</definedName>
    <definedName name="is_cms_earnings_dpbg">#REF!</definedName>
    <definedName name="is_cms_earnings_dsol">#REF!</definedName>
    <definedName name="is_cms_earnings_elec">#REF!</definedName>
    <definedName name="is_cms_earnings_esvc">#REF!</definedName>
    <definedName name="is_cms_earnings_fnco">#REF!</definedName>
    <definedName name="is_cms_earnings_fsac">#REF!</definedName>
    <definedName name="is_cms_earnings_fser">#REF!</definedName>
    <definedName name="is_cms_earnings_fstp">#REF!</definedName>
    <definedName name="is_cms_earnings_gadd">#REF!</definedName>
    <definedName name="is_cms_earnings_gadi">#REF!</definedName>
    <definedName name="is_cms_earnings_govd">#REF!</definedName>
    <definedName name="is_cms_earnings_gove">#REF!</definedName>
    <definedName name="is_cms_earnings_nep">#REF!</definedName>
    <definedName name="is_cms_earnings_resm">#REF!</definedName>
    <definedName name="is_cms_earnings_sols">#REF!</definedName>
    <definedName name="is_cms_earnings_tam">#REF!</definedName>
    <definedName name="is_cms_earnings_tsc">#REF!</definedName>
    <definedName name="is_cms_earnings_vent">#REF!</definedName>
    <definedName name="is_cms_earnings_watr">#REF!</definedName>
    <definedName name="is_cms_earnings_west">#REF!</definedName>
    <definedName name="is_depreciation">#REF!</definedName>
    <definedName name="is_div_payout_CMDCC">#REF!</definedName>
    <definedName name="is_div_payout_CMDEC">#REF!</definedName>
    <definedName name="is_div_payout_CMDEG">#REF!</definedName>
    <definedName name="is_div_payout_CMELE">#REF!</definedName>
    <definedName name="is_div_ps_CMDCC">#REF!</definedName>
    <definedName name="is_div_ps_CMDEC">#REF!</definedName>
    <definedName name="is_div_ps_CMDEG">#REF!</definedName>
    <definedName name="is_div_ps_CMELE">#REF!</definedName>
    <definedName name="is_ebit">#REF!</definedName>
    <definedName name="is_ebit_CMDCC">#REF!</definedName>
    <definedName name="is_ebit_CMDEC">#REF!</definedName>
    <definedName name="is_ebit_CMDEG">#REF!</definedName>
    <definedName name="is_ebit_CMELE">#REF!</definedName>
    <definedName name="is_ebit_cres">#REF!</definedName>
    <definedName name="is_ebit_crmw">#REF!</definedName>
    <definedName name="is_ebit_dadj">#REF!</definedName>
    <definedName name="is_ebit_dcc">#REF!</definedName>
    <definedName name="is_ebit_dccw">#REF!</definedName>
    <definedName name="is_ebit_dcom">#REF!</definedName>
    <definedName name="is_ebit_degw">#REF!</definedName>
    <definedName name="is_ebit_deiw">#REF!</definedName>
    <definedName name="is_ebit_denw">#REF!</definedName>
    <definedName name="is_ebit_desi">#REF!</definedName>
    <definedName name="is_ebit_dess">#REF!</definedName>
    <definedName name="is_ebit_dfd">#REF!</definedName>
    <definedName name="is_ebit_dnet">#REF!</definedName>
    <definedName name="is_ebit_dpbg">#REF!</definedName>
    <definedName name="is_ebit_dsol">#REF!</definedName>
    <definedName name="is_ebit_elec">#REF!</definedName>
    <definedName name="is_ebit_eso">#REF!</definedName>
    <definedName name="is_ebit_esvc">#REF!</definedName>
    <definedName name="is_ebit_etrn">#REF!</definedName>
    <definedName name="is_ebit_fnco">#REF!</definedName>
    <definedName name="is_ebit_fsac">#REF!</definedName>
    <definedName name="is_ebit_fser">#REF!</definedName>
    <definedName name="is_ebit_fstp">#REF!</definedName>
    <definedName name="is_ebit_gaap_CMDCC">#REF!</definedName>
    <definedName name="is_ebit_gaap_CMDEC">#REF!</definedName>
    <definedName name="is_ebit_gaap_CMDEG">#REF!</definedName>
    <definedName name="is_ebit_gaap_CMELE">#REF!</definedName>
    <definedName name="is_ebit_gaap_dpbg">#REF!</definedName>
    <definedName name="is_ebit_gaap_etrn">#REF!</definedName>
    <definedName name="is_ebit_gaap_nep">#REF!</definedName>
    <definedName name="is_ebit_gaap_tsc">#REF!</definedName>
    <definedName name="is_ebit_gadd">#REF!</definedName>
    <definedName name="is_ebit_gadi">#REF!</definedName>
    <definedName name="is_ebit_govd">#REF!</definedName>
    <definedName name="is_ebit_gove">#REF!</definedName>
    <definedName name="is_ebit_nep">#REF!</definedName>
    <definedName name="is_ebit_resm">#REF!</definedName>
    <definedName name="is_ebit_sols">#REF!</definedName>
    <definedName name="is_ebit_tam">#REF!</definedName>
    <definedName name="is_ebit_tsc">#REF!</definedName>
    <definedName name="is_ebit_vent">#REF!</definedName>
    <definedName name="is_ebit_watr">#REF!</definedName>
    <definedName name="is_ebit_west">#REF!</definedName>
    <definedName name="is_ebitg">#REF!</definedName>
    <definedName name="is_ebitg_esvc">#REF!</definedName>
    <definedName name="is_ebitm">#REF!</definedName>
    <definedName name="is_ebitm_cres">#REF!</definedName>
    <definedName name="is_ebitm_crmw">#REF!</definedName>
    <definedName name="is_ebitm_dadj">#REF!</definedName>
    <definedName name="is_ebitm_dcc">#REF!</definedName>
    <definedName name="is_ebitm_dccw">#REF!</definedName>
    <definedName name="is_ebitm_dcom">#REF!</definedName>
    <definedName name="is_ebitm_degw">#REF!</definedName>
    <definedName name="is_ebitm_deiw">#REF!</definedName>
    <definedName name="is_ebitm_denw">#REF!</definedName>
    <definedName name="is_ebitm_desi">#REF!</definedName>
    <definedName name="is_ebitm_dess">#REF!</definedName>
    <definedName name="is_ebitm_dfd">#REF!</definedName>
    <definedName name="is_ebitm_dnet">#REF!</definedName>
    <definedName name="is_ebitm_dpbg">#REF!</definedName>
    <definedName name="is_ebitm_dsol">#REF!</definedName>
    <definedName name="is_ebitm_elec">#REF!</definedName>
    <definedName name="is_ebitm_eso">#REF!</definedName>
    <definedName name="is_ebitm_esvc">#REF!</definedName>
    <definedName name="is_ebitm_fnco">#REF!</definedName>
    <definedName name="is_ebitm_fsac">#REF!</definedName>
    <definedName name="is_ebitm_fser">#REF!</definedName>
    <definedName name="is_ebitm_fstp">#REF!</definedName>
    <definedName name="is_ebitm_gadd">#REF!</definedName>
    <definedName name="is_ebitm_gadi">#REF!</definedName>
    <definedName name="is_ebitm_govd">#REF!</definedName>
    <definedName name="is_ebitm_gove">#REF!</definedName>
    <definedName name="is_ebitm_nep">#REF!</definedName>
    <definedName name="is_ebitm_resm">#REF!</definedName>
    <definedName name="is_ebitm_sols">#REF!</definedName>
    <definedName name="is_ebitm_tam">#REF!</definedName>
    <definedName name="is_ebitm_tsc">#REF!</definedName>
    <definedName name="is_ebitm_vent">#REF!</definedName>
    <definedName name="is_ebitm_watr">#REF!</definedName>
    <definedName name="is_ebitm_west">#REF!</definedName>
    <definedName name="is_eff_tax_rate">#REF!</definedName>
    <definedName name="is_eff_tax_rate_APIP">#REF!</definedName>
    <definedName name="is_eff_tax_rate_CM4DE">#REF!</definedName>
    <definedName name="is_eff_tax_rate_cres">#REF!</definedName>
    <definedName name="is_eff_tax_rate_DCC">#REF!</definedName>
    <definedName name="is_eff_tax_rate_dcom">#REF!</definedName>
    <definedName name="is_eff_tax_rate_desi">#REF!</definedName>
    <definedName name="is_eff_tax_rate_dfd">#REF!</definedName>
    <definedName name="is_eff_tax_rate_dgov">#REF!</definedName>
    <definedName name="is_eff_tax_rate_dnet">#REF!</definedName>
    <definedName name="is_eff_tax_rate_DPBG">#REF!</definedName>
    <definedName name="is_eff_tax_rate_dsol">#REF!</definedName>
    <definedName name="is_eff_tax_rate_egov">#REF!</definedName>
    <definedName name="is_eff_tax_rate_elec">#REF!</definedName>
    <definedName name="is_eff_tax_rate_esvc">#REF!</definedName>
    <definedName name="is_eff_tax_rate_fnco">#REF!</definedName>
    <definedName name="is_eff_tax_rate_fsac">#REF!</definedName>
    <definedName name="is_eff_tax_rate_fser">#REF!</definedName>
    <definedName name="is_eff_tax_rate_fstp">#REF!</definedName>
    <definedName name="is_eff_tax_rate_gadd">#REF!</definedName>
    <definedName name="is_eff_tax_rate_gadi">#REF!</definedName>
    <definedName name="is_eff_tax_rate_gov">#REF!</definedName>
    <definedName name="is_eff_tax_rate_nep">#REF!</definedName>
    <definedName name="is_eff_tax_rate_ngov">#REF!</definedName>
    <definedName name="is_eff_tax_rate_resm">#REF!</definedName>
    <definedName name="is_eff_tax_rate_rgov">#REF!</definedName>
    <definedName name="is_eff_tax_rate_tam">#REF!</definedName>
    <definedName name="is_eff_tax_rate_tsc">#REF!</definedName>
    <definedName name="is_eff_tax_rate_vent">#REF!</definedName>
    <definedName name="is_eff_tax_rate_vfs">#REF!</definedName>
    <definedName name="is_eff_tax_rate_watr">#REF!</definedName>
    <definedName name="is_eps_CMDCC">#REF!</definedName>
    <definedName name="is_eps_CMDEC">#REF!</definedName>
    <definedName name="is_eps_CMDEG">#REF!</definedName>
    <definedName name="is_eps_CMELE">#REF!</definedName>
    <definedName name="is_equity_earn">#REF!</definedName>
    <definedName name="is_expenses">#REF!</definedName>
    <definedName name="is_extitem_CMDCC">#REF!</definedName>
    <definedName name="is_extitem_CMDEC">#REF!</definedName>
    <definedName name="is_extitem_CMDEG">#REF!</definedName>
    <definedName name="is_extitem_CMELE">#REF!</definedName>
    <definedName name="is_extitem_DCC">#REF!</definedName>
    <definedName name="is_extitem_dpbg">#REF!</definedName>
    <definedName name="is_extitem_fsac">#REF!</definedName>
    <definedName name="is_extitem_gadd">#REF!</definedName>
    <definedName name="is_extitem_nep">#REF!</definedName>
    <definedName name="is_extitem_tam">#REF!</definedName>
    <definedName name="is_gad_eq_adj">#REF!</definedName>
    <definedName name="is_gad_gross">#REF!</definedName>
    <definedName name="is_gad_net">#REF!</definedName>
    <definedName name="is_gad_new_ebit">#REF!</definedName>
    <definedName name="is_gas_exp">#REF!</definedName>
    <definedName name="is_gas_exp_CM1DC">#REF!</definedName>
    <definedName name="is_gas_exp_CM1DE">#REF!</definedName>
    <definedName name="is_gas_exp_CM1EL">#REF!</definedName>
    <definedName name="is_gas_exp_CM1NE">#REF!</definedName>
    <definedName name="is_gas_exp_cres">#REF!</definedName>
    <definedName name="is_gas_exp_dcc">#REF!</definedName>
    <definedName name="is_gas_exp_dcom">#REF!</definedName>
    <definedName name="is_gas_exp_desi">#REF!</definedName>
    <definedName name="is_gas_exp_dfd">#REF!</definedName>
    <definedName name="is_gas_exp_dnet">#REF!</definedName>
    <definedName name="is_gas_exp_dpbg">#REF!</definedName>
    <definedName name="is_gas_exp_dsol">#REF!</definedName>
    <definedName name="is_gas_exp_esvc">#REF!</definedName>
    <definedName name="is_gas_exp_fnco">#REF!</definedName>
    <definedName name="is_gas_exp_fsac">#REF!</definedName>
    <definedName name="is_gas_exp_fser">#REF!</definedName>
    <definedName name="is_gas_exp_fstp">#REF!</definedName>
    <definedName name="is_gas_exp_gadd">#REF!</definedName>
    <definedName name="is_gas_exp_gadi">#REF!</definedName>
    <definedName name="is_gas_exp_nep">#REF!</definedName>
    <definedName name="is_gas_exp_resm">#REF!</definedName>
    <definedName name="is_gas_exp_tam">#REF!</definedName>
    <definedName name="is_gas_exp_tsc">#REF!</definedName>
    <definedName name="is_gas_exp_vent">#REF!</definedName>
    <definedName name="is_gas_exp_vfs">#REF!</definedName>
    <definedName name="is_gas_exp_watr">#REF!</definedName>
    <definedName name="is_gas_rev_fixed">#REF!</definedName>
    <definedName name="is_gas_rev_nonr">#REF!</definedName>
    <definedName name="is_gas_rev_unsp">#REF!</definedName>
    <definedName name="is_gas_rev_var">#REF!</definedName>
    <definedName name="is_gas_track_cost">#REF!</definedName>
    <definedName name="is_gen_taxes">#REF!</definedName>
    <definedName name="is_inc_bef_int">#REF!</definedName>
    <definedName name="is_inc_bef_int_APIP">#REF!</definedName>
    <definedName name="is_inc_bef_int_CM1DC">#REF!</definedName>
    <definedName name="is_inc_bef_int_CM1DE">#REF!</definedName>
    <definedName name="is_inc_bef_int_CM1EL">#REF!</definedName>
    <definedName name="is_inc_bef_int_CM1NE">#REF!</definedName>
    <definedName name="is_inc_bef_int_CM2DC">#REF!</definedName>
    <definedName name="is_inc_bef_int_CM2DE">#REF!</definedName>
    <definedName name="is_inc_bef_int_CM2EL">#REF!</definedName>
    <definedName name="is_inc_bef_int_CM2NE">#REF!</definedName>
    <definedName name="is_inc_bef_int_CM3DC">#REF!</definedName>
    <definedName name="is_inc_bef_int_CM3DE">#REF!</definedName>
    <definedName name="is_inc_bef_int_CM3EL">#REF!</definedName>
    <definedName name="is_inc_bef_int_CM3NE">#REF!</definedName>
    <definedName name="is_inc_bef_int_CM4DC">#REF!</definedName>
    <definedName name="is_inc_bef_int_CM4DE">#REF!</definedName>
    <definedName name="is_inc_bef_int_CM4EL">#REF!</definedName>
    <definedName name="is_inc_bef_int_CM4NE">#REF!</definedName>
    <definedName name="is_inc_bef_int_cres">#REF!</definedName>
    <definedName name="is_inc_bef_int_DCC">#REF!</definedName>
    <definedName name="is_inc_bef_int_dcom">#REF!</definedName>
    <definedName name="is_inc_bef_int_desi">#REF!</definedName>
    <definedName name="is_inc_bef_int_dfd">#REF!</definedName>
    <definedName name="is_inc_bef_int_dgov">#REF!</definedName>
    <definedName name="is_inc_bef_int_dnet">#REF!</definedName>
    <definedName name="is_inc_bef_int_DPBG">#REF!</definedName>
    <definedName name="is_inc_bef_int_dsol">#REF!</definedName>
    <definedName name="is_inc_bef_int_egov">#REF!</definedName>
    <definedName name="is_inc_bef_int_elec">#REF!</definedName>
    <definedName name="is_inc_bef_int_esvc">#REF!</definedName>
    <definedName name="is_inc_bef_int_fnco">#REF!</definedName>
    <definedName name="is_inc_bef_int_fsac">#REF!</definedName>
    <definedName name="is_inc_bef_int_fser">#REF!</definedName>
    <definedName name="is_inc_bef_int_fstp">#REF!</definedName>
    <definedName name="is_inc_bef_int_gadd">#REF!</definedName>
    <definedName name="is_inc_bef_int_gadi">#REF!</definedName>
    <definedName name="is_inc_bef_int_gov">#REF!</definedName>
    <definedName name="is_inc_bef_int_nep">#REF!</definedName>
    <definedName name="is_inc_bef_int_ngov">#REF!</definedName>
    <definedName name="is_inc_bef_int_resm">#REF!</definedName>
    <definedName name="is_inc_bef_int_rgov">#REF!</definedName>
    <definedName name="is_inc_bef_int_tam">#REF!</definedName>
    <definedName name="is_inc_bef_int_tsc">#REF!</definedName>
    <definedName name="is_inc_bef_int_vent">#REF!</definedName>
    <definedName name="is_inc_bef_int_vfs">#REF!</definedName>
    <definedName name="is_inc_bef_int_watr">#REF!</definedName>
    <definedName name="is_inc_nonrecur">#REF!</definedName>
    <definedName name="is_inc_tax_CMDCC">#REF!</definedName>
    <definedName name="is_inc_tax_CMDEC">#REF!</definedName>
    <definedName name="is_inc_tax_CMDEG">#REF!</definedName>
    <definedName name="is_inc_tax_CMELE">#REF!</definedName>
    <definedName name="is_inc_tax_cons_CM2DC">#REF!</definedName>
    <definedName name="is_inc_tax_cons_CM2DE">#REF!</definedName>
    <definedName name="is_inc_tax_cons_CM2EL">#REF!</definedName>
    <definedName name="is_inc_tax_cons_CM2NE">#REF!</definedName>
    <definedName name="is_inc_tax_cons_CM3DC">#REF!</definedName>
    <definedName name="is_inc_tax_cons_CM3DE">#REF!</definedName>
    <definedName name="is_inc_tax_cons_CM3EL">#REF!</definedName>
    <definedName name="is_inc_tax_cons_CM3NE">#REF!</definedName>
    <definedName name="is_inc_tax_cons_CM4DC">#REF!</definedName>
    <definedName name="is_inc_tax_cons_CM4DE">#REF!</definedName>
    <definedName name="is_inc_tax_cons_CM4EL">#REF!</definedName>
    <definedName name="is_inc_tax_cons_CM4NE">#REF!</definedName>
    <definedName name="is_inc_tax_cres">#REF!</definedName>
    <definedName name="is_inc_tax_crmw">#REF!</definedName>
    <definedName name="is_inc_tax_dadj">#REF!</definedName>
    <definedName name="is_inc_tax_dcc">#REF!</definedName>
    <definedName name="is_inc_tax_dccw">#REF!</definedName>
    <definedName name="is_inc_tax_dcom">#REF!</definedName>
    <definedName name="is_inc_tax_degw">#REF!</definedName>
    <definedName name="is_inc_tax_deiw">#REF!</definedName>
    <definedName name="is_inc_tax_denw">#REF!</definedName>
    <definedName name="is_inc_tax_desi">#REF!</definedName>
    <definedName name="is_inc_tax_dess">#REF!</definedName>
    <definedName name="is_inc_tax_dfd">#REF!</definedName>
    <definedName name="is_inc_tax_dnet">#REF!</definedName>
    <definedName name="is_inc_tax_dpbg">#REF!</definedName>
    <definedName name="is_inc_tax_dsol">#REF!</definedName>
    <definedName name="is_inc_tax_elec">#REF!</definedName>
    <definedName name="is_inc_tax_esvc">#REF!</definedName>
    <definedName name="is_inc_tax_fnco">#REF!</definedName>
    <definedName name="is_inc_tax_fsac">#REF!</definedName>
    <definedName name="is_inc_tax_fser">#REF!</definedName>
    <definedName name="is_inc_tax_fstp">#REF!</definedName>
    <definedName name="is_inc_tax_gadd">#REF!</definedName>
    <definedName name="is_inc_tax_gadi">#REF!</definedName>
    <definedName name="is_inc_tax_govd">#REF!</definedName>
    <definedName name="is_inc_tax_gove">#REF!</definedName>
    <definedName name="is_inc_tax_nep">#REF!</definedName>
    <definedName name="is_inc_tax_resm">#REF!</definedName>
    <definedName name="is_inc_tax_sols">#REF!</definedName>
    <definedName name="is_inc_tax_tam">#REF!</definedName>
    <definedName name="is_inc_tax_tsc">#REF!</definedName>
    <definedName name="is_inc_tax_vent">#REF!</definedName>
    <definedName name="is_inc_tax_watr">#REF!</definedName>
    <definedName name="is_inc_tax_west">#REF!</definedName>
    <definedName name="is_int_exp">#REF!</definedName>
    <definedName name="is_int_exp_CMDCC">#REF!</definedName>
    <definedName name="is_int_exp_CMDEC">#REF!</definedName>
    <definedName name="is_int_exp_CMDEG">#REF!</definedName>
    <definedName name="is_int_exp_CMELE">#REF!</definedName>
    <definedName name="is_int_exp_cres">#REF!</definedName>
    <definedName name="is_int_exp_crmw">#REF!</definedName>
    <definedName name="is_int_exp_dadj">#REF!</definedName>
    <definedName name="is_int_exp_dcc">#REF!</definedName>
    <definedName name="is_int_exp_dccw">#REF!</definedName>
    <definedName name="is_int_exp_dcom">#REF!</definedName>
    <definedName name="is_int_exp_degw">#REF!</definedName>
    <definedName name="is_int_exp_deiw">#REF!</definedName>
    <definedName name="is_int_exp_denw">#REF!</definedName>
    <definedName name="is_int_exp_desi">#REF!</definedName>
    <definedName name="is_int_exp_dess">#REF!</definedName>
    <definedName name="is_int_exp_dfd">#REF!</definedName>
    <definedName name="is_int_exp_dnet">#REF!</definedName>
    <definedName name="is_int_exp_dpbg">#REF!</definedName>
    <definedName name="is_int_exp_dsol">#REF!</definedName>
    <definedName name="is_int_exp_elec">#REF!</definedName>
    <definedName name="is_int_exp_esvc">#REF!</definedName>
    <definedName name="is_int_exp_fnco">#REF!</definedName>
    <definedName name="is_int_exp_fsac">#REF!</definedName>
    <definedName name="is_int_exp_fser">#REF!</definedName>
    <definedName name="is_int_exp_fstp">#REF!</definedName>
    <definedName name="is_int_exp_gadd">#REF!</definedName>
    <definedName name="is_int_exp_gadi">#REF!</definedName>
    <definedName name="is_int_exp_govd">#REF!</definedName>
    <definedName name="is_int_exp_gove">#REF!</definedName>
    <definedName name="is_int_exp_nep">#REF!</definedName>
    <definedName name="is_int_exp_oper">#REF!</definedName>
    <definedName name="is_int_exp_resm">#REF!</definedName>
    <definedName name="is_int_exp_sols">#REF!</definedName>
    <definedName name="is_int_exp_tam">#REF!</definedName>
    <definedName name="is_int_exp_tsc">#REF!</definedName>
    <definedName name="is_int_exp_vent">#REF!</definedName>
    <definedName name="is_int_exp_watr">#REF!</definedName>
    <definedName name="is_int_exp_west">#REF!</definedName>
    <definedName name="is_int_inc_oper">#REF!</definedName>
    <definedName name="is_int_incpost_CMDCC">#REF!</definedName>
    <definedName name="is_int_incpost_CMDEC">#REF!</definedName>
    <definedName name="is_int_incpost_CMDEG">#REF!</definedName>
    <definedName name="is_int_incpost_CMELE">#REF!</definedName>
    <definedName name="is_ltd_amt">#REF!</definedName>
    <definedName name="is_ltd_int">#REF!</definedName>
    <definedName name="is_minint">#REF!</definedName>
    <definedName name="is_minint_CMDCC">#REF!</definedName>
    <definedName name="is_minint_CMDEC">#REF!</definedName>
    <definedName name="is_minint_CMDEG">#REF!</definedName>
    <definedName name="is_minint_CMELE">#REF!</definedName>
    <definedName name="is_minint_cres">#REF!</definedName>
    <definedName name="is_minint_crmw">#REF!</definedName>
    <definedName name="is_minint_dadj">#REF!</definedName>
    <definedName name="is_minint_dcc">#REF!</definedName>
    <definedName name="is_minint_dccw">#REF!</definedName>
    <definedName name="is_minint_dcom">#REF!</definedName>
    <definedName name="is_minint_degw">#REF!</definedName>
    <definedName name="is_minint_deiw">#REF!</definedName>
    <definedName name="is_minint_denw">#REF!</definedName>
    <definedName name="is_minint_desi">#REF!</definedName>
    <definedName name="is_minint_dess">#REF!</definedName>
    <definedName name="is_minint_dfd">#REF!</definedName>
    <definedName name="is_minint_div_CM1DC">#REF!</definedName>
    <definedName name="is_minint_div_CM1DE">#REF!</definedName>
    <definedName name="is_minint_div_CM4DC">#REF!</definedName>
    <definedName name="is_minint_div_CM4DE">#REF!</definedName>
    <definedName name="is_minint_div_CMDCC">#REF!</definedName>
    <definedName name="is_minint_div_CMDEC">#REF!</definedName>
    <definedName name="is_minint_div_CMDEG">#REF!</definedName>
    <definedName name="is_minint_div_cres">#REF!</definedName>
    <definedName name="is_minint_div_crmw">#REF!</definedName>
    <definedName name="is_minint_div_dccw">#REF!</definedName>
    <definedName name="is_minint_div_dcom">#REF!</definedName>
    <definedName name="is_minint_div_desi">#REF!</definedName>
    <definedName name="is_minint_div_dfd">#REF!</definedName>
    <definedName name="is_minint_div_dnet">#REF!</definedName>
    <definedName name="is_minint_div_dpbg">#REF!</definedName>
    <definedName name="is_minint_div_dsol">#REF!</definedName>
    <definedName name="is_minint_div_elec">#REF!</definedName>
    <definedName name="is_minint_div_esvc">#REF!</definedName>
    <definedName name="is_minint_div_fnco">#REF!</definedName>
    <definedName name="is_minint_div_fsac">#REF!</definedName>
    <definedName name="is_minint_div_fstp">#REF!</definedName>
    <definedName name="is_minint_div_gadd">#REF!</definedName>
    <definedName name="is_minint_div_gadi">#REF!</definedName>
    <definedName name="is_minint_div_govd">#REF!</definedName>
    <definedName name="is_minint_div_gove">#REF!</definedName>
    <definedName name="is_minint_div_nep">#REF!</definedName>
    <definedName name="is_minint_div_resm">#REF!</definedName>
    <definedName name="is_minint_div_tam">#REF!</definedName>
    <definedName name="is_minint_div_tsc">#REF!</definedName>
    <definedName name="is_minint_div_vent">#REF!</definedName>
    <definedName name="is_minint_dnet">#REF!</definedName>
    <definedName name="is_minint_dpbg">#REF!</definedName>
    <definedName name="is_minint_dsol">#REF!</definedName>
    <definedName name="is_minint_elec">#REF!</definedName>
    <definedName name="is_minint_eso">#REF!</definedName>
    <definedName name="is_minint_esvc">#REF!</definedName>
    <definedName name="is_minint_etrn">#REF!</definedName>
    <definedName name="is_minint_fnco">#REF!</definedName>
    <definedName name="is_minint_fsac">#REF!</definedName>
    <definedName name="is_minint_fser">#REF!</definedName>
    <definedName name="is_minint_fstp">#REF!</definedName>
    <definedName name="is_minint_gadd">#REF!</definedName>
    <definedName name="is_minint_gadi">#REF!</definedName>
    <definedName name="is_minint_govd">#REF!</definedName>
    <definedName name="is_minint_gove">#REF!</definedName>
    <definedName name="is_minint_int_CMDCC">#REF!</definedName>
    <definedName name="is_minint_int_CMDEC">#REF!</definedName>
    <definedName name="is_minint_int_CMDEG">#REF!</definedName>
    <definedName name="is_minint_int_CMELE">#REF!</definedName>
    <definedName name="is_minint_int_cres">#REF!</definedName>
    <definedName name="is_minint_int_crmw">#REF!</definedName>
    <definedName name="is_minint_int_dadj">#REF!</definedName>
    <definedName name="is_minint_int_dcc">#REF!</definedName>
    <definedName name="is_minint_int_dccw">#REF!</definedName>
    <definedName name="is_minint_int_dcom">#REF!</definedName>
    <definedName name="is_minint_int_degw">#REF!</definedName>
    <definedName name="is_minint_int_deiw">#REF!</definedName>
    <definedName name="is_minint_int_denw">#REF!</definedName>
    <definedName name="is_minint_int_desi">#REF!</definedName>
    <definedName name="is_minint_int_dess">#REF!</definedName>
    <definedName name="is_minint_int_dfd">#REF!</definedName>
    <definedName name="is_minint_int_dnet">#REF!</definedName>
    <definedName name="is_minint_int_dpbg">#REF!</definedName>
    <definedName name="is_minint_int_dsol">#REF!</definedName>
    <definedName name="is_minint_int_elec">#REF!</definedName>
    <definedName name="is_minint_int_esvc">#REF!</definedName>
    <definedName name="is_minint_int_fnco">#REF!</definedName>
    <definedName name="is_minint_int_fsac">#REF!</definedName>
    <definedName name="is_minint_int_fser">#REF!</definedName>
    <definedName name="is_minint_int_fstp">#REF!</definedName>
    <definedName name="is_minint_int_gadd">#REF!</definedName>
    <definedName name="is_minint_int_gadi">#REF!</definedName>
    <definedName name="is_minint_int_govd">#REF!</definedName>
    <definedName name="is_minint_int_gove">#REF!</definedName>
    <definedName name="is_minint_int_nep">#REF!</definedName>
    <definedName name="is_minint_int_resm">#REF!</definedName>
    <definedName name="is_minint_int_sols">#REF!</definedName>
    <definedName name="is_minint_int_tam">#REF!</definedName>
    <definedName name="is_minint_int_tsc">#REF!</definedName>
    <definedName name="is_minint_int_vent">#REF!</definedName>
    <definedName name="is_minint_int_watr">#REF!</definedName>
    <definedName name="is_minint_int_west">#REF!</definedName>
    <definedName name="is_minint_nep">#REF!</definedName>
    <definedName name="is_minint_quips_CMDCC">#REF!</definedName>
    <definedName name="is_minint_quips_CMDEC">#REF!</definedName>
    <definedName name="is_minint_quips_CMDEG">#REF!</definedName>
    <definedName name="is_minint_quips_CMELE">#REF!</definedName>
    <definedName name="is_minint_quips_cres">#REF!</definedName>
    <definedName name="is_minint_quips_crmw">#REF!</definedName>
    <definedName name="is_minint_quips_dadj">#REF!</definedName>
    <definedName name="is_minint_quips_dcc">#REF!</definedName>
    <definedName name="is_minint_quips_dccw">#REF!</definedName>
    <definedName name="is_minint_quips_dcom">#REF!</definedName>
    <definedName name="is_minint_quips_degw">#REF!</definedName>
    <definedName name="is_minint_quips_deiw">#REF!</definedName>
    <definedName name="is_minint_quips_denw">#REF!</definedName>
    <definedName name="is_minint_quips_desi">#REF!</definedName>
    <definedName name="is_minint_quips_dfd">#REF!</definedName>
    <definedName name="is_minint_quips_dnet">#REF!</definedName>
    <definedName name="is_minint_quips_dpbg">#REF!</definedName>
    <definedName name="is_minint_quips_dsol">#REF!</definedName>
    <definedName name="is_minint_quips_elec">#REF!</definedName>
    <definedName name="is_minint_quips_esvc">#REF!</definedName>
    <definedName name="is_minint_quips_fnco">#REF!</definedName>
    <definedName name="is_minint_quips_fsac">#REF!</definedName>
    <definedName name="is_minint_quips_fser">#REF!</definedName>
    <definedName name="is_minint_quips_fstp">#REF!</definedName>
    <definedName name="is_minint_quips_gadi">#REF!</definedName>
    <definedName name="is_minint_quips_govd">#REF!</definedName>
    <definedName name="is_minint_quips_gove">#REF!</definedName>
    <definedName name="is_minint_quips_nep">#REF!</definedName>
    <definedName name="is_minint_quips_resm">#REF!</definedName>
    <definedName name="is_minint_quips_tam">#REF!</definedName>
    <definedName name="is_minint_quips_tsc">#REF!</definedName>
    <definedName name="is_minint_quips_vent">#REF!</definedName>
    <definedName name="is_minint_quips_watr">#REF!</definedName>
    <definedName name="is_minint_quips_west">#REF!</definedName>
    <definedName name="is_minint_resm">#REF!</definedName>
    <definedName name="is_minint_sols">#REF!</definedName>
    <definedName name="is_minint_tam">#REF!</definedName>
    <definedName name="is_minint_tsc">#REF!</definedName>
    <definedName name="is_minint_vent">#REF!</definedName>
    <definedName name="is_minint_vfs_CM1DC">#REF!</definedName>
    <definedName name="is_minint_vfs_CM1DE">#REF!</definedName>
    <definedName name="is_minint_vfs_CM1EL">#REF!</definedName>
    <definedName name="is_minint_vfs_CM4EL">#REF!</definedName>
    <definedName name="is_minint_vfs_CMDCC">#REF!</definedName>
    <definedName name="is_minint_vfs_CMDEC">#REF!</definedName>
    <definedName name="is_minint_vfs_CMDEG">#REF!</definedName>
    <definedName name="is_minint_vfs_CMELE">#REF!</definedName>
    <definedName name="is_minint_vfs_cres">#REF!</definedName>
    <definedName name="is_minint_vfs_crmw">#REF!</definedName>
    <definedName name="is_minint_vfs_dadj">#REF!</definedName>
    <definedName name="is_minint_vfs_dcc">#REF!</definedName>
    <definedName name="is_minint_vfs_dccw">#REF!</definedName>
    <definedName name="is_minint_vfs_dcom">#REF!</definedName>
    <definedName name="is_minint_vfs_desi">#REF!</definedName>
    <definedName name="is_minint_vfs_dess">#REF!</definedName>
    <definedName name="is_minint_vfs_dfd">#REF!</definedName>
    <definedName name="is_minint_vfs_dnet">#REF!</definedName>
    <definedName name="is_minint_vfs_dpbg">#REF!</definedName>
    <definedName name="is_minint_vfs_dsol">#REF!</definedName>
    <definedName name="is_minint_vfs_elec">#REF!</definedName>
    <definedName name="is_minint_vfs_esvc">#REF!</definedName>
    <definedName name="is_minint_vfs_fnco">#REF!</definedName>
    <definedName name="is_minint_vfs_fsac">#REF!</definedName>
    <definedName name="is_minint_vfs_fstp">#REF!</definedName>
    <definedName name="is_minint_vfs_gadd">#REF!</definedName>
    <definedName name="is_minint_vfs_gadi">#REF!</definedName>
    <definedName name="is_minint_vfs_govd">#REF!</definedName>
    <definedName name="is_minint_vfs_gove">#REF!</definedName>
    <definedName name="is_minint_vfs_nep">#REF!</definedName>
    <definedName name="is_minint_vfs_resm">#REF!</definedName>
    <definedName name="is_minint_vfs_sols">#REF!</definedName>
    <definedName name="is_minint_vfs_tam">#REF!</definedName>
    <definedName name="is_minint_vfs_tsc">#REF!</definedName>
    <definedName name="is_minint_vfs_vent">#REF!</definedName>
    <definedName name="is_minint_watr">#REF!</definedName>
    <definedName name="is_minint_west">#REF!</definedName>
    <definedName name="is_netincome">#REF!</definedName>
    <definedName name="is_om">#REF!</definedName>
    <definedName name="is_om_base">#REF!</definedName>
    <definedName name="is_om_CM1DC">#REF!</definedName>
    <definedName name="is_om_CM1DE">#REF!</definedName>
    <definedName name="is_om_CM1EL">#REF!</definedName>
    <definedName name="is_om_CM1NE">#REF!</definedName>
    <definedName name="is_om_CMDCC">#REF!</definedName>
    <definedName name="is_om_CMDEC">#REF!</definedName>
    <definedName name="is_om_CMELE">#REF!</definedName>
    <definedName name="is_om_CMNEP">#REF!</definedName>
    <definedName name="is_om_cres">#REF!</definedName>
    <definedName name="is_om_dcc">#REF!</definedName>
    <definedName name="is_om_dcom">#REF!</definedName>
    <definedName name="is_om_desi">#REF!</definedName>
    <definedName name="is_om_dfd">#REF!</definedName>
    <definedName name="is_om_dnet">#REF!</definedName>
    <definedName name="is_om_dpbg">#REF!</definedName>
    <definedName name="is_om_dsol">#REF!</definedName>
    <definedName name="is_om_esvc">#REF!</definedName>
    <definedName name="is_om_fnco">#REF!</definedName>
    <definedName name="is_om_fsac">#REF!</definedName>
    <definedName name="is_om_fser">#REF!</definedName>
    <definedName name="is_om_fstp">#REF!</definedName>
    <definedName name="is_om_gadd">#REF!</definedName>
    <definedName name="is_om_gadi">#REF!</definedName>
    <definedName name="is_om_nep">#REF!</definedName>
    <definedName name="is_om_nonrecur">#REF!</definedName>
    <definedName name="is_om_resm">#REF!</definedName>
    <definedName name="is_om_tam">#REF!</definedName>
    <definedName name="is_om_tsc">#REF!</definedName>
    <definedName name="is_om_vent">#REF!</definedName>
    <definedName name="is_om_vfs">#REF!</definedName>
    <definedName name="is_om_watr">#REF!</definedName>
    <definedName name="is_op_income">#REF!</definedName>
    <definedName name="is_op_revenue">#REF!</definedName>
    <definedName name="is_op_revenue_CMDCC">#REF!</definedName>
    <definedName name="is_op_revenue_CMDEC">#REF!</definedName>
    <definedName name="is_op_revenue_CMDEG">#REF!</definedName>
    <definedName name="is_op_revenue_CMELE">#REF!</definedName>
    <definedName name="is_op_revenue_cres">#REF!</definedName>
    <definedName name="is_op_revenue_crmw">#REF!</definedName>
    <definedName name="is_op_revenue_dadj">#REF!</definedName>
    <definedName name="is_op_revenue_dcc">#REF!</definedName>
    <definedName name="is_op_revenue_dccw">#REF!</definedName>
    <definedName name="is_op_revenue_dcom">#REF!</definedName>
    <definedName name="is_op_revenue_degw">#REF!</definedName>
    <definedName name="is_op_revenue_deiw">#REF!</definedName>
    <definedName name="is_op_revenue_denw">#REF!</definedName>
    <definedName name="is_op_revenue_desi">#REF!</definedName>
    <definedName name="is_op_revenue_dess">#REF!</definedName>
    <definedName name="is_op_revenue_dfd">#REF!</definedName>
    <definedName name="is_op_revenue_dnet">#REF!</definedName>
    <definedName name="is_op_revenue_dpbg">#REF!</definedName>
    <definedName name="is_op_revenue_dsol">#REF!</definedName>
    <definedName name="is_op_revenue_elec">#REF!</definedName>
    <definedName name="is_op_revenue_esvc">#REF!</definedName>
    <definedName name="is_op_revenue_fnco">#REF!</definedName>
    <definedName name="is_op_revenue_fsac">#REF!</definedName>
    <definedName name="is_op_revenue_fser">#REF!</definedName>
    <definedName name="is_op_revenue_fstp">#REF!</definedName>
    <definedName name="is_op_revenue_gadd">#REF!</definedName>
    <definedName name="is_op_revenue_gadi">#REF!</definedName>
    <definedName name="is_op_revenue_govd">#REF!</definedName>
    <definedName name="is_op_revenue_gove">#REF!</definedName>
    <definedName name="is_op_revenue_nep">#REF!</definedName>
    <definedName name="is_op_revenue_resm">#REF!</definedName>
    <definedName name="is_op_revenue_sols">#REF!</definedName>
    <definedName name="is_op_revenue_tam">#REF!</definedName>
    <definedName name="is_op_revenue_tsc">#REF!</definedName>
    <definedName name="is_op_revenue_vent">#REF!</definedName>
    <definedName name="is_op_revenue_watr">#REF!</definedName>
    <definedName name="is_op_revenue_west">#REF!</definedName>
    <definedName name="is_op_tax">#REF!</definedName>
    <definedName name="is_op_tax_APIP">#REF!</definedName>
    <definedName name="is_op_tax_CM1DC">#REF!</definedName>
    <definedName name="is_op_tax_CM1DE">#REF!</definedName>
    <definedName name="is_op_tax_CM1EL">#REF!</definedName>
    <definedName name="is_op_tax_CM1NE">#REF!</definedName>
    <definedName name="is_op_tax_CM2DC">#REF!</definedName>
    <definedName name="is_op_tax_CM2DE">#REF!</definedName>
    <definedName name="is_op_tax_CM2EL">#REF!</definedName>
    <definedName name="is_op_tax_CM2NE">#REF!</definedName>
    <definedName name="is_op_tax_CM3DC">#REF!</definedName>
    <definedName name="is_op_tax_CM3DE">#REF!</definedName>
    <definedName name="is_op_tax_CM3EL">#REF!</definedName>
    <definedName name="is_op_tax_CM3NE">#REF!</definedName>
    <definedName name="is_op_tax_CM4DC">#REF!</definedName>
    <definedName name="is_op_tax_CM4DE">#REF!</definedName>
    <definedName name="is_op_tax_CM4EL">#REF!</definedName>
    <definedName name="is_op_tax_CM4NE">#REF!</definedName>
    <definedName name="is_op_tax_cres">#REF!</definedName>
    <definedName name="is_op_tax_DCC">#REF!</definedName>
    <definedName name="is_op_tax_dcom">#REF!</definedName>
    <definedName name="is_op_tax_desi">#REF!</definedName>
    <definedName name="is_op_tax_dfd">#REF!</definedName>
    <definedName name="is_op_tax_dgov">#REF!</definedName>
    <definedName name="is_op_tax_dnet">#REF!</definedName>
    <definedName name="is_op_tax_DPBG">#REF!</definedName>
    <definedName name="is_op_tax_dsol">#REF!</definedName>
    <definedName name="is_op_tax_egov">#REF!</definedName>
    <definedName name="is_op_tax_elec">#REF!</definedName>
    <definedName name="is_op_tax_esvc">#REF!</definedName>
    <definedName name="is_op_tax_fnco">#REF!</definedName>
    <definedName name="is_op_tax_fsac">#REF!</definedName>
    <definedName name="is_op_tax_fser">#REF!</definedName>
    <definedName name="is_op_tax_fstp">#REF!</definedName>
    <definedName name="is_op_tax_gadd">#REF!</definedName>
    <definedName name="is_op_tax_gadi">#REF!</definedName>
    <definedName name="is_op_tax_gov">#REF!</definedName>
    <definedName name="is_op_tax_nep">#REF!</definedName>
    <definedName name="is_op_tax_ngov">#REF!</definedName>
    <definedName name="is_op_tax_resm">#REF!</definedName>
    <definedName name="is_op_tax_rgov">#REF!</definedName>
    <definedName name="is_op_tax_tam">#REF!</definedName>
    <definedName name="is_op_tax_tsc">#REF!</definedName>
    <definedName name="is_op_tax_vent">#REF!</definedName>
    <definedName name="is_op_tax_vfs">#REF!</definedName>
    <definedName name="is_op_tax_watr">#REF!</definedName>
    <definedName name="is_oth_op_rev">#REF!</definedName>
    <definedName name="is_othernet">#REF!</definedName>
    <definedName name="is_othint">#REF!</definedName>
    <definedName name="is_othint_inc_CM1DC">#REF!</definedName>
    <definedName name="is_othint_inc_CM1DE">#REF!</definedName>
    <definedName name="is_othint_inc_CM1EL">#REF!</definedName>
    <definedName name="is_othint_inc_CM4DC">#REF!</definedName>
    <definedName name="is_othint_inc_CM4DE">#REF!</definedName>
    <definedName name="is_othint_inc_CM4EL">#REF!</definedName>
    <definedName name="is_othint_inc_CMDCC">#REF!</definedName>
    <definedName name="is_othint_inc_CMDEC">#REF!</definedName>
    <definedName name="is_othint_inc_CMDEG">#REF!</definedName>
    <definedName name="is_othint_inc_CMELE">#REF!</definedName>
    <definedName name="is_othint_inc_dcc">#REF!</definedName>
    <definedName name="is_othint_inco">#REF!</definedName>
    <definedName name="is_othint_nop">#REF!</definedName>
    <definedName name="is_pfin_adj">#REF!</definedName>
    <definedName name="is_pfin_adj_esvc">#REF!</definedName>
    <definedName name="is_pfin_adj_new_esvc">#REF!</definedName>
    <definedName name="is_pfin_gross">#REF!</definedName>
    <definedName name="is_pfs_div_CMDCC">#REF!</definedName>
    <definedName name="is_pfs_div_CMDEC">#REF!</definedName>
    <definedName name="is_pfs_div_CMDEG">#REF!</definedName>
    <definedName name="is_pfs_div_CMELE">#REF!</definedName>
    <definedName name="is_pfs_div_cres">#REF!</definedName>
    <definedName name="is_pfs_div_crmw">#REF!</definedName>
    <definedName name="is_pfs_div_dadj">#REF!</definedName>
    <definedName name="is_pfs_div_dcc">#REF!</definedName>
    <definedName name="is_pfs_div_dccw">#REF!</definedName>
    <definedName name="is_pfs_div_dcom">#REF!</definedName>
    <definedName name="is_pfs_div_degw">#REF!</definedName>
    <definedName name="is_pfs_div_deiw">#REF!</definedName>
    <definedName name="is_pfs_div_denw">#REF!</definedName>
    <definedName name="is_pfs_div_desi">#REF!</definedName>
    <definedName name="is_pfs_div_dess">#REF!</definedName>
    <definedName name="is_pfs_div_dfd">#REF!</definedName>
    <definedName name="is_pfs_div_dnet">#REF!</definedName>
    <definedName name="is_pfs_div_dpbg">#REF!</definedName>
    <definedName name="is_pfs_div_dsol">#REF!</definedName>
    <definedName name="is_pfs_div_elec">#REF!</definedName>
    <definedName name="is_pfs_div_esvc">#REF!</definedName>
    <definedName name="is_pfs_div_fnco">#REF!</definedName>
    <definedName name="is_pfs_div_fsac">#REF!</definedName>
    <definedName name="is_pfs_div_fser">#REF!</definedName>
    <definedName name="is_pfs_div_fstp">#REF!</definedName>
    <definedName name="is_pfs_div_gadd">#REF!</definedName>
    <definedName name="is_pfs_div_gadi">#REF!</definedName>
    <definedName name="is_pfs_div_govd">#REF!</definedName>
    <definedName name="is_pfs_div_gove">#REF!</definedName>
    <definedName name="is_pfs_div_nep">#REF!</definedName>
    <definedName name="is_pfs_div_resm">#REF!</definedName>
    <definedName name="is_pfs_div_sols">#REF!</definedName>
    <definedName name="is_pfs_div_tam">#REF!</definedName>
    <definedName name="is_pfs_div_tsc">#REF!</definedName>
    <definedName name="is_pfs_div_vent">#REF!</definedName>
    <definedName name="is_pfs_div_watr">#REF!</definedName>
    <definedName name="is_pfs_div_west">#REF!</definedName>
    <definedName name="is_pp_net">#REF!</definedName>
    <definedName name="is_pp_net_CM1DC">#REF!</definedName>
    <definedName name="is_pp_net_CM1DE">#REF!</definedName>
    <definedName name="is_pp_net_CM1EL">#REF!</definedName>
    <definedName name="is_pp_net_CM1NE">#REF!</definedName>
    <definedName name="is_pp_net_cres">#REF!</definedName>
    <definedName name="is_pp_net_dcc">#REF!</definedName>
    <definedName name="is_pp_net_dcom">#REF!</definedName>
    <definedName name="is_pp_net_desi">#REF!</definedName>
    <definedName name="is_pp_net_dfd">#REF!</definedName>
    <definedName name="is_pp_net_dnet">#REF!</definedName>
    <definedName name="is_pp_net_dpbg">#REF!</definedName>
    <definedName name="is_pp_net_dsol">#REF!</definedName>
    <definedName name="is_pp_net_esvc">#REF!</definedName>
    <definedName name="is_pp_net_fnco">#REF!</definedName>
    <definedName name="is_pp_net_fsac">#REF!</definedName>
    <definedName name="is_pp_net_fser">#REF!</definedName>
    <definedName name="is_pp_net_fstp">#REF!</definedName>
    <definedName name="is_pp_net_gadd">#REF!</definedName>
    <definedName name="is_pp_net_gadi">#REF!</definedName>
    <definedName name="is_pp_net_nep">#REF!</definedName>
    <definedName name="is_pp_net_resm">#REF!</definedName>
    <definedName name="is_pp_net_tam">#REF!</definedName>
    <definedName name="is_pp_net_tsc">#REF!</definedName>
    <definedName name="is_pp_net_vent">#REF!</definedName>
    <definedName name="is_pp_net_vfs">#REF!</definedName>
    <definedName name="is_pp_net_watr">#REF!</definedName>
    <definedName name="is_rev_elec">#REF!</definedName>
    <definedName name="is_rev_gas">#REF!</definedName>
    <definedName name="is_rev_oth">#REF!</definedName>
    <definedName name="is_rev_oth_cm">#REF!</definedName>
    <definedName name="is_rev_oth_gad">#REF!</definedName>
    <definedName name="is_rev_oth_or">#REF!</definedName>
    <definedName name="is_subs_total">#REF!</definedName>
    <definedName name="is_tax_cur">#REF!</definedName>
    <definedName name="is_tax_def">#REF!</definedName>
    <definedName name="is_tax_def_CMDCC">#REF!</definedName>
    <definedName name="is_tax_def_CMDEC">#REF!</definedName>
    <definedName name="is_tax_def_CMDEG">#REF!</definedName>
    <definedName name="is_tax_def_CMELE">#REF!</definedName>
    <definedName name="is_tax_def_cres">#REF!</definedName>
    <definedName name="is_tax_def_crmw">#REF!</definedName>
    <definedName name="is_tax_def_dcc">#REF!</definedName>
    <definedName name="is_tax_def_dccw">#REF!</definedName>
    <definedName name="is_tax_def_dcom">#REF!</definedName>
    <definedName name="is_tax_def_desi">#REF!</definedName>
    <definedName name="is_tax_def_dfd">#REF!</definedName>
    <definedName name="is_tax_def_dnet">#REF!</definedName>
    <definedName name="is_tax_def_dpbg">#REF!</definedName>
    <definedName name="is_tax_def_dsol">#REF!</definedName>
    <definedName name="is_tax_def_elec">#REF!</definedName>
    <definedName name="is_tax_def_esvc">#REF!</definedName>
    <definedName name="is_tax_def_fnco">#REF!</definedName>
    <definedName name="is_tax_def_fsac">#REF!</definedName>
    <definedName name="is_tax_def_fstp">#REF!</definedName>
    <definedName name="is_tax_def_gadd">#REF!</definedName>
    <definedName name="is_tax_def_gadi">#REF!</definedName>
    <definedName name="is_tax_def_govd">#REF!</definedName>
    <definedName name="is_tax_def_gove">#REF!</definedName>
    <definedName name="is_tax_def_nep">#REF!</definedName>
    <definedName name="is_tax_def_resm">#REF!</definedName>
    <definedName name="is_tax_def_tam">#REF!</definedName>
    <definedName name="is_tax_def_tsc">#REF!</definedName>
    <definedName name="is_tax_def_vent">#REF!</definedName>
    <definedName name="is_tax_itc">#REF!</definedName>
    <definedName name="is_tot_inc_taxes">#REF!</definedName>
    <definedName name="is_tot_oth_inc">#REF!</definedName>
    <definedName name="Jan_Y1">#REF!</definedName>
    <definedName name="Jan_Y2">#REF!</definedName>
    <definedName name="Jan_Y3">#REF!</definedName>
    <definedName name="January">#REF!</definedName>
    <definedName name="January_recon">#REF!</definedName>
    <definedName name="JLB_Inputs">#REF!</definedName>
    <definedName name="Journal">#REF!</definedName>
    <definedName name="Jul_Y1">#REF!</definedName>
    <definedName name="Jul_Y2">#REF!</definedName>
    <definedName name="Jul_Y3">#REF!</definedName>
    <definedName name="July">#REF!</definedName>
    <definedName name="July_recon">#REF!</definedName>
    <definedName name="Jun_Y1">#REF!</definedName>
    <definedName name="Jun_Y2">#REF!</definedName>
    <definedName name="Jun_Y3">#REF!</definedName>
    <definedName name="June">#REF!</definedName>
    <definedName name="June_recon">#REF!</definedName>
    <definedName name="key_asset_cur">'[11]Page 5'!$B$1:$C$65536</definedName>
    <definedName name="key_asset_prev">'[11]Page 5'!$B$1:$D$65536</definedName>
    <definedName name="KPSC">[3]LOGO!$C$24</definedName>
    <definedName name="KPSCMaint">[3]LOGO!$C$23</definedName>
    <definedName name="last_year">'[11]Page 3'!$C$2</definedName>
    <definedName name="lookup">#REF!</definedName>
    <definedName name="LYN">#REF!</definedName>
    <definedName name="m">[19]schedules!$A$9:$J$94</definedName>
    <definedName name="Mar_Y1">#REF!</definedName>
    <definedName name="Mar_Y2">#REF!</definedName>
    <definedName name="Mar_Y3">#REF!</definedName>
    <definedName name="March">#REF!</definedName>
    <definedName name="March_recon">#REF!</definedName>
    <definedName name="May">#REF!</definedName>
    <definedName name="May_recon">#REF!</definedName>
    <definedName name="May_Y1">#REF!</definedName>
    <definedName name="May_Y2">#REF!</definedName>
    <definedName name="May_Y3">#REF!</definedName>
    <definedName name="menu_inputs">#REF!</definedName>
    <definedName name="menu_select">#REF!</definedName>
    <definedName name="mgtcm">#REF!</definedName>
    <definedName name="MgtRpt_CF">#REF!</definedName>
    <definedName name="MgtRpt_EBIT">#REF!</definedName>
    <definedName name="mgtytd">#REF!</definedName>
    <definedName name="min_int_ebit_detail">#REF!</definedName>
    <definedName name="min_int_int_detail">#REF!</definedName>
    <definedName name="MINCR">[3]SCH_C1!$G$17</definedName>
    <definedName name="Mo">#REF!</definedName>
    <definedName name="Month">#REF!</definedName>
    <definedName name="Month_Report">#REF!</definedName>
    <definedName name="MONTHLY">#REF!</definedName>
    <definedName name="Mthyr">'[12]Input Sheet'!$A$1</definedName>
    <definedName name="Net_Property__Plant_and_Equipment">#REF!</definedName>
    <definedName name="new">'[1]Intangible (2)'!$E$11:$G$46</definedName>
    <definedName name="non_cur_assets">"="</definedName>
    <definedName name="NOPHrs">#REF!</definedName>
    <definedName name="notes">#REF!</definedName>
    <definedName name="Nov_Y1">#REF!</definedName>
    <definedName name="Nov_Y2">#REF!</definedName>
    <definedName name="Nov_Y3">#REF!</definedName>
    <definedName name="November">#REF!</definedName>
    <definedName name="November_recon">#REF!</definedName>
    <definedName name="NPHrs">#REF!</definedName>
    <definedName name="nSFE">[6]Ref_dat!$N$3</definedName>
    <definedName name="Num_Rows">#REF!</definedName>
    <definedName name="NvsASD">"V2003-03-30"</definedName>
    <definedName name="NvsAutoDrillOk">"VN"</definedName>
    <definedName name="NvsElapsedTime">0.0000813657388789579</definedName>
    <definedName name="NvsInstSpec">"%,FBUSINESS_UNIT,TBU_MGT,NT&amp;M,FCURRENCY_CD,VAUD"</definedName>
    <definedName name="NvsLayoutType">"M3"</definedName>
    <definedName name="NvsNplSpec">"%,X,RZF..,CZF.."</definedName>
    <definedName name="NvsPanelEffdt">"V1900-01-01"</definedName>
    <definedName name="NvsPanelSetid">"VSHARE"</definedName>
    <definedName name="NvsReqBU">"V51020"</definedName>
    <definedName name="NvsReqBUOnly">"VN"</definedName>
    <definedName name="NvsTransLed">"VN"</definedName>
    <definedName name="NvsTreeASD">"V2003-03-30"</definedName>
    <definedName name="NvsValTbl.BUSINESS_UNIT">"BUS_UNIT_TBL_FS"</definedName>
    <definedName name="NvsValTbl.CURRENCY_CD">"CURRENCY_CD_TBL"</definedName>
    <definedName name="NvsValTbl.DEPTID">"DEPARTMENT_TBL"</definedName>
    <definedName name="NvsValTbl.SCENARIO">"BD_SCENARIO_TBL"</definedName>
    <definedName name="Oct_Y1">#REF!</definedName>
    <definedName name="Oct_Y2">#REF!</definedName>
    <definedName name="Oct_Y3">#REF!</definedName>
    <definedName name="October">#REF!</definedName>
    <definedName name="October_recon">#REF!</definedName>
    <definedName name="om_exp_detail">#REF!</definedName>
    <definedName name="OPC">#REF!</definedName>
    <definedName name="OPL">#REF!</definedName>
    <definedName name="OPR">#REF!</definedName>
    <definedName name="option_type_id">[6]Ref_dat!$Q$3:$Q$4</definedName>
    <definedName name="OptionType">[6]Ref_dat!$P$3:$P$4</definedName>
    <definedName name="OTHER">#REF!</definedName>
    <definedName name="other_inc_ded_detail">#REF!</definedName>
    <definedName name="other_invest_detail">#REF!</definedName>
    <definedName name="other_rev_detail">#REF!</definedName>
    <definedName name="page1">#REF!</definedName>
    <definedName name="page11">'[20]Property Rolls'!$A$5:$F$57</definedName>
    <definedName name="page12">'[20]Property Rolls'!$A$58:$F$114</definedName>
    <definedName name="page2">#REF!</definedName>
    <definedName name="page3">#REF!</definedName>
    <definedName name="page4">#REF!</definedName>
    <definedName name="page5">#REF!</definedName>
    <definedName name="PartialBarrier">[0]!PartialBarrier</definedName>
    <definedName name="PED">#REF!</definedName>
    <definedName name="PEPL__Pan_Gathering___Co._10042">#REF!</definedName>
    <definedName name="PER">#REF!</definedName>
    <definedName name="PERIOD">[3]LOGO!$B$7</definedName>
    <definedName name="PeriodF">[3]LOGO!$B$8</definedName>
    <definedName name="phil">#REF!</definedName>
    <definedName name="PLANT_IN_SERVICE">[3]SCH_B1!$I$18</definedName>
    <definedName name="portfolio_summary">#REF!</definedName>
    <definedName name="Pr_mth_lease">#REF!</definedName>
    <definedName name="prev_alpha_month">'[11]Page 3'!$D$2</definedName>
    <definedName name="prev_dec">'[11]Page 5'!$E$1:$E$65536</definedName>
    <definedName name="prev_month">'[11]Page 5'!$D$1:$D$65536</definedName>
    <definedName name="prev_year">'[11]Page 3'!$E$2</definedName>
    <definedName name="PriceHrsTable">#REF!</definedName>
    <definedName name="PRINT">#REF!</definedName>
    <definedName name="_xlnm.Print_Area" localSheetId="45">'Amort 0182050'!$L$1:$X$137</definedName>
    <definedName name="_xlnm.Print_Area" localSheetId="47">'Amort 0182493'!$A$1:$AI$341</definedName>
    <definedName name="_xlnm.Print_Area" localSheetId="4">'DEK Apr 2015'!$B$7:$K$158</definedName>
    <definedName name="_xlnm.Print_Area" localSheetId="21">'DEK Apr 2016'!$B$1:$L$138</definedName>
    <definedName name="_xlnm.Print_Area" localSheetId="33">'DEK Apr 2017'!$B$1:$L$149</definedName>
    <definedName name="_xlnm.Print_Area" localSheetId="9">'DEK Aug 2015'!$B$7:$K$158</definedName>
    <definedName name="_xlnm.Print_Area" localSheetId="26">'DEK Aug 2016'!$B$1:$L$138</definedName>
    <definedName name="_xlnm.Print_Area" localSheetId="37">'DEK Aug 2017'!$B$1:$L$152</definedName>
    <definedName name="_xlnm.Print_Area" localSheetId="14">'DEK Dec 2015'!$B$1:$L$137</definedName>
    <definedName name="_xlnm.Print_Area" localSheetId="29">'DEK Dec 2016'!$B$1:$L$144</definedName>
    <definedName name="_xlnm.Print_Area" localSheetId="1">'DEK Feb 2015'!$B$7:$K$158</definedName>
    <definedName name="_xlnm.Print_Area" localSheetId="18">'DEK Feb 2016'!$B$1:$L$135</definedName>
    <definedName name="_xlnm.Print_Area" localSheetId="31">'DEK Feb 2017'!$B$1:$L$145</definedName>
    <definedName name="_xlnm.Print_Area" localSheetId="0">'DEK Jan 2015'!$B$7:$K$158</definedName>
    <definedName name="_xlnm.Print_Area" localSheetId="17">'DEK Jan 2016'!$A$1:$M$138</definedName>
    <definedName name="_xlnm.Print_Area" localSheetId="30">'DEK Jan 2017'!$B$1:$L$145</definedName>
    <definedName name="_xlnm.Print_Area" localSheetId="8">'DEK Jul 2015'!$B$7:$K$160</definedName>
    <definedName name="_xlnm.Print_Area" localSheetId="25">'DEK Jul 2016'!$B$1:$L$138</definedName>
    <definedName name="_xlnm.Print_Area" localSheetId="36">'DEK Jul 2017'!$B$1:$L$152</definedName>
    <definedName name="_xlnm.Print_Area" localSheetId="6">'DEK Jun 2015'!$B$7:$K$160</definedName>
    <definedName name="_xlnm.Print_Area" localSheetId="23">'DEK Jun 2016'!$B$1:$L$138</definedName>
    <definedName name="_xlnm.Print_Area" localSheetId="2">'DEK Mar 2015'!$B$7:$K$158</definedName>
    <definedName name="_xlnm.Print_Area" localSheetId="19">'DEK Mar 2016'!$B$1:$L$135</definedName>
    <definedName name="_xlnm.Print_Area" localSheetId="5">'DEK May 2015'!$B$7:$K$158</definedName>
    <definedName name="_xlnm.Print_Area" localSheetId="22">'DEK May 2016'!$B$1:$L$138</definedName>
    <definedName name="_xlnm.Print_Area" localSheetId="34">'DEK May 2017'!$B$1:$L$149</definedName>
    <definedName name="_xlnm.Print_Area" localSheetId="13">'DEK Nov 2015'!$B$7:$K$160</definedName>
    <definedName name="_xlnm.Print_Area" localSheetId="12">'DEK Oct 2015'!$B$7:$K$158</definedName>
    <definedName name="_xlnm.Print_Area" localSheetId="28">'DEK Oct 2016'!$B$1:$L$138</definedName>
    <definedName name="_xlnm.Print_Area" localSheetId="39">'DEK Oct 2017 '!$B$1:$L$152</definedName>
    <definedName name="_xlnm.Print_Area" localSheetId="3">'DEK Q1 2015'!$B$7:$K$158</definedName>
    <definedName name="_xlnm.Print_Area" localSheetId="20">'DEK Q1 2016'!$B$1:$L$135</definedName>
    <definedName name="_xlnm.Print_Area" localSheetId="32">'DEK Q1 2017'!$B$1:$L$147</definedName>
    <definedName name="_xlnm.Print_Area" localSheetId="7">'DEK Q2 2015'!$B$7:$K$160</definedName>
    <definedName name="_xlnm.Print_Area" localSheetId="24">'DEK Q2 2016'!$B$1:$L$138</definedName>
    <definedName name="_xlnm.Print_Area" localSheetId="35">'DEK Q2 2017'!$B$1:$L$150</definedName>
    <definedName name="_xlnm.Print_Area" localSheetId="11">'DEK Q3 2015'!$B$7:$K$158</definedName>
    <definedName name="_xlnm.Print_Area" localSheetId="27">'DEK Q3 2016'!$B$1:$L$138</definedName>
    <definedName name="_xlnm.Print_Area" localSheetId="38">'DEK Q3 2017'!$B$1:$L$152</definedName>
    <definedName name="_xlnm.Print_Area" localSheetId="15">'DEK Q4 2015'!$B$7:$K$168</definedName>
    <definedName name="_xlnm.Print_Area" localSheetId="10">'DEK Sep 2015'!$B$7:$K$158</definedName>
    <definedName name="_xlnm.Print_Area" localSheetId="40">Summary!$A$1:$E$11</definedName>
    <definedName name="_xlnm.Print_Area" localSheetId="16">'YTD 2015'!$B$2:$L$172</definedName>
    <definedName name="_xlnm.Print_Titles" localSheetId="45">'Amort 0182050'!$3:$5</definedName>
    <definedName name="_xlnm.Print_Titles" localSheetId="42">'Amort 0182525'!$25:$25</definedName>
    <definedName name="_xlnm.Print_Titles" localSheetId="4">'DEK Apr 2015'!$1:$6</definedName>
    <definedName name="_xlnm.Print_Titles" localSheetId="21">'DEK Apr 2016'!$1:$6</definedName>
    <definedName name="_xlnm.Print_Titles" localSheetId="33">'DEK Apr 2017'!$1:$6</definedName>
    <definedName name="_xlnm.Print_Titles" localSheetId="9">'DEK Aug 2015'!$1:$6</definedName>
    <definedName name="_xlnm.Print_Titles" localSheetId="26">'DEK Aug 2016'!$1:$6</definedName>
    <definedName name="_xlnm.Print_Titles" localSheetId="37">'DEK Aug 2017'!$1:$6</definedName>
    <definedName name="_xlnm.Print_Titles" localSheetId="14">'DEK Dec 2015'!$1:$6</definedName>
    <definedName name="_xlnm.Print_Titles" localSheetId="29">'DEK Dec 2016'!$1:$6</definedName>
    <definedName name="_xlnm.Print_Titles" localSheetId="1">'DEK Feb 2015'!$1:$6</definedName>
    <definedName name="_xlnm.Print_Titles" localSheetId="18">'DEK Feb 2016'!$1:$6</definedName>
    <definedName name="_xlnm.Print_Titles" localSheetId="31">'DEK Feb 2017'!$1:$6</definedName>
    <definedName name="_xlnm.Print_Titles" localSheetId="0">'DEK Jan 2015'!$1:$6</definedName>
    <definedName name="_xlnm.Print_Titles" localSheetId="17">'DEK Jan 2016'!$1:$6</definedName>
    <definedName name="_xlnm.Print_Titles" localSheetId="30">'DEK Jan 2017'!$1:$6</definedName>
    <definedName name="_xlnm.Print_Titles" localSheetId="8">'DEK Jul 2015'!$1:$6</definedName>
    <definedName name="_xlnm.Print_Titles" localSheetId="25">'DEK Jul 2016'!$1:$6</definedName>
    <definedName name="_xlnm.Print_Titles" localSheetId="36">'DEK Jul 2017'!$1:$6</definedName>
    <definedName name="_xlnm.Print_Titles" localSheetId="6">'DEK Jun 2015'!$1:$6</definedName>
    <definedName name="_xlnm.Print_Titles" localSheetId="23">'DEK Jun 2016'!$1:$6</definedName>
    <definedName name="_xlnm.Print_Titles" localSheetId="2">'DEK Mar 2015'!$1:$6</definedName>
    <definedName name="_xlnm.Print_Titles" localSheetId="19">'DEK Mar 2016'!$1:$6</definedName>
    <definedName name="_xlnm.Print_Titles" localSheetId="5">'DEK May 2015'!$1:$6</definedName>
    <definedName name="_xlnm.Print_Titles" localSheetId="22">'DEK May 2016'!$1:$6</definedName>
    <definedName name="_xlnm.Print_Titles" localSheetId="34">'DEK May 2017'!$1:$6</definedName>
    <definedName name="_xlnm.Print_Titles" localSheetId="13">'DEK Nov 2015'!$1:$6</definedName>
    <definedName name="_xlnm.Print_Titles" localSheetId="12">'DEK Oct 2015'!$1:$6</definedName>
    <definedName name="_xlnm.Print_Titles" localSheetId="28">'DEK Oct 2016'!$1:$6</definedName>
    <definedName name="_xlnm.Print_Titles" localSheetId="39">'DEK Oct 2017 '!$1:$6</definedName>
    <definedName name="_xlnm.Print_Titles" localSheetId="3">'DEK Q1 2015'!$1:$6</definedName>
    <definedName name="_xlnm.Print_Titles" localSheetId="20">'DEK Q1 2016'!$1:$6</definedName>
    <definedName name="_xlnm.Print_Titles" localSheetId="32">'DEK Q1 2017'!$1:$6</definedName>
    <definedName name="_xlnm.Print_Titles" localSheetId="7">'DEK Q2 2015'!$1:$6</definedName>
    <definedName name="_xlnm.Print_Titles" localSheetId="24">'DEK Q2 2016'!$1:$6</definedName>
    <definedName name="_xlnm.Print_Titles" localSheetId="35">'DEK Q2 2017'!$1:$6</definedName>
    <definedName name="_xlnm.Print_Titles" localSheetId="11">'DEK Q3 2015'!$1:$6</definedName>
    <definedName name="_xlnm.Print_Titles" localSheetId="27">'DEK Q3 2016'!$1:$6</definedName>
    <definedName name="_xlnm.Print_Titles" localSheetId="38">'DEK Q3 2017'!$1:$6</definedName>
    <definedName name="_xlnm.Print_Titles" localSheetId="15">'DEK Q4 2015'!$1:$6</definedName>
    <definedName name="_xlnm.Print_Titles" localSheetId="10">'DEK Sep 2015'!$1:$6</definedName>
    <definedName name="_xlnm.Print_Titles" localSheetId="16">'YTD 2015'!$1:$6</definedName>
    <definedName name="print3">#REF!</definedName>
    <definedName name="print4">'[16]IR Earnings Drivers (QTR)'!$A$1:$Q$155</definedName>
    <definedName name="print5">'[16]Ongoing EPS - YTD'!$A$1:$O$44</definedName>
    <definedName name="printall">#REF!</definedName>
    <definedName name="proj_ebits_non_pfin">#REF!</definedName>
    <definedName name="proj_ebits_pfin">#REF!</definedName>
    <definedName name="put_call_id">[6]Ref_dat!$O$3:$O$4</definedName>
    <definedName name="q_data_cap">#REF!</definedName>
    <definedName name="qreport">#REF!</definedName>
    <definedName name="qtr_budget">#REF!</definedName>
    <definedName name="QtrCALC">#REF!</definedName>
    <definedName name="qtrcore">'[16]Ongoing EPS - QTR'!$A$1:$L$56</definedName>
    <definedName name="qtronly">#REF!</definedName>
    <definedName name="RATIOS">#REF!</definedName>
    <definedName name="RBN">#REF!</definedName>
    <definedName name="RBU">#REF!</definedName>
    <definedName name="recon1">#REF!</definedName>
    <definedName name="recon2">#REF!</definedName>
    <definedName name="region_id">[6]Ref_dat!$F$3:$F$9</definedName>
    <definedName name="return_of_cap_detail">#REF!</definedName>
    <definedName name="rick">#REF!</definedName>
    <definedName name="RicksPage">#REF!</definedName>
    <definedName name="roce">#REF!</definedName>
    <definedName name="ROCE_Act">#REF!</definedName>
    <definedName name="ROCE_Actual">#REF!</definedName>
    <definedName name="roce_avg_cap">#REF!</definedName>
    <definedName name="roce_avg_cap_CM4DC">#REF!</definedName>
    <definedName name="roce_avg_cap_CM4DE">#REF!</definedName>
    <definedName name="roce_avg_cap_CM4EL">#REF!</definedName>
    <definedName name="roce_avg_cap_CMDCC">#REF!</definedName>
    <definedName name="roce_avg_cap_CMDEC">#REF!</definedName>
    <definedName name="roce_avg_cap_CMDEG">#REF!</definedName>
    <definedName name="roce_avg_cap_CMELE">#REF!</definedName>
    <definedName name="roce_avg_cap_cres">#REF!</definedName>
    <definedName name="roce_avg_cap_crmw">#REF!</definedName>
    <definedName name="roce_avg_cap_dcc">#REF!</definedName>
    <definedName name="roce_avg_cap_dccw">#REF!</definedName>
    <definedName name="roce_avg_cap_dcom">#REF!</definedName>
    <definedName name="roce_avg_cap_desi">#REF!</definedName>
    <definedName name="roce_avg_cap_dfd">#REF!</definedName>
    <definedName name="roce_avg_cap_dnet">#REF!</definedName>
    <definedName name="roce_avg_cap_dpbg">#REF!</definedName>
    <definedName name="roce_avg_cap_dsol">#REF!</definedName>
    <definedName name="roce_avg_cap_elec">#REF!</definedName>
    <definedName name="roce_avg_cap_esvc">#REF!</definedName>
    <definedName name="roce_avg_cap_fnco">#REF!</definedName>
    <definedName name="roce_avg_cap_fsac">#REF!</definedName>
    <definedName name="roce_avg_cap_fstp">#REF!</definedName>
    <definedName name="roce_avg_cap_gadd">#REF!</definedName>
    <definedName name="roce_avg_cap_gadi">#REF!</definedName>
    <definedName name="roce_avg_cap_govd">#REF!</definedName>
    <definedName name="roce_avg_cap_gove">#REF!</definedName>
    <definedName name="roce_avg_cap_nep">#REF!</definedName>
    <definedName name="roce_avg_cap_resm">#REF!</definedName>
    <definedName name="roce_avg_cap_tam">#REF!</definedName>
    <definedName name="roce_avg_cap_tsc">#REF!</definedName>
    <definedName name="roce_avg_cap_vent">#REF!</definedName>
    <definedName name="ROCE_Bud">#REF!</definedName>
    <definedName name="ROCE_Budget">#REF!</definedName>
    <definedName name="roce_cap_adj">#REF!</definedName>
    <definedName name="roce_debt">#REF!</definedName>
    <definedName name="roce_ebit">#REF!</definedName>
    <definedName name="roce_ebit_adj">#REF!</definedName>
    <definedName name="roce_ebit_CM4DC">#REF!</definedName>
    <definedName name="roce_ebit_CM4DE">#REF!</definedName>
    <definedName name="roce_ebit_CM4EL">#REF!</definedName>
    <definedName name="roce_ebit_CMDCC">#REF!</definedName>
    <definedName name="roce_ebit_CMDEC">#REF!</definedName>
    <definedName name="roce_ebit_CMDEG">#REF!</definedName>
    <definedName name="roce_ebit_CMELE">#REF!</definedName>
    <definedName name="roce_ebit_cres">#REF!</definedName>
    <definedName name="roce_ebit_crmw">#REF!</definedName>
    <definedName name="roce_ebit_dcc">#REF!</definedName>
    <definedName name="roce_ebit_dccw">#REF!</definedName>
    <definedName name="roce_ebit_dcom">#REF!</definedName>
    <definedName name="roce_ebit_desi">#REF!</definedName>
    <definedName name="roce_ebit_dfd">#REF!</definedName>
    <definedName name="roce_ebit_dnet">#REF!</definedName>
    <definedName name="roce_ebit_dpbg">#REF!</definedName>
    <definedName name="roce_ebit_dsol">#REF!</definedName>
    <definedName name="roce_ebit_elec">#REF!</definedName>
    <definedName name="roce_ebit_esvc">#REF!</definedName>
    <definedName name="roce_ebit_fnco">#REF!</definedName>
    <definedName name="roce_ebit_fsac">#REF!</definedName>
    <definedName name="roce_ebit_fstp">#REF!</definedName>
    <definedName name="roce_ebit_gadd">#REF!</definedName>
    <definedName name="roce_ebit_gadi">#REF!</definedName>
    <definedName name="roce_ebit_govd">#REF!</definedName>
    <definedName name="roce_ebit_gove">#REF!</definedName>
    <definedName name="roce_ebit_nep">#REF!</definedName>
    <definedName name="roce_ebit_resm">#REF!</definedName>
    <definedName name="roce_ebit_tam">#REF!</definedName>
    <definedName name="roce_ebit_tsc">#REF!</definedName>
    <definedName name="roce_ebit_vent">#REF!</definedName>
    <definedName name="roce_ending_cap_dnet">#REF!</definedName>
    <definedName name="roce_ending_cap_fsac">#REF!</definedName>
    <definedName name="roce_ending_cap_gadd">#REF!</definedName>
    <definedName name="roce_ending_cap_nep">#REF!</definedName>
    <definedName name="roce_ending_cap_tam">#REF!</definedName>
    <definedName name="roce_equity">#REF!</definedName>
    <definedName name="roce_percent_CM1DC">#REF!</definedName>
    <definedName name="roce_percent_CM1DE">#REF!</definedName>
    <definedName name="roce_percent_CM1EL">#REF!</definedName>
    <definedName name="roce_percent_CMDCC">#REF!</definedName>
    <definedName name="roce_percent_CMDEC">#REF!</definedName>
    <definedName name="roce_percent_CMDEG">#REF!</definedName>
    <definedName name="roce_percent_CMELE">#REF!</definedName>
    <definedName name="roce_percent_cres">#REF!</definedName>
    <definedName name="roce_percent_crmw">#REF!</definedName>
    <definedName name="roce_percent_dcc">#REF!</definedName>
    <definedName name="roce_percent_dccw">#REF!</definedName>
    <definedName name="roce_percent_dcom">#REF!</definedName>
    <definedName name="roce_percent_desi">#REF!</definedName>
    <definedName name="roce_percent_dfd">#REF!</definedName>
    <definedName name="roce_percent_dnet">#REF!</definedName>
    <definedName name="roce_percent_dpbg">#REF!</definedName>
    <definedName name="roce_percent_dsol">#REF!</definedName>
    <definedName name="roce_percent_elec">#REF!</definedName>
    <definedName name="roce_percent_esvc">#REF!</definedName>
    <definedName name="roce_percent_fnco">#REF!</definedName>
    <definedName name="roce_percent_fsac">#REF!</definedName>
    <definedName name="roce_percent_fstp">#REF!</definedName>
    <definedName name="roce_percent_gadd">#REF!</definedName>
    <definedName name="roce_percent_gadi">#REF!</definedName>
    <definedName name="roce_percent_govd">#REF!</definedName>
    <definedName name="roce_percent_gove">#REF!</definedName>
    <definedName name="roce_percent_nep">#REF!</definedName>
    <definedName name="roce_percent_resm">#REF!</definedName>
    <definedName name="roce_percent_tam">#REF!</definedName>
    <definedName name="roce_percent_tsc">#REF!</definedName>
    <definedName name="roce_percent_vent">#REF!</definedName>
    <definedName name="ROCE_Prior_Year">#REF!</definedName>
    <definedName name="ROCE_PYr">#REF!</definedName>
    <definedName name="ROCE_var_recon">#REF!</definedName>
    <definedName name="RofR">'[3]SCH_J1 - Forecast'!$M$21</definedName>
    <definedName name="RofRdiff">'[3]Rate Case Drivers'!$I$16</definedName>
    <definedName name="RofRold">'[3]Rate Case Drivers'!$C$16</definedName>
    <definedName name="RTT">#REF!</definedName>
    <definedName name="runperiod1input">#REF!</definedName>
    <definedName name="SCD">#REF!</definedName>
    <definedName name="SCHA">#REF!</definedName>
    <definedName name="SCN">#REF!</definedName>
    <definedName name="sec_fixed_CMDCC">#REF!</definedName>
    <definedName name="sec_fixed_CMDEC">#REF!</definedName>
    <definedName name="sec_fixed_CMDEG">#REF!</definedName>
    <definedName name="sec_fixed_CMELE">#REF!</definedName>
    <definedName name="Sep_Y1">#REF!</definedName>
    <definedName name="Sep_Y2">#REF!</definedName>
    <definedName name="Sep_Y3">#REF!</definedName>
    <definedName name="Sepqtr">#REF!</definedName>
    <definedName name="September">#REF!</definedName>
    <definedName name="September_recon">#REF!</definedName>
    <definedName name="SFD">#REF!</definedName>
    <definedName name="SFD_BU">#REF!</definedName>
    <definedName name="SFD_D">#REF!</definedName>
    <definedName name="SFD_P">#REF!</definedName>
    <definedName name="SFD_PJ">#REF!</definedName>
    <definedName name="SFN">#REF!</definedName>
    <definedName name="SFN_D">#REF!</definedName>
    <definedName name="SFV">#REF!</definedName>
    <definedName name="SFV_BU">#REF!</definedName>
    <definedName name="SFV_C">#REF!</definedName>
    <definedName name="SFV_D">#REF!</definedName>
    <definedName name="SFV_P">#REF!</definedName>
    <definedName name="SFV_PJ">#REF!</definedName>
    <definedName name="SFV_QCURRENCY_CD">#REF!</definedName>
    <definedName name="sheetinteger">[6]Ref_dat!$K$15</definedName>
    <definedName name="SIT">[3]LOGO!$C$24</definedName>
    <definedName name="SLD">#REF!</definedName>
    <definedName name="SLN">#REF!</definedName>
    <definedName name="sqlinput">#REF!</definedName>
    <definedName name="sqlinput10">#REF!</definedName>
    <definedName name="sqlinput11">#REF!</definedName>
    <definedName name="sqlinput12">#REF!</definedName>
    <definedName name="sqlinput13">#REF!</definedName>
    <definedName name="sqlinput14">#REF!</definedName>
    <definedName name="sqlinput15">#REF!</definedName>
    <definedName name="sqlinput16">#REF!</definedName>
    <definedName name="sqlinput2">#REF!</definedName>
    <definedName name="sqlinput3">#REF!</definedName>
    <definedName name="sqlinput4">#REF!</definedName>
    <definedName name="sqlinput5">#REF!</definedName>
    <definedName name="sqlinput6">#REF!</definedName>
    <definedName name="sqlinput7">#REF!</definedName>
    <definedName name="sqlinput8">#REF!</definedName>
    <definedName name="sqlinput9">#REF!</definedName>
    <definedName name="STD">#REF!</definedName>
    <definedName name="STN">#REF!</definedName>
    <definedName name="STORES_EXPENSE">#REF!</definedName>
    <definedName name="Sumbal1">#REF!</definedName>
    <definedName name="Sumbal2">#REF!</definedName>
    <definedName name="Sumbal3">#REF!</definedName>
    <definedName name="SummBal1">#REF!</definedName>
    <definedName name="SumVar">#REF!</definedName>
    <definedName name="sv_adj_oper_inc">#REF!</definedName>
    <definedName name="sv_baseline">#REF!</definedName>
    <definedName name="sv_cf_adj">#REF!</definedName>
    <definedName name="sv_disc_rate">#REF!</definedName>
    <definedName name="sv_net_fixed_cap">#REF!</definedName>
    <definedName name="sv_nopat">#REF!</definedName>
    <definedName name="sv_nopat_adj">#REF!</definedName>
    <definedName name="sv_nopat_bef_adj">#REF!</definedName>
    <definedName name="sv_oper_free_cf">#REF!</definedName>
    <definedName name="sv_oper_inc_tax">#REF!</definedName>
    <definedName name="sv_oper_margin">#REF!</definedName>
    <definedName name="sv_other_cf_adj">#REF!</definedName>
    <definedName name="sv_sva">#REF!</definedName>
    <definedName name="sv_yty_value">#REF!</definedName>
    <definedName name="tableinput">#REF!</definedName>
    <definedName name="TAXRECONTABLE">[3]SCH_E1!$T$150:$X$158</definedName>
    <definedName name="Testyear">[3]LOGO!$B$17</definedName>
    <definedName name="TESTYR">[3]LOGO!$B$10</definedName>
    <definedName name="TIEPT_COMM_EARN">'[21]February 99'!#REF!</definedName>
    <definedName name="TIEPT_EBIT">#REF!</definedName>
    <definedName name="TIEPT_ROCE">'[21]February 99'!#REF!</definedName>
    <definedName name="TIEPT_WRKGCAP">'[21]February 99'!#REF!</definedName>
    <definedName name="time_map_id">[6]Ref_dat!$H$3:$H$6</definedName>
    <definedName name="title2">[22]Configuration!$B$3</definedName>
    <definedName name="title3">[22]Configuration!$B$4</definedName>
    <definedName name="title4">#REF!</definedName>
    <definedName name="TOTAL_ASSETS">#REF!</definedName>
    <definedName name="Total_Current_Assets">#REF!</definedName>
    <definedName name="Total_Current_Liabilities">#REF!</definedName>
    <definedName name="TOTAL_EQUITY">#REF!</definedName>
    <definedName name="TOTAL_LIABILITIES">#REF!</definedName>
    <definedName name="TOTAL_LIABILITIES_AND_EQUITY">#REF!</definedName>
    <definedName name="Total_Non_Current_Assets">#REF!</definedName>
    <definedName name="Total_Non_Current_Liabilities">#REF!</definedName>
    <definedName name="trader_id">[6]Ref_dat!$A$3:$A$7</definedName>
    <definedName name="TREE_BU">#REF!</definedName>
    <definedName name="TREE_D">#REF!</definedName>
    <definedName name="TREE_P">#REF!</definedName>
    <definedName name="TREE_PJ">#REF!</definedName>
    <definedName name="TTD_GL">#REF!</definedName>
    <definedName name="TTD_Report">#REF!</definedName>
    <definedName name="Type">#REF!</definedName>
    <definedName name="UncollExp">[3]LOGO!$C$22</definedName>
    <definedName name="UncollRatio">[3]LOGO!$C$22</definedName>
    <definedName name="unident_proj_ebits">#REF!</definedName>
    <definedName name="Upload_Journal">#REF!</definedName>
    <definedName name="Variable">#REF!</definedName>
    <definedName name="Variable_BU">#REF!</definedName>
    <definedName name="variablescrit">#REF!</definedName>
    <definedName name="variablescrit10">#REF!</definedName>
    <definedName name="variablescrit2">#REF!</definedName>
    <definedName name="variablescrit3">#REF!</definedName>
    <definedName name="variablescrit4">#REF!</definedName>
    <definedName name="variablescrit5">#REF!</definedName>
    <definedName name="variablescrit6">#REF!</definedName>
    <definedName name="variablescrit7">#REF!</definedName>
    <definedName name="variablescrit8">#REF!</definedName>
    <definedName name="variablescrit9">#REF!</definedName>
    <definedName name="VOPHrs">#REF!</definedName>
    <definedName name="VPHrs">#REF!</definedName>
    <definedName name="vrenddate">[6]Ref_dat!$X$19</definedName>
    <definedName name="vrstartdate">[6]Ref_dat!$L$19</definedName>
    <definedName name="What">[0]!What</definedName>
    <definedName name="work_cap_oth_detail">#REF!</definedName>
    <definedName name="year">#REF!</definedName>
    <definedName name="Year1">#REF!</definedName>
    <definedName name="Year1fields">#REF!</definedName>
    <definedName name="Year2">#REF!</definedName>
    <definedName name="Year2fields">#REF!</definedName>
    <definedName name="Year3">#REF!</definedName>
    <definedName name="Year3fields">#REF!</definedName>
    <definedName name="Year4">#REF!</definedName>
    <definedName name="YEARCUR">#REF!</definedName>
    <definedName name="YTD">#REF!</definedName>
    <definedName name="ytd_budget">#REF!</definedName>
    <definedName name="YTD_Details">#REF!</definedName>
    <definedName name="YTD_Report">#REF!</definedName>
    <definedName name="Z_APR_ACCRUALS">#REF!</definedName>
    <definedName name="Z_APR_EARN">#REF!</definedName>
    <definedName name="Z_APR_FASB115">#REF!</definedName>
    <definedName name="Z_AUG_ACCRUALS">#REF!</definedName>
    <definedName name="Z_AUG_EARN">#REF!</definedName>
    <definedName name="Z_AUG_FASB115">#REF!</definedName>
    <definedName name="Z_CUR_ACCRUALS">#REF!</definedName>
    <definedName name="Z_CUR_EARN">#REF!</definedName>
    <definedName name="Z_CUR_FASB115">#REF!</definedName>
    <definedName name="Z_DEC_ACCRUALS">#REF!</definedName>
    <definedName name="Z_DEC_EARN">#REF!</definedName>
    <definedName name="Z_DEC_FASB115">#REF!</definedName>
    <definedName name="Z_FEB_ACCRUALS">#REF!</definedName>
    <definedName name="Z_FEB_EARN">#REF!</definedName>
    <definedName name="Z_FEB_FASB115">#REF!</definedName>
    <definedName name="Z_JAN_ACCRUALS">#REF!</definedName>
    <definedName name="Z_JAN_EARN">#REF!</definedName>
    <definedName name="Z_JAN_FASB115">#REF!</definedName>
    <definedName name="Z_JUL_ACCRUALS">#REF!</definedName>
    <definedName name="Z_JUL_EARN">#REF!</definedName>
    <definedName name="Z_JUL_FASB115">#REF!</definedName>
    <definedName name="Z_JUN_ACCRUALS">#REF!</definedName>
    <definedName name="Z_JUN_EARN">#REF!</definedName>
    <definedName name="Z_JUN_FASB115">#REF!</definedName>
    <definedName name="Z_MAR_ACCRUALS">#REF!</definedName>
    <definedName name="Z_MAR_EARN">#REF!</definedName>
    <definedName name="Z_MAR_FASB115">#REF!</definedName>
    <definedName name="Z_MAY_ACCRUALS">#REF!</definedName>
    <definedName name="Z_MAY_EARN">#REF!</definedName>
    <definedName name="Z_MAY_FASB115">#REF!</definedName>
    <definedName name="Z_NOV_ACCRUALS">#REF!</definedName>
    <definedName name="Z_NOV_EARN">#REF!</definedName>
    <definedName name="Z_NOV_FASB115">#REF!</definedName>
    <definedName name="Z_OCT_ACCRUALS">#REF!</definedName>
    <definedName name="Z_OCT_EARN">#REF!</definedName>
    <definedName name="Z_OCT_FASB115">#REF!</definedName>
    <definedName name="Z_SEP_ACCRUALS">#REF!</definedName>
    <definedName name="Z_SEP_EARN">#REF!</definedName>
    <definedName name="Z_SEP_FASB115">#REF!</definedName>
  </definedNames>
  <calcPr calcId="171027" iterate="1"/>
</workbook>
</file>

<file path=xl/calcChain.xml><?xml version="1.0" encoding="utf-8"?>
<calcChain xmlns="http://schemas.openxmlformats.org/spreadsheetml/2006/main">
  <c r="F26" i="181" l="1"/>
  <c r="F27" i="181" s="1"/>
  <c r="F28" i="181" s="1"/>
  <c r="F20" i="181"/>
  <c r="F21" i="181" s="1"/>
  <c r="L18" i="181"/>
  <c r="K49" i="181" l="1"/>
  <c r="K41" i="181"/>
  <c r="K35" i="181"/>
  <c r="K44" i="181"/>
  <c r="K38" i="181"/>
  <c r="K32" i="181"/>
  <c r="K29" i="181"/>
  <c r="K25" i="181"/>
  <c r="F22" i="181"/>
  <c r="K47" i="181"/>
  <c r="K48" i="181"/>
  <c r="K43" i="181"/>
  <c r="K37" i="181"/>
  <c r="K31" i="181"/>
  <c r="K50" i="181"/>
  <c r="K45" i="181"/>
  <c r="K27" i="181"/>
  <c r="K20" i="181"/>
  <c r="K23" i="181"/>
  <c r="K42" i="181"/>
  <c r="K36" i="181"/>
  <c r="K40" i="181"/>
  <c r="K34" i="181"/>
  <c r="K30" i="181"/>
  <c r="K21" i="181"/>
  <c r="K46" i="181"/>
  <c r="K39" i="181"/>
  <c r="K28" i="181"/>
  <c r="K26" i="181"/>
  <c r="K24" i="181"/>
  <c r="K19" i="181"/>
  <c r="K22" i="181"/>
  <c r="K33" i="181"/>
  <c r="M341" i="181"/>
  <c r="M340" i="181"/>
  <c r="M333" i="181"/>
  <c r="M330" i="181"/>
  <c r="M318" i="181"/>
  <c r="M315" i="181"/>
  <c r="M310" i="181"/>
  <c r="M307" i="181"/>
  <c r="M302" i="181"/>
  <c r="M299" i="181"/>
  <c r="M294" i="181"/>
  <c r="M291" i="181"/>
  <c r="M286" i="181"/>
  <c r="M283" i="181"/>
  <c r="M278" i="181"/>
  <c r="M275" i="181"/>
  <c r="M270" i="181"/>
  <c r="M263" i="181"/>
  <c r="M254" i="181"/>
  <c r="M247" i="181"/>
  <c r="M238" i="181"/>
  <c r="M231" i="181"/>
  <c r="M222" i="181"/>
  <c r="M215" i="181"/>
  <c r="M206" i="181"/>
  <c r="M199" i="181"/>
  <c r="M190" i="181"/>
  <c r="M183" i="181"/>
  <c r="M174" i="181"/>
  <c r="M339" i="181"/>
  <c r="M336" i="181"/>
  <c r="M323" i="181"/>
  <c r="M265" i="181"/>
  <c r="M256" i="181"/>
  <c r="M249" i="181"/>
  <c r="M240" i="181"/>
  <c r="M233" i="181"/>
  <c r="M224" i="181"/>
  <c r="M217" i="181"/>
  <c r="M208" i="181"/>
  <c r="M201" i="181"/>
  <c r="M192" i="181"/>
  <c r="M185" i="181"/>
  <c r="M176" i="181"/>
  <c r="M329" i="181"/>
  <c r="M326" i="181"/>
  <c r="M320" i="181"/>
  <c r="M317" i="181"/>
  <c r="M312" i="181"/>
  <c r="M309" i="181"/>
  <c r="M304" i="181"/>
  <c r="M301" i="181"/>
  <c r="M296" i="181"/>
  <c r="M293" i="181"/>
  <c r="M288" i="181"/>
  <c r="M285" i="181"/>
  <c r="M280" i="181"/>
  <c r="M277" i="181"/>
  <c r="M272" i="181"/>
  <c r="M267" i="181"/>
  <c r="M258" i="181"/>
  <c r="M251" i="181"/>
  <c r="M242" i="181"/>
  <c r="M235" i="181"/>
  <c r="M226" i="181"/>
  <c r="M219" i="181"/>
  <c r="M210" i="181"/>
  <c r="M203" i="181"/>
  <c r="M194" i="181"/>
  <c r="M187" i="181"/>
  <c r="M178" i="181"/>
  <c r="M335" i="181"/>
  <c r="M332" i="181"/>
  <c r="M269" i="181"/>
  <c r="M260" i="181"/>
  <c r="M253" i="181"/>
  <c r="M244" i="181"/>
  <c r="M237" i="181"/>
  <c r="M228" i="181"/>
  <c r="M221" i="181"/>
  <c r="M212" i="181"/>
  <c r="M205" i="181"/>
  <c r="M196" i="181"/>
  <c r="M189" i="181"/>
  <c r="M338" i="181"/>
  <c r="M325" i="181"/>
  <c r="M322" i="181"/>
  <c r="M319" i="181"/>
  <c r="M314" i="181"/>
  <c r="M311" i="181"/>
  <c r="M306" i="181"/>
  <c r="M303" i="181"/>
  <c r="M298" i="181"/>
  <c r="M295" i="181"/>
  <c r="M290" i="181"/>
  <c r="M287" i="181"/>
  <c r="M282" i="181"/>
  <c r="M279" i="181"/>
  <c r="M274" i="181"/>
  <c r="M271" i="181"/>
  <c r="M262" i="181"/>
  <c r="M255" i="181"/>
  <c r="M246" i="181"/>
  <c r="M239" i="181"/>
  <c r="M230" i="181"/>
  <c r="M331" i="181"/>
  <c r="M328" i="181"/>
  <c r="M264" i="181"/>
  <c r="M257" i="181"/>
  <c r="M248" i="181"/>
  <c r="M241" i="181"/>
  <c r="M232" i="181"/>
  <c r="M337" i="181"/>
  <c r="M313" i="181"/>
  <c r="M292" i="181"/>
  <c r="M281" i="181"/>
  <c r="M243" i="181"/>
  <c r="M234" i="181"/>
  <c r="M225" i="181"/>
  <c r="M216" i="181"/>
  <c r="M193" i="181"/>
  <c r="M168" i="181"/>
  <c r="M165" i="181"/>
  <c r="M160" i="181"/>
  <c r="M157" i="181"/>
  <c r="M152" i="181"/>
  <c r="M149" i="181"/>
  <c r="M144" i="181"/>
  <c r="M141" i="181"/>
  <c r="M47" i="181"/>
  <c r="M324" i="181"/>
  <c r="M261" i="181"/>
  <c r="M252" i="181"/>
  <c r="M211" i="181"/>
  <c r="M202" i="181"/>
  <c r="M181" i="181"/>
  <c r="M177" i="181"/>
  <c r="M173" i="181"/>
  <c r="M136" i="181"/>
  <c r="M134" i="181"/>
  <c r="M132" i="181"/>
  <c r="M130" i="181"/>
  <c r="M128" i="181"/>
  <c r="M126" i="181"/>
  <c r="M124" i="181"/>
  <c r="M122" i="181"/>
  <c r="M120" i="181"/>
  <c r="M118" i="181"/>
  <c r="M116" i="181"/>
  <c r="M114" i="181"/>
  <c r="M112" i="181"/>
  <c r="M110" i="181"/>
  <c r="M108" i="181"/>
  <c r="M106" i="181"/>
  <c r="M104" i="181"/>
  <c r="M102" i="181"/>
  <c r="M100" i="181"/>
  <c r="M98" i="181"/>
  <c r="M96" i="181"/>
  <c r="M94" i="181"/>
  <c r="M92" i="181"/>
  <c r="M90" i="181"/>
  <c r="M88" i="181"/>
  <c r="M86" i="181"/>
  <c r="M84" i="181"/>
  <c r="M82" i="181"/>
  <c r="M80" i="181"/>
  <c r="M78" i="181"/>
  <c r="M76" i="181"/>
  <c r="M74" i="181"/>
  <c r="M72" i="181"/>
  <c r="M70" i="181"/>
  <c r="M68" i="181"/>
  <c r="M66" i="181"/>
  <c r="M64" i="181"/>
  <c r="M62" i="181"/>
  <c r="M60" i="181"/>
  <c r="M58" i="181"/>
  <c r="N58" i="181" s="1"/>
  <c r="M56" i="181"/>
  <c r="N56" i="181" s="1"/>
  <c r="M54" i="181"/>
  <c r="N54" i="181" s="1"/>
  <c r="M52" i="181"/>
  <c r="M50" i="181"/>
  <c r="N52" i="181" s="1"/>
  <c r="M42" i="181"/>
  <c r="M39" i="181"/>
  <c r="M36" i="181"/>
  <c r="M33" i="181"/>
  <c r="M26" i="181"/>
  <c r="M23" i="181"/>
  <c r="M334" i="181"/>
  <c r="M321" i="181"/>
  <c r="M300" i="181"/>
  <c r="M289" i="181"/>
  <c r="M259" i="181"/>
  <c r="M250" i="181"/>
  <c r="M220" i="181"/>
  <c r="M197" i="181"/>
  <c r="M188" i="181"/>
  <c r="M184" i="181"/>
  <c r="M180" i="181"/>
  <c r="M170" i="181"/>
  <c r="M167" i="181"/>
  <c r="M162" i="181"/>
  <c r="M159" i="181"/>
  <c r="M154" i="181"/>
  <c r="M151" i="181"/>
  <c r="M146" i="181"/>
  <c r="M143" i="181"/>
  <c r="M138" i="181"/>
  <c r="M45" i="181"/>
  <c r="M268" i="181"/>
  <c r="M223" i="181"/>
  <c r="M214" i="181"/>
  <c r="M191" i="181"/>
  <c r="M308" i="181"/>
  <c r="M297" i="181"/>
  <c r="M276" i="181"/>
  <c r="M266" i="181"/>
  <c r="M209" i="181"/>
  <c r="M200" i="181"/>
  <c r="M169" i="181"/>
  <c r="M164" i="181"/>
  <c r="M161" i="181"/>
  <c r="M156" i="181"/>
  <c r="M153" i="181"/>
  <c r="M148" i="181"/>
  <c r="M145" i="181"/>
  <c r="M140" i="181"/>
  <c r="M229" i="181"/>
  <c r="M218" i="181"/>
  <c r="M195" i="181"/>
  <c r="M179" i="181"/>
  <c r="M175" i="181"/>
  <c r="M172" i="181"/>
  <c r="M137" i="181"/>
  <c r="M135" i="181"/>
  <c r="M133" i="181"/>
  <c r="M131" i="181"/>
  <c r="M129" i="181"/>
  <c r="M127" i="181"/>
  <c r="M125" i="181"/>
  <c r="M123" i="181"/>
  <c r="M121" i="181"/>
  <c r="M119" i="181"/>
  <c r="M117" i="181"/>
  <c r="M115" i="181"/>
  <c r="M113" i="181"/>
  <c r="M111" i="181"/>
  <c r="M109" i="181"/>
  <c r="M107" i="181"/>
  <c r="M105" i="181"/>
  <c r="M284" i="181"/>
  <c r="M182" i="181"/>
  <c r="M158" i="181"/>
  <c r="M147" i="181"/>
  <c r="M99" i="181"/>
  <c r="M83" i="181"/>
  <c r="M79" i="181"/>
  <c r="M75" i="181"/>
  <c r="M71" i="181"/>
  <c r="M67" i="181"/>
  <c r="M63" i="181"/>
  <c r="F33" i="181"/>
  <c r="F29" i="181"/>
  <c r="F31" i="181" s="1"/>
  <c r="M327" i="181"/>
  <c r="M245" i="181"/>
  <c r="M198" i="181"/>
  <c r="M93" i="181"/>
  <c r="M53" i="181"/>
  <c r="N53" i="181" s="1"/>
  <c r="M25" i="181"/>
  <c r="M316" i="181"/>
  <c r="M273" i="181"/>
  <c r="M213" i="181"/>
  <c r="M166" i="181"/>
  <c r="M155" i="181"/>
  <c r="M103" i="181"/>
  <c r="M87" i="181"/>
  <c r="M59" i="181"/>
  <c r="N59" i="181" s="1"/>
  <c r="M40" i="181"/>
  <c r="M34" i="181"/>
  <c r="M30" i="181"/>
  <c r="M21" i="181"/>
  <c r="M236" i="181"/>
  <c r="M97" i="181"/>
  <c r="M38" i="181"/>
  <c r="M32" i="181"/>
  <c r="M28" i="181"/>
  <c r="M305" i="181"/>
  <c r="M227" i="181"/>
  <c r="M163" i="181"/>
  <c r="M142" i="181"/>
  <c r="M91" i="181"/>
  <c r="M81" i="181"/>
  <c r="M77" i="181"/>
  <c r="M73" i="181"/>
  <c r="M69" i="181"/>
  <c r="M65" i="181"/>
  <c r="M55" i="181"/>
  <c r="N55" i="181" s="1"/>
  <c r="M49" i="181"/>
  <c r="M44" i="181"/>
  <c r="M24" i="181"/>
  <c r="M22" i="181"/>
  <c r="M186" i="181"/>
  <c r="M139" i="181"/>
  <c r="M95" i="181"/>
  <c r="M207" i="181"/>
  <c r="M101" i="181"/>
  <c r="M85" i="181"/>
  <c r="M61" i="181"/>
  <c r="M51" i="181"/>
  <c r="M46" i="181"/>
  <c r="M19" i="181"/>
  <c r="M204" i="181"/>
  <c r="M171" i="181"/>
  <c r="M150" i="181"/>
  <c r="M43" i="181"/>
  <c r="M37" i="181"/>
  <c r="M31" i="181"/>
  <c r="M29" i="181"/>
  <c r="M20" i="181"/>
  <c r="M48" i="181"/>
  <c r="M41" i="181"/>
  <c r="M35" i="181"/>
  <c r="M57" i="181"/>
  <c r="N57" i="181" s="1"/>
  <c r="M27" i="181"/>
  <c r="M89" i="181"/>
  <c r="L19" i="181"/>
  <c r="L20" i="181" s="1"/>
  <c r="L21" i="181" s="1"/>
  <c r="L22" i="181" s="1"/>
  <c r="L23" i="181" s="1"/>
  <c r="L24" i="181" s="1"/>
  <c r="L25" i="181" s="1"/>
  <c r="L26" i="181" s="1"/>
  <c r="L27" i="181" s="1"/>
  <c r="L28" i="181" s="1"/>
  <c r="L29" i="181" s="1"/>
  <c r="L30" i="181" s="1"/>
  <c r="L31" i="181" s="1"/>
  <c r="L32" i="181" s="1"/>
  <c r="L33" i="181" s="1"/>
  <c r="L34" i="181" s="1"/>
  <c r="L35" i="181" s="1"/>
  <c r="L36" i="181" s="1"/>
  <c r="L37" i="181" s="1"/>
  <c r="L38" i="181" s="1"/>
  <c r="L39" i="181" s="1"/>
  <c r="L40" i="181" s="1"/>
  <c r="L41" i="181" s="1"/>
  <c r="L42" i="181" s="1"/>
  <c r="L43" i="181" s="1"/>
  <c r="L44" i="181" s="1"/>
  <c r="L45" i="181" s="1"/>
  <c r="L46" i="181" s="1"/>
  <c r="L47" i="181" s="1"/>
  <c r="L48" i="181" s="1"/>
  <c r="L49" i="181" s="1"/>
  <c r="L50" i="181" s="1"/>
  <c r="C171" i="179"/>
  <c r="C170" i="179"/>
  <c r="C169" i="179"/>
  <c r="C168" i="179"/>
  <c r="C167" i="179"/>
  <c r="C166" i="179"/>
  <c r="C165" i="179"/>
  <c r="C164" i="179"/>
  <c r="C163" i="179"/>
  <c r="C162" i="179"/>
  <c r="C161" i="179"/>
  <c r="C160" i="179"/>
  <c r="C159" i="179"/>
  <c r="C158" i="179"/>
  <c r="C157" i="179"/>
  <c r="C156" i="179"/>
  <c r="C155" i="179"/>
  <c r="C154" i="179"/>
  <c r="C153" i="179"/>
  <c r="C152" i="179"/>
  <c r="C151" i="179"/>
  <c r="C150" i="179"/>
  <c r="C149" i="179"/>
  <c r="C148" i="179"/>
  <c r="C147" i="179"/>
  <c r="C146" i="179"/>
  <c r="C145" i="179"/>
  <c r="C144" i="179"/>
  <c r="C143" i="179"/>
  <c r="C142" i="179"/>
  <c r="C141" i="179"/>
  <c r="C140" i="179"/>
  <c r="C139" i="179"/>
  <c r="C138" i="179"/>
  <c r="C137" i="179"/>
  <c r="C136" i="179"/>
  <c r="C135" i="179"/>
  <c r="C134" i="179"/>
  <c r="C133" i="179"/>
  <c r="C132" i="179"/>
  <c r="C131" i="179"/>
  <c r="C130" i="179"/>
  <c r="C129" i="179"/>
  <c r="C128" i="179"/>
  <c r="C127" i="179"/>
  <c r="C126" i="179"/>
  <c r="C125" i="179"/>
  <c r="C124" i="179"/>
  <c r="C123" i="179"/>
  <c r="C122" i="179"/>
  <c r="C121" i="179"/>
  <c r="C120" i="179"/>
  <c r="C119" i="179"/>
  <c r="C118" i="179"/>
  <c r="C117" i="179"/>
  <c r="C116" i="179"/>
  <c r="C115" i="179"/>
  <c r="C114" i="179"/>
  <c r="C113" i="179"/>
  <c r="C112" i="179"/>
  <c r="C111" i="179"/>
  <c r="C110" i="179"/>
  <c r="C109" i="179"/>
  <c r="C108" i="179"/>
  <c r="C107" i="179"/>
  <c r="C106" i="179"/>
  <c r="C105" i="179"/>
  <c r="C104" i="179"/>
  <c r="C103" i="179"/>
  <c r="C102" i="179"/>
  <c r="C101" i="179"/>
  <c r="C100" i="179"/>
  <c r="C99" i="179"/>
  <c r="C98" i="179"/>
  <c r="C97" i="179"/>
  <c r="C96" i="179"/>
  <c r="C95" i="179"/>
  <c r="C94" i="179"/>
  <c r="C93" i="179"/>
  <c r="C92" i="179"/>
  <c r="C91" i="179"/>
  <c r="C90" i="179"/>
  <c r="C89" i="179"/>
  <c r="C88" i="179"/>
  <c r="C87" i="179"/>
  <c r="C86" i="179"/>
  <c r="C85" i="179"/>
  <c r="C84" i="179"/>
  <c r="C83" i="179"/>
  <c r="C82" i="179"/>
  <c r="F81" i="179"/>
  <c r="G81" i="179" s="1"/>
  <c r="C81" i="179"/>
  <c r="C80" i="179"/>
  <c r="C79" i="179"/>
  <c r="C78" i="179"/>
  <c r="C77" i="179"/>
  <c r="C76" i="179"/>
  <c r="C75" i="179"/>
  <c r="C74" i="179"/>
  <c r="F73" i="179"/>
  <c r="G73" i="179" s="1"/>
  <c r="C73" i="179"/>
  <c r="C72" i="179"/>
  <c r="C71" i="179"/>
  <c r="C70" i="179"/>
  <c r="C69" i="179"/>
  <c r="C68" i="179"/>
  <c r="C67" i="179"/>
  <c r="C66" i="179"/>
  <c r="F65" i="179"/>
  <c r="G65" i="179" s="1"/>
  <c r="C65" i="179"/>
  <c r="C64" i="179"/>
  <c r="F63" i="179"/>
  <c r="C63" i="179"/>
  <c r="C62" i="179"/>
  <c r="C61" i="179"/>
  <c r="C60" i="179"/>
  <c r="C59" i="179"/>
  <c r="C58" i="179"/>
  <c r="C57" i="179"/>
  <c r="C56" i="179"/>
  <c r="C55" i="179"/>
  <c r="C54" i="179"/>
  <c r="F53" i="179"/>
  <c r="G53" i="179" s="1"/>
  <c r="C53" i="179"/>
  <c r="C52" i="179"/>
  <c r="C51" i="179"/>
  <c r="C50" i="179"/>
  <c r="C49" i="179"/>
  <c r="C48" i="179"/>
  <c r="C47" i="179"/>
  <c r="C46" i="179"/>
  <c r="F45" i="179"/>
  <c r="G45" i="179" s="1"/>
  <c r="C45" i="179"/>
  <c r="F44" i="179"/>
  <c r="G44" i="179" s="1"/>
  <c r="C44" i="179"/>
  <c r="C43" i="179"/>
  <c r="C42" i="179"/>
  <c r="C41" i="179"/>
  <c r="C40" i="179"/>
  <c r="C39" i="179"/>
  <c r="C38" i="179"/>
  <c r="C37" i="179"/>
  <c r="C36" i="179"/>
  <c r="K37" i="179"/>
  <c r="L38" i="179" s="1"/>
  <c r="C35" i="179"/>
  <c r="C34" i="179"/>
  <c r="F33" i="179"/>
  <c r="G33" i="179" s="1"/>
  <c r="C33" i="179"/>
  <c r="F32" i="179"/>
  <c r="G32" i="179" s="1"/>
  <c r="C32" i="179"/>
  <c r="C31" i="179"/>
  <c r="C30" i="179"/>
  <c r="C29" i="179"/>
  <c r="C28" i="179"/>
  <c r="E27" i="179"/>
  <c r="C27" i="179"/>
  <c r="H26" i="179"/>
  <c r="G26" i="179"/>
  <c r="K13" i="179"/>
  <c r="L14" i="179" s="1"/>
  <c r="D13" i="179"/>
  <c r="D12" i="179"/>
  <c r="F55" i="179" s="1"/>
  <c r="D9" i="179"/>
  <c r="F35" i="181" l="1"/>
  <c r="F39" i="181" s="1"/>
  <c r="N22" i="181"/>
  <c r="N30" i="181"/>
  <c r="N45" i="181"/>
  <c r="N25" i="181"/>
  <c r="K51" i="181"/>
  <c r="N51" i="181" s="1"/>
  <c r="N19" i="181"/>
  <c r="O19" i="181" s="1"/>
  <c r="O20" i="181" s="1"/>
  <c r="O21" i="181" s="1"/>
  <c r="O22" i="181" s="1"/>
  <c r="O23" i="181" s="1"/>
  <c r="O24" i="181" s="1"/>
  <c r="O25" i="181" s="1"/>
  <c r="O26" i="181" s="1"/>
  <c r="O27" i="181" s="1"/>
  <c r="O28" i="181" s="1"/>
  <c r="O29" i="181" s="1"/>
  <c r="O30" i="181" s="1"/>
  <c r="O31" i="181" s="1"/>
  <c r="O32" i="181" s="1"/>
  <c r="O33" i="181" s="1"/>
  <c r="O34" i="181" s="1"/>
  <c r="O35" i="181" s="1"/>
  <c r="O36" i="181" s="1"/>
  <c r="O37" i="181" s="1"/>
  <c r="O38" i="181" s="1"/>
  <c r="O39" i="181" s="1"/>
  <c r="O40" i="181" s="1"/>
  <c r="O41" i="181" s="1"/>
  <c r="O42" i="181" s="1"/>
  <c r="O43" i="181" s="1"/>
  <c r="O44" i="181" s="1"/>
  <c r="O45" i="181" s="1"/>
  <c r="O46" i="181" s="1"/>
  <c r="O47" i="181" s="1"/>
  <c r="O48" i="181" s="1"/>
  <c r="O49" i="181" s="1"/>
  <c r="O50" i="181" s="1"/>
  <c r="O51" i="181" s="1"/>
  <c r="O52" i="181" s="1"/>
  <c r="O53" i="181" s="1"/>
  <c r="O54" i="181" s="1"/>
  <c r="O55" i="181" s="1"/>
  <c r="O56" i="181" s="1"/>
  <c r="O57" i="181" s="1"/>
  <c r="O58" i="181" s="1"/>
  <c r="O59" i="181" s="1"/>
  <c r="N34" i="181"/>
  <c r="N50" i="181"/>
  <c r="N29" i="181"/>
  <c r="N24" i="181"/>
  <c r="N40" i="181"/>
  <c r="N31" i="181"/>
  <c r="N32" i="181"/>
  <c r="N26" i="181"/>
  <c r="N36" i="181"/>
  <c r="N37" i="181"/>
  <c r="N38" i="181"/>
  <c r="N28" i="181"/>
  <c r="N42" i="181"/>
  <c r="N43" i="181"/>
  <c r="N44" i="181"/>
  <c r="N39" i="181"/>
  <c r="N23" i="181"/>
  <c r="N48" i="181"/>
  <c r="N35" i="181"/>
  <c r="N46" i="181"/>
  <c r="N20" i="181"/>
  <c r="N47" i="181"/>
  <c r="N41" i="181"/>
  <c r="N33" i="181"/>
  <c r="N21" i="181"/>
  <c r="N27" i="181"/>
  <c r="N49" i="181"/>
  <c r="E28" i="179"/>
  <c r="E29" i="179" s="1"/>
  <c r="E30" i="179" s="1"/>
  <c r="E31" i="179" s="1"/>
  <c r="E32" i="179" s="1"/>
  <c r="E33" i="179" s="1"/>
  <c r="E34" i="179" s="1"/>
  <c r="E35" i="179" s="1"/>
  <c r="E36" i="179" s="1"/>
  <c r="E37" i="179" s="1"/>
  <c r="E38" i="179" s="1"/>
  <c r="E39" i="179" s="1"/>
  <c r="E40" i="179" s="1"/>
  <c r="E41" i="179" s="1"/>
  <c r="E42" i="179" s="1"/>
  <c r="E43" i="179" s="1"/>
  <c r="E44" i="179" s="1"/>
  <c r="E45" i="179" s="1"/>
  <c r="E46" i="179" s="1"/>
  <c r="E47" i="179" s="1"/>
  <c r="E48" i="179" s="1"/>
  <c r="E49" i="179" s="1"/>
  <c r="E50" i="179" s="1"/>
  <c r="E51" i="179" s="1"/>
  <c r="E52" i="179" s="1"/>
  <c r="E53" i="179" s="1"/>
  <c r="E54" i="179" s="1"/>
  <c r="E55" i="179" s="1"/>
  <c r="E56" i="179" s="1"/>
  <c r="E57" i="179" s="1"/>
  <c r="E58" i="179" s="1"/>
  <c r="E59" i="179" s="1"/>
  <c r="E60" i="179" s="1"/>
  <c r="E61" i="179" s="1"/>
  <c r="E62" i="179" s="1"/>
  <c r="E63" i="179" s="1"/>
  <c r="E64" i="179" s="1"/>
  <c r="E65" i="179" s="1"/>
  <c r="E66" i="179" s="1"/>
  <c r="E67" i="179" s="1"/>
  <c r="E68" i="179" s="1"/>
  <c r="E69" i="179" s="1"/>
  <c r="E70" i="179" s="1"/>
  <c r="E71" i="179" s="1"/>
  <c r="E72" i="179" s="1"/>
  <c r="E73" i="179" s="1"/>
  <c r="E74" i="179" s="1"/>
  <c r="E75" i="179" s="1"/>
  <c r="E76" i="179" s="1"/>
  <c r="E77" i="179" s="1"/>
  <c r="E78" i="179" s="1"/>
  <c r="E79" i="179" s="1"/>
  <c r="E80" i="179" s="1"/>
  <c r="E81" i="179" s="1"/>
  <c r="E82" i="179" s="1"/>
  <c r="E83" i="179" s="1"/>
  <c r="E84" i="179" s="1"/>
  <c r="E85" i="179" s="1"/>
  <c r="E86" i="179" s="1"/>
  <c r="E87" i="179" s="1"/>
  <c r="E88" i="179" s="1"/>
  <c r="E89" i="179" s="1"/>
  <c r="E90" i="179" s="1"/>
  <c r="E91" i="179" s="1"/>
  <c r="E92" i="179" s="1"/>
  <c r="E93" i="179" s="1"/>
  <c r="E94" i="179" s="1"/>
  <c r="E95" i="179" s="1"/>
  <c r="E96" i="179" s="1"/>
  <c r="E97" i="179" s="1"/>
  <c r="E98" i="179" s="1"/>
  <c r="E99" i="179" s="1"/>
  <c r="E100" i="179" s="1"/>
  <c r="E101" i="179" s="1"/>
  <c r="E102" i="179" s="1"/>
  <c r="E103" i="179" s="1"/>
  <c r="E104" i="179" s="1"/>
  <c r="E105" i="179" s="1"/>
  <c r="E106" i="179" s="1"/>
  <c r="E107" i="179" s="1"/>
  <c r="E108" i="179" s="1"/>
  <c r="E109" i="179" s="1"/>
  <c r="E110" i="179" s="1"/>
  <c r="E111" i="179" s="1"/>
  <c r="E112" i="179" s="1"/>
  <c r="E113" i="179" s="1"/>
  <c r="E114" i="179" s="1"/>
  <c r="E115" i="179" s="1"/>
  <c r="E116" i="179" s="1"/>
  <c r="E117" i="179" s="1"/>
  <c r="E118" i="179" s="1"/>
  <c r="E119" i="179" s="1"/>
  <c r="E120" i="179" s="1"/>
  <c r="E121" i="179" s="1"/>
  <c r="E122" i="179" s="1"/>
  <c r="E123" i="179" s="1"/>
  <c r="E124" i="179" s="1"/>
  <c r="E125" i="179" s="1"/>
  <c r="E126" i="179" s="1"/>
  <c r="E127" i="179" s="1"/>
  <c r="E128" i="179" s="1"/>
  <c r="E129" i="179" s="1"/>
  <c r="E130" i="179" s="1"/>
  <c r="E131" i="179" s="1"/>
  <c r="E132" i="179" s="1"/>
  <c r="E133" i="179" s="1"/>
  <c r="E134" i="179" s="1"/>
  <c r="E135" i="179" s="1"/>
  <c r="E136" i="179" s="1"/>
  <c r="E137" i="179" s="1"/>
  <c r="E138" i="179" s="1"/>
  <c r="E139" i="179" s="1"/>
  <c r="E140" i="179" s="1"/>
  <c r="E141" i="179" s="1"/>
  <c r="E142" i="179" s="1"/>
  <c r="E143" i="179" s="1"/>
  <c r="E144" i="179" s="1"/>
  <c r="E145" i="179" s="1"/>
  <c r="E146" i="179" s="1"/>
  <c r="E147" i="179" s="1"/>
  <c r="E148" i="179" s="1"/>
  <c r="E149" i="179" s="1"/>
  <c r="E150" i="179" s="1"/>
  <c r="E151" i="179" s="1"/>
  <c r="E152" i="179" s="1"/>
  <c r="E153" i="179" s="1"/>
  <c r="E154" i="179" s="1"/>
  <c r="E155" i="179" s="1"/>
  <c r="E156" i="179" s="1"/>
  <c r="E157" i="179" s="1"/>
  <c r="E158" i="179" s="1"/>
  <c r="E159" i="179" s="1"/>
  <c r="E160" i="179" s="1"/>
  <c r="E161" i="179" s="1"/>
  <c r="E162" i="179" s="1"/>
  <c r="E163" i="179" s="1"/>
  <c r="E164" i="179" s="1"/>
  <c r="E165" i="179" s="1"/>
  <c r="E166" i="179" s="1"/>
  <c r="E167" i="179" s="1"/>
  <c r="E168" i="179" s="1"/>
  <c r="E169" i="179" s="1"/>
  <c r="E170" i="179" s="1"/>
  <c r="E171" i="179" s="1"/>
  <c r="E172" i="179" s="1"/>
  <c r="G38" i="179"/>
  <c r="G28" i="179"/>
  <c r="G47" i="179"/>
  <c r="G42" i="179"/>
  <c r="G48" i="179"/>
  <c r="G55" i="179"/>
  <c r="F52" i="179"/>
  <c r="G52" i="179" s="1"/>
  <c r="F79" i="179"/>
  <c r="F113" i="179"/>
  <c r="G113" i="179" s="1"/>
  <c r="G118" i="179"/>
  <c r="F145" i="179"/>
  <c r="G145" i="179" s="1"/>
  <c r="F71" i="179"/>
  <c r="D27" i="179"/>
  <c r="B28" i="179" s="1"/>
  <c r="D28" i="179" s="1"/>
  <c r="B29" i="179" s="1"/>
  <c r="D29" i="179" s="1"/>
  <c r="B30" i="179" s="1"/>
  <c r="D30" i="179" s="1"/>
  <c r="B31" i="179" s="1"/>
  <c r="D31" i="179" s="1"/>
  <c r="B32" i="179" s="1"/>
  <c r="D32" i="179" s="1"/>
  <c r="B33" i="179" s="1"/>
  <c r="D33" i="179" s="1"/>
  <c r="B34" i="179" s="1"/>
  <c r="D34" i="179" s="1"/>
  <c r="B35" i="179" s="1"/>
  <c r="D35" i="179" s="1"/>
  <c r="B36" i="179" s="1"/>
  <c r="D36" i="179" s="1"/>
  <c r="B37" i="179" s="1"/>
  <c r="D37" i="179" s="1"/>
  <c r="B38" i="179" s="1"/>
  <c r="D38" i="179" s="1"/>
  <c r="B39" i="179" s="1"/>
  <c r="D39" i="179" s="1"/>
  <c r="B40" i="179" s="1"/>
  <c r="D40" i="179" s="1"/>
  <c r="B41" i="179" s="1"/>
  <c r="D41" i="179" s="1"/>
  <c r="B42" i="179" s="1"/>
  <c r="D42" i="179" s="1"/>
  <c r="B43" i="179" s="1"/>
  <c r="D43" i="179" s="1"/>
  <c r="B44" i="179" s="1"/>
  <c r="D44" i="179" s="1"/>
  <c r="B45" i="179" s="1"/>
  <c r="D45" i="179" s="1"/>
  <c r="B46" i="179" s="1"/>
  <c r="D46" i="179" s="1"/>
  <c r="B47" i="179" s="1"/>
  <c r="D47" i="179" s="1"/>
  <c r="B48" i="179" s="1"/>
  <c r="D48" i="179" s="1"/>
  <c r="B49" i="179" s="1"/>
  <c r="D49" i="179" s="1"/>
  <c r="B50" i="179" s="1"/>
  <c r="D50" i="179" s="1"/>
  <c r="B51" i="179" s="1"/>
  <c r="D51" i="179" s="1"/>
  <c r="B52" i="179" s="1"/>
  <c r="D52" i="179" s="1"/>
  <c r="B53" i="179" s="1"/>
  <c r="D53" i="179" s="1"/>
  <c r="B54" i="179" s="1"/>
  <c r="D54" i="179" s="1"/>
  <c r="B55" i="179" s="1"/>
  <c r="D55" i="179" s="1"/>
  <c r="B56" i="179" s="1"/>
  <c r="D56" i="179" s="1"/>
  <c r="B57" i="179" s="1"/>
  <c r="D57" i="179" s="1"/>
  <c r="B58" i="179" s="1"/>
  <c r="D58" i="179" s="1"/>
  <c r="B59" i="179" s="1"/>
  <c r="D59" i="179" s="1"/>
  <c r="B60" i="179" s="1"/>
  <c r="D60" i="179" s="1"/>
  <c r="B61" i="179" s="1"/>
  <c r="D61" i="179" s="1"/>
  <c r="B62" i="179" s="1"/>
  <c r="D62" i="179" s="1"/>
  <c r="B63" i="179" s="1"/>
  <c r="D63" i="179" s="1"/>
  <c r="B64" i="179" s="1"/>
  <c r="D64" i="179" s="1"/>
  <c r="B65" i="179" s="1"/>
  <c r="D65" i="179" s="1"/>
  <c r="B66" i="179" s="1"/>
  <c r="D66" i="179" s="1"/>
  <c r="B67" i="179" s="1"/>
  <c r="D67" i="179" s="1"/>
  <c r="B68" i="179" s="1"/>
  <c r="D68" i="179" s="1"/>
  <c r="B69" i="179" s="1"/>
  <c r="D69" i="179" s="1"/>
  <c r="B70" i="179" s="1"/>
  <c r="D70" i="179" s="1"/>
  <c r="B71" i="179" s="1"/>
  <c r="D71" i="179" s="1"/>
  <c r="B72" i="179" s="1"/>
  <c r="D72" i="179" s="1"/>
  <c r="B73" i="179" s="1"/>
  <c r="D73" i="179" s="1"/>
  <c r="B74" i="179" s="1"/>
  <c r="D74" i="179" s="1"/>
  <c r="B75" i="179" s="1"/>
  <c r="D75" i="179" s="1"/>
  <c r="B76" i="179" s="1"/>
  <c r="D76" i="179" s="1"/>
  <c r="B77" i="179" s="1"/>
  <c r="D77" i="179" s="1"/>
  <c r="B78" i="179" s="1"/>
  <c r="D78" i="179" s="1"/>
  <c r="B79" i="179" s="1"/>
  <c r="D79" i="179" s="1"/>
  <c r="B80" i="179" s="1"/>
  <c r="D80" i="179" s="1"/>
  <c r="B81" i="179" s="1"/>
  <c r="D81" i="179" s="1"/>
  <c r="B82" i="179" s="1"/>
  <c r="D82" i="179" s="1"/>
  <c r="B83" i="179" s="1"/>
  <c r="D83" i="179" s="1"/>
  <c r="B84" i="179" s="1"/>
  <c r="D84" i="179" s="1"/>
  <c r="B85" i="179" s="1"/>
  <c r="D85" i="179" s="1"/>
  <c r="B86" i="179" s="1"/>
  <c r="D86" i="179" s="1"/>
  <c r="B87" i="179" s="1"/>
  <c r="D87" i="179" s="1"/>
  <c r="B88" i="179" s="1"/>
  <c r="D88" i="179" s="1"/>
  <c r="B89" i="179" s="1"/>
  <c r="D89" i="179" s="1"/>
  <c r="B90" i="179" s="1"/>
  <c r="D90" i="179" s="1"/>
  <c r="B91" i="179" s="1"/>
  <c r="D91" i="179" s="1"/>
  <c r="B92" i="179" s="1"/>
  <c r="D92" i="179" s="1"/>
  <c r="B93" i="179" s="1"/>
  <c r="D93" i="179" s="1"/>
  <c r="B94" i="179" s="1"/>
  <c r="D94" i="179" s="1"/>
  <c r="B95" i="179" s="1"/>
  <c r="D95" i="179" s="1"/>
  <c r="B96" i="179" s="1"/>
  <c r="D96" i="179" s="1"/>
  <c r="B97" i="179" s="1"/>
  <c r="D97" i="179" s="1"/>
  <c r="B98" i="179" s="1"/>
  <c r="D98" i="179" s="1"/>
  <c r="B99" i="179" s="1"/>
  <c r="D99" i="179" s="1"/>
  <c r="B100" i="179" s="1"/>
  <c r="D100" i="179" s="1"/>
  <c r="B101" i="179" s="1"/>
  <c r="D101" i="179" s="1"/>
  <c r="B102" i="179" s="1"/>
  <c r="D102" i="179" s="1"/>
  <c r="B103" i="179" s="1"/>
  <c r="D103" i="179" s="1"/>
  <c r="B104" i="179" s="1"/>
  <c r="D104" i="179" s="1"/>
  <c r="B105" i="179" s="1"/>
  <c r="D105" i="179" s="1"/>
  <c r="B106" i="179" s="1"/>
  <c r="D106" i="179" s="1"/>
  <c r="B107" i="179" s="1"/>
  <c r="D107" i="179" s="1"/>
  <c r="B108" i="179" s="1"/>
  <c r="D108" i="179" s="1"/>
  <c r="B109" i="179" s="1"/>
  <c r="D109" i="179" s="1"/>
  <c r="B110" i="179" s="1"/>
  <c r="D110" i="179" s="1"/>
  <c r="B111" i="179" s="1"/>
  <c r="D111" i="179" s="1"/>
  <c r="B112" i="179" s="1"/>
  <c r="D112" i="179" s="1"/>
  <c r="B113" i="179" s="1"/>
  <c r="D113" i="179" s="1"/>
  <c r="B114" i="179" s="1"/>
  <c r="D114" i="179" s="1"/>
  <c r="B115" i="179" s="1"/>
  <c r="D115" i="179" s="1"/>
  <c r="B116" i="179" s="1"/>
  <c r="D116" i="179" s="1"/>
  <c r="B117" i="179" s="1"/>
  <c r="D117" i="179" s="1"/>
  <c r="B118" i="179" s="1"/>
  <c r="D118" i="179" s="1"/>
  <c r="B119" i="179" s="1"/>
  <c r="D119" i="179" s="1"/>
  <c r="B120" i="179" s="1"/>
  <c r="D120" i="179" s="1"/>
  <c r="B121" i="179" s="1"/>
  <c r="D121" i="179" s="1"/>
  <c r="B122" i="179" s="1"/>
  <c r="D122" i="179" s="1"/>
  <c r="B123" i="179" s="1"/>
  <c r="D123" i="179" s="1"/>
  <c r="B124" i="179" s="1"/>
  <c r="D124" i="179" s="1"/>
  <c r="B125" i="179" s="1"/>
  <c r="D125" i="179" s="1"/>
  <c r="B126" i="179" s="1"/>
  <c r="D126" i="179" s="1"/>
  <c r="B127" i="179" s="1"/>
  <c r="D127" i="179" s="1"/>
  <c r="B128" i="179" s="1"/>
  <c r="D128" i="179" s="1"/>
  <c r="B129" i="179" s="1"/>
  <c r="D129" i="179" s="1"/>
  <c r="B130" i="179" s="1"/>
  <c r="D130" i="179" s="1"/>
  <c r="B131" i="179" s="1"/>
  <c r="D131" i="179" s="1"/>
  <c r="B132" i="179" s="1"/>
  <c r="D132" i="179" s="1"/>
  <c r="B133" i="179" s="1"/>
  <c r="D133" i="179" s="1"/>
  <c r="B134" i="179" s="1"/>
  <c r="D134" i="179" s="1"/>
  <c r="B135" i="179" s="1"/>
  <c r="D135" i="179" s="1"/>
  <c r="B136" i="179" s="1"/>
  <c r="D136" i="179" s="1"/>
  <c r="B137" i="179" s="1"/>
  <c r="D137" i="179" s="1"/>
  <c r="B138" i="179" s="1"/>
  <c r="D138" i="179" s="1"/>
  <c r="B139" i="179" s="1"/>
  <c r="D139" i="179" s="1"/>
  <c r="B140" i="179" s="1"/>
  <c r="D140" i="179" s="1"/>
  <c r="B141" i="179" s="1"/>
  <c r="D141" i="179" s="1"/>
  <c r="B142" i="179" s="1"/>
  <c r="D142" i="179" s="1"/>
  <c r="B143" i="179" s="1"/>
  <c r="D143" i="179" s="1"/>
  <c r="B144" i="179" s="1"/>
  <c r="D144" i="179" s="1"/>
  <c r="B145" i="179" s="1"/>
  <c r="D145" i="179" s="1"/>
  <c r="B146" i="179" s="1"/>
  <c r="D146" i="179" s="1"/>
  <c r="B147" i="179" s="1"/>
  <c r="D147" i="179" s="1"/>
  <c r="B148" i="179" s="1"/>
  <c r="D148" i="179" s="1"/>
  <c r="B149" i="179" s="1"/>
  <c r="D149" i="179" s="1"/>
  <c r="B150" i="179" s="1"/>
  <c r="D150" i="179" s="1"/>
  <c r="B151" i="179" s="1"/>
  <c r="D151" i="179" s="1"/>
  <c r="B152" i="179" s="1"/>
  <c r="D152" i="179" s="1"/>
  <c r="B153" i="179" s="1"/>
  <c r="D153" i="179" s="1"/>
  <c r="B154" i="179" s="1"/>
  <c r="D154" i="179" s="1"/>
  <c r="B155" i="179" s="1"/>
  <c r="D155" i="179" s="1"/>
  <c r="B156" i="179" s="1"/>
  <c r="D156" i="179" s="1"/>
  <c r="B157" i="179" s="1"/>
  <c r="D157" i="179" s="1"/>
  <c r="B158" i="179" s="1"/>
  <c r="D158" i="179" s="1"/>
  <c r="B159" i="179" s="1"/>
  <c r="D159" i="179" s="1"/>
  <c r="B160" i="179" s="1"/>
  <c r="D160" i="179" s="1"/>
  <c r="B161" i="179" s="1"/>
  <c r="D161" i="179" s="1"/>
  <c r="B162" i="179" s="1"/>
  <c r="D162" i="179" s="1"/>
  <c r="B163" i="179" s="1"/>
  <c r="D163" i="179" s="1"/>
  <c r="B164" i="179" s="1"/>
  <c r="D164" i="179" s="1"/>
  <c r="B165" i="179" s="1"/>
  <c r="D165" i="179" s="1"/>
  <c r="B166" i="179" s="1"/>
  <c r="D166" i="179" s="1"/>
  <c r="B167" i="179" s="1"/>
  <c r="D167" i="179" s="1"/>
  <c r="B168" i="179" s="1"/>
  <c r="D168" i="179" s="1"/>
  <c r="B169" i="179" s="1"/>
  <c r="D169" i="179" s="1"/>
  <c r="B170" i="179" s="1"/>
  <c r="D170" i="179" s="1"/>
  <c r="B171" i="179" s="1"/>
  <c r="D171" i="179" s="1"/>
  <c r="F29" i="179"/>
  <c r="F30" i="179"/>
  <c r="G30" i="179" s="1"/>
  <c r="F31" i="179"/>
  <c r="G31" i="179" s="1"/>
  <c r="F43" i="179"/>
  <c r="G43" i="179" s="1"/>
  <c r="F51" i="179"/>
  <c r="G51" i="179" s="1"/>
  <c r="F59" i="179"/>
  <c r="G59" i="179" s="1"/>
  <c r="F88" i="179"/>
  <c r="G88" i="179" s="1"/>
  <c r="G91" i="179"/>
  <c r="G100" i="179"/>
  <c r="G141" i="179"/>
  <c r="G155" i="179"/>
  <c r="G131" i="179"/>
  <c r="F28" i="179"/>
  <c r="F42" i="179"/>
  <c r="F50" i="179"/>
  <c r="G50" i="179" s="1"/>
  <c r="F58" i="179"/>
  <c r="G58" i="179" s="1"/>
  <c r="F96" i="179"/>
  <c r="G96" i="179" s="1"/>
  <c r="F105" i="179"/>
  <c r="G105" i="179" s="1"/>
  <c r="F137" i="179"/>
  <c r="G137" i="179" s="1"/>
  <c r="F169" i="179"/>
  <c r="G169" i="179" s="1"/>
  <c r="F39" i="179"/>
  <c r="G39" i="179" s="1"/>
  <c r="F41" i="179"/>
  <c r="G41" i="179" s="1"/>
  <c r="F49" i="179"/>
  <c r="G49" i="179" s="1"/>
  <c r="F57" i="179"/>
  <c r="G57" i="179" s="1"/>
  <c r="F64" i="179"/>
  <c r="G64" i="179" s="1"/>
  <c r="G84" i="179"/>
  <c r="F89" i="179"/>
  <c r="G89" i="179" s="1"/>
  <c r="G111" i="179"/>
  <c r="F27" i="179"/>
  <c r="K31" i="179" s="1"/>
  <c r="L32" i="179" s="1"/>
  <c r="F40" i="179"/>
  <c r="G40" i="179" s="1"/>
  <c r="K27" i="179"/>
  <c r="L28" i="179" s="1"/>
  <c r="F38" i="179"/>
  <c r="F48" i="179"/>
  <c r="F56" i="179"/>
  <c r="G56" i="179" s="1"/>
  <c r="G63" i="179"/>
  <c r="F68" i="179"/>
  <c r="G68" i="179" s="1"/>
  <c r="F72" i="179"/>
  <c r="G72" i="179" s="1"/>
  <c r="F76" i="179"/>
  <c r="G76" i="179" s="1"/>
  <c r="F80" i="179"/>
  <c r="G80" i="179" s="1"/>
  <c r="F84" i="179"/>
  <c r="F97" i="179"/>
  <c r="G97" i="179" s="1"/>
  <c r="F129" i="179"/>
  <c r="G129" i="179" s="1"/>
  <c r="G134" i="179"/>
  <c r="F161" i="179"/>
  <c r="G161" i="179" s="1"/>
  <c r="K17" i="179"/>
  <c r="L18" i="179" s="1"/>
  <c r="F35" i="179"/>
  <c r="G35" i="179" s="1"/>
  <c r="F36" i="179"/>
  <c r="G36" i="179" s="1"/>
  <c r="F37" i="179"/>
  <c r="G37" i="179" s="1"/>
  <c r="F47" i="179"/>
  <c r="G71" i="179"/>
  <c r="G79" i="179"/>
  <c r="G92" i="179"/>
  <c r="G139" i="179"/>
  <c r="G171" i="179"/>
  <c r="F170" i="179"/>
  <c r="G170" i="179" s="1"/>
  <c r="F162" i="179"/>
  <c r="G162" i="179" s="1"/>
  <c r="F154" i="179"/>
  <c r="G154" i="179" s="1"/>
  <c r="F146" i="179"/>
  <c r="G146" i="179" s="1"/>
  <c r="F138" i="179"/>
  <c r="G138" i="179" s="1"/>
  <c r="F130" i="179"/>
  <c r="G130" i="179" s="1"/>
  <c r="F122" i="179"/>
  <c r="G122" i="179" s="1"/>
  <c r="F114" i="179"/>
  <c r="G114" i="179" s="1"/>
  <c r="F106" i="179"/>
  <c r="G106" i="179" s="1"/>
  <c r="F98" i="179"/>
  <c r="G98" i="179" s="1"/>
  <c r="F90" i="179"/>
  <c r="G90" i="179" s="1"/>
  <c r="F82" i="179"/>
  <c r="G82" i="179" s="1"/>
  <c r="F74" i="179"/>
  <c r="G74" i="179" s="1"/>
  <c r="F66" i="179"/>
  <c r="G66" i="179" s="1"/>
  <c r="F171" i="179"/>
  <c r="F163" i="179"/>
  <c r="G163" i="179" s="1"/>
  <c r="F155" i="179"/>
  <c r="F147" i="179"/>
  <c r="G147" i="179" s="1"/>
  <c r="F139" i="179"/>
  <c r="F131" i="179"/>
  <c r="F123" i="179"/>
  <c r="G123" i="179" s="1"/>
  <c r="F115" i="179"/>
  <c r="G115" i="179" s="1"/>
  <c r="F107" i="179"/>
  <c r="G107" i="179" s="1"/>
  <c r="F99" i="179"/>
  <c r="G99" i="179" s="1"/>
  <c r="F91" i="179"/>
  <c r="F83" i="179"/>
  <c r="G83" i="179" s="1"/>
  <c r="F75" i="179"/>
  <c r="G75" i="179" s="1"/>
  <c r="F67" i="179"/>
  <c r="G67" i="179" s="1"/>
  <c r="F172" i="179"/>
  <c r="F164" i="179"/>
  <c r="G164" i="179" s="1"/>
  <c r="F156" i="179"/>
  <c r="G156" i="179" s="1"/>
  <c r="F148" i="179"/>
  <c r="G148" i="179" s="1"/>
  <c r="F140" i="179"/>
  <c r="G140" i="179" s="1"/>
  <c r="F132" i="179"/>
  <c r="G132" i="179" s="1"/>
  <c r="F124" i="179"/>
  <c r="G124" i="179" s="1"/>
  <c r="F116" i="179"/>
  <c r="G116" i="179" s="1"/>
  <c r="F108" i="179"/>
  <c r="G108" i="179" s="1"/>
  <c r="F100" i="179"/>
  <c r="F165" i="179"/>
  <c r="G165" i="179" s="1"/>
  <c r="F157" i="179"/>
  <c r="G157" i="179" s="1"/>
  <c r="F149" i="179"/>
  <c r="G149" i="179" s="1"/>
  <c r="F141" i="179"/>
  <c r="F133" i="179"/>
  <c r="G133" i="179" s="1"/>
  <c r="F125" i="179"/>
  <c r="G125" i="179" s="1"/>
  <c r="F117" i="179"/>
  <c r="G117" i="179" s="1"/>
  <c r="F109" i="179"/>
  <c r="G109" i="179" s="1"/>
  <c r="F101" i="179"/>
  <c r="G101" i="179" s="1"/>
  <c r="F93" i="179"/>
  <c r="G93" i="179" s="1"/>
  <c r="F85" i="179"/>
  <c r="G85" i="179" s="1"/>
  <c r="F77" i="179"/>
  <c r="G77" i="179" s="1"/>
  <c r="F69" i="179"/>
  <c r="G69" i="179" s="1"/>
  <c r="F61" i="179"/>
  <c r="G61" i="179" s="1"/>
  <c r="F166" i="179"/>
  <c r="G166" i="179" s="1"/>
  <c r="F158" i="179"/>
  <c r="F150" i="179"/>
  <c r="G150" i="179" s="1"/>
  <c r="F142" i="179"/>
  <c r="G142" i="179" s="1"/>
  <c r="F134" i="179"/>
  <c r="F126" i="179"/>
  <c r="F118" i="179"/>
  <c r="F110" i="179"/>
  <c r="G110" i="179" s="1"/>
  <c r="F102" i="179"/>
  <c r="G102" i="179" s="1"/>
  <c r="F94" i="179"/>
  <c r="G94" i="179" s="1"/>
  <c r="F86" i="179"/>
  <c r="G86" i="179" s="1"/>
  <c r="F78" i="179"/>
  <c r="G78" i="179" s="1"/>
  <c r="F70" i="179"/>
  <c r="G70" i="179" s="1"/>
  <c r="F62" i="179"/>
  <c r="G62" i="179" s="1"/>
  <c r="F167" i="179"/>
  <c r="G167" i="179" s="1"/>
  <c r="F159" i="179"/>
  <c r="G159" i="179" s="1"/>
  <c r="F151" i="179"/>
  <c r="G151" i="179" s="1"/>
  <c r="F143" i="179"/>
  <c r="G143" i="179" s="1"/>
  <c r="F135" i="179"/>
  <c r="G135" i="179" s="1"/>
  <c r="F127" i="179"/>
  <c r="G127" i="179" s="1"/>
  <c r="F119" i="179"/>
  <c r="G119" i="179" s="1"/>
  <c r="F111" i="179"/>
  <c r="F103" i="179"/>
  <c r="G103" i="179" s="1"/>
  <c r="F95" i="179"/>
  <c r="G95" i="179" s="1"/>
  <c r="F87" i="179"/>
  <c r="G87" i="179" s="1"/>
  <c r="F168" i="179"/>
  <c r="G168" i="179" s="1"/>
  <c r="F160" i="179"/>
  <c r="G160" i="179" s="1"/>
  <c r="F152" i="179"/>
  <c r="G152" i="179" s="1"/>
  <c r="F144" i="179"/>
  <c r="G144" i="179" s="1"/>
  <c r="F136" i="179"/>
  <c r="G136" i="179" s="1"/>
  <c r="F128" i="179"/>
  <c r="G128" i="179" s="1"/>
  <c r="F120" i="179"/>
  <c r="G120" i="179" s="1"/>
  <c r="F112" i="179"/>
  <c r="G112" i="179" s="1"/>
  <c r="F104" i="179"/>
  <c r="G104" i="179" s="1"/>
  <c r="F34" i="179"/>
  <c r="G34" i="179" s="1"/>
  <c r="F46" i="179"/>
  <c r="G46" i="179" s="1"/>
  <c r="F54" i="179"/>
  <c r="G54" i="179" s="1"/>
  <c r="F60" i="179"/>
  <c r="G60" i="179" s="1"/>
  <c r="F92" i="179"/>
  <c r="F121" i="179"/>
  <c r="G121" i="179" s="1"/>
  <c r="G126" i="179"/>
  <c r="F153" i="179"/>
  <c r="G153" i="179" s="1"/>
  <c r="G158" i="179"/>
  <c r="L51" i="181" l="1"/>
  <c r="L53" i="181" s="1"/>
  <c r="L54" i="181" s="1"/>
  <c r="L55" i="181" s="1"/>
  <c r="L56" i="181" s="1"/>
  <c r="L57" i="181" s="1"/>
  <c r="L58" i="181" s="1"/>
  <c r="L59" i="181" s="1"/>
  <c r="L60" i="181" s="1"/>
  <c r="L61" i="181" s="1"/>
  <c r="L62" i="181" s="1"/>
  <c r="L63" i="181" s="1"/>
  <c r="L64" i="181" s="1"/>
  <c r="L65" i="181" s="1"/>
  <c r="L66" i="181" s="1"/>
  <c r="L67" i="181" s="1"/>
  <c r="L68" i="181" s="1"/>
  <c r="L69" i="181" s="1"/>
  <c r="L70" i="181" s="1"/>
  <c r="L71" i="181" s="1"/>
  <c r="L72" i="181" s="1"/>
  <c r="L73" i="181" s="1"/>
  <c r="L74" i="181" s="1"/>
  <c r="L75" i="181" s="1"/>
  <c r="L76" i="181" s="1"/>
  <c r="L77" i="181" s="1"/>
  <c r="L78" i="181" s="1"/>
  <c r="L79" i="181" s="1"/>
  <c r="L80" i="181" s="1"/>
  <c r="L81" i="181" s="1"/>
  <c r="L82" i="181" s="1"/>
  <c r="L83" i="181" s="1"/>
  <c r="L84" i="181" s="1"/>
  <c r="L85" i="181" s="1"/>
  <c r="L86" i="181" s="1"/>
  <c r="L87" i="181" s="1"/>
  <c r="L88" i="181" s="1"/>
  <c r="L89" i="181" s="1"/>
  <c r="L90" i="181" s="1"/>
  <c r="L91" i="181" s="1"/>
  <c r="L92" i="181" s="1"/>
  <c r="L93" i="181" s="1"/>
  <c r="L94" i="181" s="1"/>
  <c r="L95" i="181" s="1"/>
  <c r="L96" i="181" s="1"/>
  <c r="L97" i="181" s="1"/>
  <c r="L98" i="181" s="1"/>
  <c r="L99" i="181" s="1"/>
  <c r="L100" i="181" s="1"/>
  <c r="L101" i="181" s="1"/>
  <c r="L102" i="181" s="1"/>
  <c r="L103" i="181" s="1"/>
  <c r="L104" i="181" s="1"/>
  <c r="L105" i="181" s="1"/>
  <c r="L106" i="181" s="1"/>
  <c r="L107" i="181" s="1"/>
  <c r="L108" i="181" s="1"/>
  <c r="L109" i="181" s="1"/>
  <c r="L110" i="181" s="1"/>
  <c r="L111" i="181" s="1"/>
  <c r="L112" i="181" s="1"/>
  <c r="L113" i="181" s="1"/>
  <c r="L114" i="181" s="1"/>
  <c r="L115" i="181" s="1"/>
  <c r="L116" i="181" s="1"/>
  <c r="L117" i="181" s="1"/>
  <c r="L118" i="181" s="1"/>
  <c r="L119" i="181" s="1"/>
  <c r="L120" i="181" s="1"/>
  <c r="L121" i="181" s="1"/>
  <c r="L122" i="181" s="1"/>
  <c r="L123" i="181" s="1"/>
  <c r="L124" i="181" s="1"/>
  <c r="L125" i="181" s="1"/>
  <c r="L126" i="181" s="1"/>
  <c r="L127" i="181" s="1"/>
  <c r="L128" i="181" s="1"/>
  <c r="L129" i="181" s="1"/>
  <c r="L130" i="181" s="1"/>
  <c r="L131" i="181" s="1"/>
  <c r="L132" i="181" s="1"/>
  <c r="L133" i="181" s="1"/>
  <c r="L134" i="181" s="1"/>
  <c r="L135" i="181" s="1"/>
  <c r="L136" i="181" s="1"/>
  <c r="L137" i="181" s="1"/>
  <c r="L138" i="181" s="1"/>
  <c r="L139" i="181" s="1"/>
  <c r="L140" i="181" s="1"/>
  <c r="L141" i="181" s="1"/>
  <c r="L142" i="181" s="1"/>
  <c r="L143" i="181" s="1"/>
  <c r="L144" i="181" s="1"/>
  <c r="L145" i="181" s="1"/>
  <c r="L146" i="181" s="1"/>
  <c r="L147" i="181" s="1"/>
  <c r="L148" i="181" s="1"/>
  <c r="L149" i="181" s="1"/>
  <c r="L150" i="181" s="1"/>
  <c r="L151" i="181" s="1"/>
  <c r="L152" i="181" s="1"/>
  <c r="L153" i="181" s="1"/>
  <c r="L154" i="181" s="1"/>
  <c r="L155" i="181" s="1"/>
  <c r="L156" i="181" s="1"/>
  <c r="L157" i="181" s="1"/>
  <c r="L158" i="181" s="1"/>
  <c r="L159" i="181" s="1"/>
  <c r="L160" i="181" s="1"/>
  <c r="L161" i="181" s="1"/>
  <c r="L162" i="181" s="1"/>
  <c r="L163" i="181" s="1"/>
  <c r="L164" i="181" s="1"/>
  <c r="L165" i="181" s="1"/>
  <c r="L166" i="181" s="1"/>
  <c r="L167" i="181" s="1"/>
  <c r="L168" i="181" s="1"/>
  <c r="L169" i="181" s="1"/>
  <c r="L170" i="181" s="1"/>
  <c r="L171" i="181" s="1"/>
  <c r="L172" i="181" s="1"/>
  <c r="L173" i="181" s="1"/>
  <c r="L174" i="181" s="1"/>
  <c r="L175" i="181" s="1"/>
  <c r="L176" i="181" s="1"/>
  <c r="L177" i="181" s="1"/>
  <c r="L178" i="181" s="1"/>
  <c r="L179" i="181" s="1"/>
  <c r="L180" i="181" s="1"/>
  <c r="L181" i="181" s="1"/>
  <c r="L182" i="181" s="1"/>
  <c r="L183" i="181" s="1"/>
  <c r="L184" i="181" s="1"/>
  <c r="L185" i="181" s="1"/>
  <c r="L186" i="181" s="1"/>
  <c r="L187" i="181" s="1"/>
  <c r="L188" i="181" s="1"/>
  <c r="L189" i="181" s="1"/>
  <c r="L190" i="181" s="1"/>
  <c r="L191" i="181" s="1"/>
  <c r="L192" i="181" s="1"/>
  <c r="L193" i="181" s="1"/>
  <c r="L194" i="181" s="1"/>
  <c r="L195" i="181" s="1"/>
  <c r="L196" i="181" s="1"/>
  <c r="L197" i="181" s="1"/>
  <c r="L198" i="181" s="1"/>
  <c r="L199" i="181" s="1"/>
  <c r="L200" i="181" s="1"/>
  <c r="L201" i="181" s="1"/>
  <c r="L202" i="181" s="1"/>
  <c r="L203" i="181" s="1"/>
  <c r="L204" i="181" s="1"/>
  <c r="L205" i="181" s="1"/>
  <c r="L206" i="181" s="1"/>
  <c r="L207" i="181" s="1"/>
  <c r="L208" i="181" s="1"/>
  <c r="L209" i="181" s="1"/>
  <c r="L210" i="181" s="1"/>
  <c r="L211" i="181" s="1"/>
  <c r="L212" i="181" s="1"/>
  <c r="L213" i="181" s="1"/>
  <c r="L214" i="181" s="1"/>
  <c r="L215" i="181" s="1"/>
  <c r="L216" i="181" s="1"/>
  <c r="L217" i="181" s="1"/>
  <c r="L218" i="181" s="1"/>
  <c r="L219" i="181" s="1"/>
  <c r="L220" i="181" s="1"/>
  <c r="L221" i="181" s="1"/>
  <c r="L222" i="181" s="1"/>
  <c r="L223" i="181" s="1"/>
  <c r="L224" i="181" s="1"/>
  <c r="L225" i="181" s="1"/>
  <c r="L226" i="181" s="1"/>
  <c r="L227" i="181" s="1"/>
  <c r="L228" i="181" s="1"/>
  <c r="L229" i="181" s="1"/>
  <c r="L230" i="181" s="1"/>
  <c r="L231" i="181" s="1"/>
  <c r="L232" i="181" s="1"/>
  <c r="L233" i="181" s="1"/>
  <c r="L234" i="181" s="1"/>
  <c r="L235" i="181" s="1"/>
  <c r="L236" i="181" s="1"/>
  <c r="L237" i="181" s="1"/>
  <c r="L238" i="181" s="1"/>
  <c r="L239" i="181" s="1"/>
  <c r="L240" i="181" s="1"/>
  <c r="L241" i="181" s="1"/>
  <c r="L242" i="181" s="1"/>
  <c r="L243" i="181" s="1"/>
  <c r="L244" i="181" s="1"/>
  <c r="L245" i="181" s="1"/>
  <c r="L246" i="181" s="1"/>
  <c r="L247" i="181" s="1"/>
  <c r="L248" i="181" s="1"/>
  <c r="L249" i="181" s="1"/>
  <c r="L250" i="181" s="1"/>
  <c r="L251" i="181" s="1"/>
  <c r="L252" i="181" s="1"/>
  <c r="L253" i="181" s="1"/>
  <c r="L254" i="181" s="1"/>
  <c r="L255" i="181" s="1"/>
  <c r="L256" i="181" s="1"/>
  <c r="L257" i="181" s="1"/>
  <c r="L258" i="181" s="1"/>
  <c r="L259" i="181" s="1"/>
  <c r="L260" i="181" s="1"/>
  <c r="L261" i="181" s="1"/>
  <c r="L262" i="181" s="1"/>
  <c r="L263" i="181" s="1"/>
  <c r="L264" i="181" s="1"/>
  <c r="L265" i="181" s="1"/>
  <c r="L266" i="181" s="1"/>
  <c r="L267" i="181" s="1"/>
  <c r="L268" i="181" s="1"/>
  <c r="L269" i="181" s="1"/>
  <c r="L270" i="181" s="1"/>
  <c r="L271" i="181" s="1"/>
  <c r="L272" i="181" s="1"/>
  <c r="L273" i="181" s="1"/>
  <c r="L274" i="181" s="1"/>
  <c r="L275" i="181" s="1"/>
  <c r="L276" i="181" s="1"/>
  <c r="L277" i="181" s="1"/>
  <c r="L278" i="181" s="1"/>
  <c r="L279" i="181" s="1"/>
  <c r="L280" i="181" s="1"/>
  <c r="L281" i="181" s="1"/>
  <c r="L282" i="181" s="1"/>
  <c r="L283" i="181" s="1"/>
  <c r="L284" i="181" s="1"/>
  <c r="L285" i="181" s="1"/>
  <c r="L286" i="181" s="1"/>
  <c r="L287" i="181" s="1"/>
  <c r="L288" i="181" s="1"/>
  <c r="L289" i="181" s="1"/>
  <c r="L290" i="181" s="1"/>
  <c r="L291" i="181" s="1"/>
  <c r="L292" i="181" s="1"/>
  <c r="L293" i="181" s="1"/>
  <c r="L294" i="181" s="1"/>
  <c r="L295" i="181" s="1"/>
  <c r="L296" i="181" s="1"/>
  <c r="L297" i="181" s="1"/>
  <c r="L298" i="181" s="1"/>
  <c r="L299" i="181" s="1"/>
  <c r="L300" i="181" s="1"/>
  <c r="L301" i="181" s="1"/>
  <c r="L302" i="181" s="1"/>
  <c r="L303" i="181" s="1"/>
  <c r="L304" i="181" s="1"/>
  <c r="L305" i="181" s="1"/>
  <c r="L306" i="181" s="1"/>
  <c r="L307" i="181" s="1"/>
  <c r="L308" i="181" s="1"/>
  <c r="L309" i="181" s="1"/>
  <c r="L310" i="181" s="1"/>
  <c r="L311" i="181" s="1"/>
  <c r="L312" i="181" s="1"/>
  <c r="L313" i="181" s="1"/>
  <c r="L314" i="181" s="1"/>
  <c r="L315" i="181" s="1"/>
  <c r="L316" i="181" s="1"/>
  <c r="L317" i="181" s="1"/>
  <c r="L318" i="181" s="1"/>
  <c r="L319" i="181" s="1"/>
  <c r="L320" i="181" s="1"/>
  <c r="L321" i="181" s="1"/>
  <c r="L322" i="181" s="1"/>
  <c r="L323" i="181" s="1"/>
  <c r="L324" i="181" s="1"/>
  <c r="L325" i="181" s="1"/>
  <c r="L326" i="181" s="1"/>
  <c r="L327" i="181" s="1"/>
  <c r="L328" i="181" s="1"/>
  <c r="L329" i="181" s="1"/>
  <c r="L330" i="181" s="1"/>
  <c r="L331" i="181" s="1"/>
  <c r="L332" i="181" s="1"/>
  <c r="L333" i="181" s="1"/>
  <c r="L334" i="181" s="1"/>
  <c r="L335" i="181" s="1"/>
  <c r="L336" i="181" s="1"/>
  <c r="L337" i="181" s="1"/>
  <c r="L338" i="181" s="1"/>
  <c r="L339" i="181" s="1"/>
  <c r="L340" i="181" s="1"/>
  <c r="L341" i="181" s="1"/>
  <c r="N340" i="181"/>
  <c r="N339" i="181"/>
  <c r="N336" i="181"/>
  <c r="N323" i="181"/>
  <c r="N265" i="181"/>
  <c r="N256" i="181"/>
  <c r="N249" i="181"/>
  <c r="N240" i="181"/>
  <c r="N233" i="181"/>
  <c r="N224" i="181"/>
  <c r="N217" i="181"/>
  <c r="N208" i="181"/>
  <c r="N201" i="181"/>
  <c r="N192" i="181"/>
  <c r="N185" i="181"/>
  <c r="N176" i="181"/>
  <c r="N329" i="181"/>
  <c r="N326" i="181"/>
  <c r="N320" i="181"/>
  <c r="N317" i="181"/>
  <c r="N312" i="181"/>
  <c r="N309" i="181"/>
  <c r="N304" i="181"/>
  <c r="N301" i="181"/>
  <c r="N296" i="181"/>
  <c r="N293" i="181"/>
  <c r="N288" i="181"/>
  <c r="N285" i="181"/>
  <c r="N280" i="181"/>
  <c r="N277" i="181"/>
  <c r="N272" i="181"/>
  <c r="N267" i="181"/>
  <c r="N258" i="181"/>
  <c r="N251" i="181"/>
  <c r="N242" i="181"/>
  <c r="N235" i="181"/>
  <c r="N226" i="181"/>
  <c r="N219" i="181"/>
  <c r="N210" i="181"/>
  <c r="N203" i="181"/>
  <c r="N194" i="181"/>
  <c r="N187" i="181"/>
  <c r="N178" i="181"/>
  <c r="N335" i="181"/>
  <c r="N332" i="181"/>
  <c r="N269" i="181"/>
  <c r="N260" i="181"/>
  <c r="N253" i="181"/>
  <c r="N244" i="181"/>
  <c r="N237" i="181"/>
  <c r="N228" i="181"/>
  <c r="N221" i="181"/>
  <c r="N212" i="181"/>
  <c r="N205" i="181"/>
  <c r="N196" i="181"/>
  <c r="N189" i="181"/>
  <c r="N180" i="181"/>
  <c r="N173" i="181"/>
  <c r="N171" i="181"/>
  <c r="N338" i="181"/>
  <c r="N325" i="181"/>
  <c r="N322" i="181"/>
  <c r="N319" i="181"/>
  <c r="N314" i="181"/>
  <c r="N311" i="181"/>
  <c r="N306" i="181"/>
  <c r="N303" i="181"/>
  <c r="N298" i="181"/>
  <c r="N295" i="181"/>
  <c r="N290" i="181"/>
  <c r="N287" i="181"/>
  <c r="N282" i="181"/>
  <c r="N279" i="181"/>
  <c r="N274" i="181"/>
  <c r="N271" i="181"/>
  <c r="N262" i="181"/>
  <c r="N255" i="181"/>
  <c r="N246" i="181"/>
  <c r="N239" i="181"/>
  <c r="N230" i="181"/>
  <c r="N223" i="181"/>
  <c r="N214" i="181"/>
  <c r="N207" i="181"/>
  <c r="N198" i="181"/>
  <c r="N191" i="181"/>
  <c r="N331" i="181"/>
  <c r="N328" i="181"/>
  <c r="N264" i="181"/>
  <c r="N257" i="181"/>
  <c r="N248" i="181"/>
  <c r="N241" i="181"/>
  <c r="N232" i="181"/>
  <c r="N225" i="181"/>
  <c r="N337" i="181"/>
  <c r="N334" i="181"/>
  <c r="N321" i="181"/>
  <c r="N316" i="181"/>
  <c r="N313" i="181"/>
  <c r="N308" i="181"/>
  <c r="N305" i="181"/>
  <c r="N300" i="181"/>
  <c r="N297" i="181"/>
  <c r="N292" i="181"/>
  <c r="N289" i="181"/>
  <c r="N284" i="181"/>
  <c r="N281" i="181"/>
  <c r="N276" i="181"/>
  <c r="N273" i="181"/>
  <c r="N266" i="181"/>
  <c r="N259" i="181"/>
  <c r="N250" i="181"/>
  <c r="N243" i="181"/>
  <c r="N234" i="181"/>
  <c r="N227" i="181"/>
  <c r="N324" i="181"/>
  <c r="N261" i="181"/>
  <c r="N252" i="181"/>
  <c r="N211" i="181"/>
  <c r="N202" i="181"/>
  <c r="N181" i="181"/>
  <c r="N177" i="181"/>
  <c r="N174" i="181"/>
  <c r="N136" i="181"/>
  <c r="N134" i="181"/>
  <c r="N132" i="181"/>
  <c r="N130" i="181"/>
  <c r="N128" i="181"/>
  <c r="N126" i="181"/>
  <c r="N124" i="181"/>
  <c r="N122" i="181"/>
  <c r="N120" i="181"/>
  <c r="N118" i="181"/>
  <c r="N116" i="181"/>
  <c r="N114" i="181"/>
  <c r="N112" i="181"/>
  <c r="N110" i="181"/>
  <c r="N108" i="181"/>
  <c r="N106" i="181"/>
  <c r="N104" i="181"/>
  <c r="N102" i="181"/>
  <c r="N100" i="181"/>
  <c r="N98" i="181"/>
  <c r="N96" i="181"/>
  <c r="N94" i="181"/>
  <c r="N92" i="181"/>
  <c r="N90" i="181"/>
  <c r="N88" i="181"/>
  <c r="N86" i="181"/>
  <c r="N84" i="181"/>
  <c r="N82" i="181"/>
  <c r="N80" i="181"/>
  <c r="N78" i="181"/>
  <c r="N76" i="181"/>
  <c r="N74" i="181"/>
  <c r="N72" i="181"/>
  <c r="N70" i="181"/>
  <c r="N68" i="181"/>
  <c r="N66" i="181"/>
  <c r="N64" i="181"/>
  <c r="N62" i="181"/>
  <c r="N60" i="181"/>
  <c r="O60" i="181" s="1"/>
  <c r="O61" i="181" s="1"/>
  <c r="O62" i="181" s="1"/>
  <c r="O63" i="181" s="1"/>
  <c r="O64" i="181" s="1"/>
  <c r="O65" i="181" s="1"/>
  <c r="O66" i="181" s="1"/>
  <c r="O67" i="181" s="1"/>
  <c r="O68" i="181" s="1"/>
  <c r="O69" i="181" s="1"/>
  <c r="O70" i="181" s="1"/>
  <c r="O71" i="181" s="1"/>
  <c r="O72" i="181" s="1"/>
  <c r="O73" i="181" s="1"/>
  <c r="O74" i="181" s="1"/>
  <c r="O75" i="181" s="1"/>
  <c r="O76" i="181" s="1"/>
  <c r="O77" i="181" s="1"/>
  <c r="O78" i="181" s="1"/>
  <c r="O79" i="181" s="1"/>
  <c r="O80" i="181" s="1"/>
  <c r="O81" i="181" s="1"/>
  <c r="O82" i="181" s="1"/>
  <c r="O83" i="181" s="1"/>
  <c r="O84" i="181" s="1"/>
  <c r="O85" i="181" s="1"/>
  <c r="O86" i="181" s="1"/>
  <c r="O87" i="181" s="1"/>
  <c r="O88" i="181" s="1"/>
  <c r="O89" i="181" s="1"/>
  <c r="O90" i="181" s="1"/>
  <c r="O91" i="181" s="1"/>
  <c r="O92" i="181" s="1"/>
  <c r="O93" i="181" s="1"/>
  <c r="O94" i="181" s="1"/>
  <c r="O95" i="181" s="1"/>
  <c r="O96" i="181" s="1"/>
  <c r="O97" i="181" s="1"/>
  <c r="O98" i="181" s="1"/>
  <c r="O99" i="181" s="1"/>
  <c r="O100" i="181" s="1"/>
  <c r="O101" i="181" s="1"/>
  <c r="O102" i="181" s="1"/>
  <c r="O103" i="181" s="1"/>
  <c r="O104" i="181" s="1"/>
  <c r="O105" i="181" s="1"/>
  <c r="O106" i="181" s="1"/>
  <c r="O107" i="181" s="1"/>
  <c r="O108" i="181" s="1"/>
  <c r="O109" i="181" s="1"/>
  <c r="O110" i="181" s="1"/>
  <c r="O111" i="181" s="1"/>
  <c r="O112" i="181" s="1"/>
  <c r="O113" i="181" s="1"/>
  <c r="O114" i="181" s="1"/>
  <c r="O115" i="181" s="1"/>
  <c r="O116" i="181" s="1"/>
  <c r="O117" i="181" s="1"/>
  <c r="O118" i="181" s="1"/>
  <c r="O119" i="181" s="1"/>
  <c r="O120" i="181" s="1"/>
  <c r="O121" i="181" s="1"/>
  <c r="O122" i="181" s="1"/>
  <c r="O123" i="181" s="1"/>
  <c r="O124" i="181" s="1"/>
  <c r="O125" i="181" s="1"/>
  <c r="O126" i="181" s="1"/>
  <c r="O127" i="181" s="1"/>
  <c r="O128" i="181" s="1"/>
  <c r="O129" i="181" s="1"/>
  <c r="O130" i="181" s="1"/>
  <c r="O131" i="181" s="1"/>
  <c r="O132" i="181" s="1"/>
  <c r="O133" i="181" s="1"/>
  <c r="O134" i="181" s="1"/>
  <c r="O135" i="181" s="1"/>
  <c r="O136" i="181" s="1"/>
  <c r="O137" i="181" s="1"/>
  <c r="O138" i="181" s="1"/>
  <c r="O139" i="181" s="1"/>
  <c r="O140" i="181" s="1"/>
  <c r="O141" i="181" s="1"/>
  <c r="O142" i="181" s="1"/>
  <c r="O143" i="181" s="1"/>
  <c r="O144" i="181" s="1"/>
  <c r="O145" i="181" s="1"/>
  <c r="O146" i="181" s="1"/>
  <c r="O147" i="181" s="1"/>
  <c r="O148" i="181" s="1"/>
  <c r="O149" i="181" s="1"/>
  <c r="O150" i="181" s="1"/>
  <c r="O151" i="181" s="1"/>
  <c r="O152" i="181" s="1"/>
  <c r="O153" i="181" s="1"/>
  <c r="O154" i="181" s="1"/>
  <c r="O155" i="181" s="1"/>
  <c r="O156" i="181" s="1"/>
  <c r="O157" i="181" s="1"/>
  <c r="O158" i="181" s="1"/>
  <c r="O159" i="181" s="1"/>
  <c r="O160" i="181" s="1"/>
  <c r="O161" i="181" s="1"/>
  <c r="O162" i="181" s="1"/>
  <c r="O163" i="181" s="1"/>
  <c r="O164" i="181" s="1"/>
  <c r="O165" i="181" s="1"/>
  <c r="O166" i="181" s="1"/>
  <c r="O167" i="181" s="1"/>
  <c r="O168" i="181" s="1"/>
  <c r="O169" i="181" s="1"/>
  <c r="O170" i="181" s="1"/>
  <c r="O171" i="181" s="1"/>
  <c r="O172" i="181" s="1"/>
  <c r="O173" i="181" s="1"/>
  <c r="O174" i="181" s="1"/>
  <c r="O175" i="181" s="1"/>
  <c r="O176" i="181" s="1"/>
  <c r="O177" i="181" s="1"/>
  <c r="O178" i="181" s="1"/>
  <c r="O179" i="181" s="1"/>
  <c r="O180" i="181" s="1"/>
  <c r="O181" i="181" s="1"/>
  <c r="O182" i="181" s="1"/>
  <c r="O183" i="181" s="1"/>
  <c r="O184" i="181" s="1"/>
  <c r="O185" i="181" s="1"/>
  <c r="O186" i="181" s="1"/>
  <c r="O187" i="181" s="1"/>
  <c r="O188" i="181" s="1"/>
  <c r="O189" i="181" s="1"/>
  <c r="O190" i="181" s="1"/>
  <c r="O191" i="181" s="1"/>
  <c r="O192" i="181" s="1"/>
  <c r="O193" i="181" s="1"/>
  <c r="O194" i="181" s="1"/>
  <c r="O195" i="181" s="1"/>
  <c r="O196" i="181" s="1"/>
  <c r="O197" i="181" s="1"/>
  <c r="O198" i="181" s="1"/>
  <c r="O199" i="181" s="1"/>
  <c r="O200" i="181" s="1"/>
  <c r="O201" i="181" s="1"/>
  <c r="O202" i="181" s="1"/>
  <c r="O203" i="181" s="1"/>
  <c r="O204" i="181" s="1"/>
  <c r="O205" i="181" s="1"/>
  <c r="O206" i="181" s="1"/>
  <c r="O207" i="181" s="1"/>
  <c r="O208" i="181" s="1"/>
  <c r="O209" i="181" s="1"/>
  <c r="O210" i="181" s="1"/>
  <c r="O211" i="181" s="1"/>
  <c r="O212" i="181" s="1"/>
  <c r="O213" i="181" s="1"/>
  <c r="O214" i="181" s="1"/>
  <c r="O215" i="181" s="1"/>
  <c r="O216" i="181" s="1"/>
  <c r="O217" i="181" s="1"/>
  <c r="O218" i="181" s="1"/>
  <c r="O219" i="181" s="1"/>
  <c r="O220" i="181" s="1"/>
  <c r="O221" i="181" s="1"/>
  <c r="O222" i="181" s="1"/>
  <c r="O223" i="181" s="1"/>
  <c r="O224" i="181" s="1"/>
  <c r="O225" i="181" s="1"/>
  <c r="O226" i="181" s="1"/>
  <c r="O227" i="181" s="1"/>
  <c r="O228" i="181" s="1"/>
  <c r="O229" i="181" s="1"/>
  <c r="O230" i="181" s="1"/>
  <c r="O231" i="181" s="1"/>
  <c r="O232" i="181" s="1"/>
  <c r="O233" i="181" s="1"/>
  <c r="O234" i="181" s="1"/>
  <c r="O235" i="181" s="1"/>
  <c r="O236" i="181" s="1"/>
  <c r="O237" i="181" s="1"/>
  <c r="O238" i="181" s="1"/>
  <c r="O239" i="181" s="1"/>
  <c r="O240" i="181" s="1"/>
  <c r="O241" i="181" s="1"/>
  <c r="O242" i="181" s="1"/>
  <c r="O243" i="181" s="1"/>
  <c r="O244" i="181" s="1"/>
  <c r="O245" i="181" s="1"/>
  <c r="O246" i="181" s="1"/>
  <c r="O247" i="181" s="1"/>
  <c r="O248" i="181" s="1"/>
  <c r="O249" i="181" s="1"/>
  <c r="O250" i="181" s="1"/>
  <c r="O251" i="181" s="1"/>
  <c r="O252" i="181" s="1"/>
  <c r="O253" i="181" s="1"/>
  <c r="O254" i="181" s="1"/>
  <c r="O255" i="181" s="1"/>
  <c r="O256" i="181" s="1"/>
  <c r="O257" i="181" s="1"/>
  <c r="O258" i="181" s="1"/>
  <c r="O259" i="181" s="1"/>
  <c r="O260" i="181" s="1"/>
  <c r="O261" i="181" s="1"/>
  <c r="O262" i="181" s="1"/>
  <c r="O263" i="181" s="1"/>
  <c r="O264" i="181" s="1"/>
  <c r="O265" i="181" s="1"/>
  <c r="O266" i="181" s="1"/>
  <c r="O267" i="181" s="1"/>
  <c r="O268" i="181" s="1"/>
  <c r="O269" i="181" s="1"/>
  <c r="O270" i="181" s="1"/>
  <c r="O271" i="181" s="1"/>
  <c r="O272" i="181" s="1"/>
  <c r="O273" i="181" s="1"/>
  <c r="O274" i="181" s="1"/>
  <c r="O275" i="181" s="1"/>
  <c r="O276" i="181" s="1"/>
  <c r="O277" i="181" s="1"/>
  <c r="O278" i="181" s="1"/>
  <c r="O279" i="181" s="1"/>
  <c r="O280" i="181" s="1"/>
  <c r="O281" i="181" s="1"/>
  <c r="O282" i="181" s="1"/>
  <c r="O283" i="181" s="1"/>
  <c r="O284" i="181" s="1"/>
  <c r="O285" i="181" s="1"/>
  <c r="O286" i="181" s="1"/>
  <c r="O287" i="181" s="1"/>
  <c r="O288" i="181" s="1"/>
  <c r="O289" i="181" s="1"/>
  <c r="O290" i="181" s="1"/>
  <c r="O291" i="181" s="1"/>
  <c r="O292" i="181" s="1"/>
  <c r="O293" i="181" s="1"/>
  <c r="O294" i="181" s="1"/>
  <c r="O295" i="181" s="1"/>
  <c r="O296" i="181" s="1"/>
  <c r="O297" i="181" s="1"/>
  <c r="O298" i="181" s="1"/>
  <c r="O299" i="181" s="1"/>
  <c r="O300" i="181" s="1"/>
  <c r="O301" i="181" s="1"/>
  <c r="O302" i="181" s="1"/>
  <c r="O303" i="181" s="1"/>
  <c r="O304" i="181" s="1"/>
  <c r="O305" i="181" s="1"/>
  <c r="O306" i="181" s="1"/>
  <c r="O307" i="181" s="1"/>
  <c r="O308" i="181" s="1"/>
  <c r="O309" i="181" s="1"/>
  <c r="O310" i="181" s="1"/>
  <c r="O311" i="181" s="1"/>
  <c r="O312" i="181" s="1"/>
  <c r="O313" i="181" s="1"/>
  <c r="O314" i="181" s="1"/>
  <c r="O315" i="181" s="1"/>
  <c r="O316" i="181" s="1"/>
  <c r="O317" i="181" s="1"/>
  <c r="O318" i="181" s="1"/>
  <c r="O319" i="181" s="1"/>
  <c r="O320" i="181" s="1"/>
  <c r="O321" i="181" s="1"/>
  <c r="O322" i="181" s="1"/>
  <c r="O323" i="181" s="1"/>
  <c r="O324" i="181" s="1"/>
  <c r="O325" i="181" s="1"/>
  <c r="O326" i="181" s="1"/>
  <c r="O327" i="181" s="1"/>
  <c r="O328" i="181" s="1"/>
  <c r="O329" i="181" s="1"/>
  <c r="O330" i="181" s="1"/>
  <c r="O331" i="181" s="1"/>
  <c r="O332" i="181" s="1"/>
  <c r="O333" i="181" s="1"/>
  <c r="O334" i="181" s="1"/>
  <c r="O335" i="181" s="1"/>
  <c r="O336" i="181" s="1"/>
  <c r="O337" i="181" s="1"/>
  <c r="O338" i="181" s="1"/>
  <c r="O339" i="181" s="1"/>
  <c r="O340" i="181" s="1"/>
  <c r="N302" i="181"/>
  <c r="N291" i="181"/>
  <c r="N270" i="181"/>
  <c r="N220" i="181"/>
  <c r="N197" i="181"/>
  <c r="N188" i="181"/>
  <c r="N184" i="181"/>
  <c r="N170" i="181"/>
  <c r="N167" i="181"/>
  <c r="N162" i="181"/>
  <c r="N159" i="181"/>
  <c r="N154" i="181"/>
  <c r="N151" i="181"/>
  <c r="N146" i="181"/>
  <c r="N143" i="181"/>
  <c r="N138" i="181"/>
  <c r="F41" i="181"/>
  <c r="N268" i="181"/>
  <c r="N215" i="181"/>
  <c r="N206" i="181"/>
  <c r="N333" i="181"/>
  <c r="N310" i="181"/>
  <c r="N299" i="181"/>
  <c r="N278" i="181"/>
  <c r="N231" i="181"/>
  <c r="N209" i="181"/>
  <c r="N200" i="181"/>
  <c r="N169" i="181"/>
  <c r="N164" i="181"/>
  <c r="N161" i="181"/>
  <c r="N156" i="181"/>
  <c r="N153" i="181"/>
  <c r="N148" i="181"/>
  <c r="N145" i="181"/>
  <c r="N140" i="181"/>
  <c r="N229" i="181"/>
  <c r="N218" i="181"/>
  <c r="N195" i="181"/>
  <c r="N183" i="181"/>
  <c r="N179" i="181"/>
  <c r="N175" i="181"/>
  <c r="N172" i="181"/>
  <c r="N137" i="181"/>
  <c r="N135" i="181"/>
  <c r="N133" i="181"/>
  <c r="N131" i="181"/>
  <c r="N129" i="181"/>
  <c r="N127" i="181"/>
  <c r="N125" i="181"/>
  <c r="N123" i="181"/>
  <c r="N121" i="181"/>
  <c r="N119" i="181"/>
  <c r="N117" i="181"/>
  <c r="N115" i="181"/>
  <c r="N113" i="181"/>
  <c r="N111" i="181"/>
  <c r="N109" i="181"/>
  <c r="N107" i="181"/>
  <c r="N105" i="181"/>
  <c r="N103" i="181"/>
  <c r="N101" i="181"/>
  <c r="N99" i="181"/>
  <c r="N97" i="181"/>
  <c r="N95" i="181"/>
  <c r="N93" i="181"/>
  <c r="N91" i="181"/>
  <c r="N89" i="181"/>
  <c r="N87" i="181"/>
  <c r="N85" i="181"/>
  <c r="N83" i="181"/>
  <c r="N330" i="181"/>
  <c r="N318" i="181"/>
  <c r="N307" i="181"/>
  <c r="N286" i="181"/>
  <c r="N275" i="181"/>
  <c r="N247" i="181"/>
  <c r="N238" i="181"/>
  <c r="N213" i="181"/>
  <c r="N204" i="181"/>
  <c r="N186" i="181"/>
  <c r="N182" i="181"/>
  <c r="N166" i="181"/>
  <c r="N163" i="181"/>
  <c r="N158" i="181"/>
  <c r="N155" i="181"/>
  <c r="N150" i="181"/>
  <c r="N147" i="181"/>
  <c r="N142" i="181"/>
  <c r="N139" i="181"/>
  <c r="N327" i="181"/>
  <c r="N245" i="181"/>
  <c r="N199" i="181"/>
  <c r="N283" i="181"/>
  <c r="N216" i="181"/>
  <c r="N168" i="181"/>
  <c r="N157" i="181"/>
  <c r="N236" i="181"/>
  <c r="N315" i="181"/>
  <c r="N193" i="181"/>
  <c r="N165" i="181"/>
  <c r="N144" i="181"/>
  <c r="N81" i="181"/>
  <c r="N77" i="181"/>
  <c r="N73" i="181"/>
  <c r="N69" i="181"/>
  <c r="N65" i="181"/>
  <c r="N190" i="181"/>
  <c r="N61" i="181"/>
  <c r="N75" i="181"/>
  <c r="N263" i="181"/>
  <c r="N152" i="181"/>
  <c r="N141" i="181"/>
  <c r="N222" i="181"/>
  <c r="N294" i="181"/>
  <c r="N254" i="181"/>
  <c r="N160" i="181"/>
  <c r="N149" i="181"/>
  <c r="N79" i="181"/>
  <c r="N71" i="181"/>
  <c r="N67" i="181"/>
  <c r="N63" i="181"/>
  <c r="G27" i="179"/>
  <c r="H27" i="179" s="1"/>
  <c r="H28" i="179" s="1"/>
  <c r="K41" i="179"/>
  <c r="L42" i="179" s="1"/>
  <c r="G29" i="179"/>
  <c r="C172" i="179"/>
  <c r="G172" i="179" s="1"/>
  <c r="B172" i="179"/>
  <c r="D172" i="179" s="1"/>
  <c r="N341" i="181" l="1"/>
  <c r="O341" i="181" s="1"/>
  <c r="H29" i="179"/>
  <c r="H30" i="179" s="1"/>
  <c r="H31" i="179" s="1"/>
  <c r="H32" i="179" s="1"/>
  <c r="H33" i="179" s="1"/>
  <c r="H34" i="179" s="1"/>
  <c r="H35" i="179" s="1"/>
  <c r="H36" i="179" s="1"/>
  <c r="H37" i="179" s="1"/>
  <c r="H38" i="179" s="1"/>
  <c r="H39" i="179" s="1"/>
  <c r="H40" i="179" s="1"/>
  <c r="H41" i="179" s="1"/>
  <c r="H42" i="179" s="1"/>
  <c r="H43" i="179" s="1"/>
  <c r="H44" i="179" s="1"/>
  <c r="H45" i="179" s="1"/>
  <c r="H46" i="179" s="1"/>
  <c r="H47" i="179" s="1"/>
  <c r="H48" i="179" s="1"/>
  <c r="H49" i="179" s="1"/>
  <c r="H50" i="179" s="1"/>
  <c r="H51" i="179" s="1"/>
  <c r="H52" i="179" s="1"/>
  <c r="H53" i="179" s="1"/>
  <c r="H54" i="179" s="1"/>
  <c r="H55" i="179" s="1"/>
  <c r="H56" i="179" s="1"/>
  <c r="H57" i="179" s="1"/>
  <c r="H58" i="179" s="1"/>
  <c r="H59" i="179" s="1"/>
  <c r="H60" i="179" s="1"/>
  <c r="H61" i="179" s="1"/>
  <c r="H62" i="179" s="1"/>
  <c r="H63" i="179" s="1"/>
  <c r="H64" i="179" s="1"/>
  <c r="H65" i="179" s="1"/>
  <c r="H66" i="179" s="1"/>
  <c r="H67" i="179" s="1"/>
  <c r="H68" i="179" s="1"/>
  <c r="H69" i="179" s="1"/>
  <c r="H70" i="179" s="1"/>
  <c r="H71" i="179" s="1"/>
  <c r="H72" i="179" s="1"/>
  <c r="H73" i="179" s="1"/>
  <c r="H74" i="179" s="1"/>
  <c r="H75" i="179" s="1"/>
  <c r="H76" i="179" s="1"/>
  <c r="H77" i="179" s="1"/>
  <c r="H78" i="179" s="1"/>
  <c r="H79" i="179" s="1"/>
  <c r="H80" i="179" s="1"/>
  <c r="H81" i="179" s="1"/>
  <c r="H82" i="179" s="1"/>
  <c r="H83" i="179" s="1"/>
  <c r="H84" i="179" s="1"/>
  <c r="H85" i="179" s="1"/>
  <c r="H86" i="179" s="1"/>
  <c r="H87" i="179" s="1"/>
  <c r="H88" i="179" s="1"/>
  <c r="H89" i="179" s="1"/>
  <c r="H90" i="179" s="1"/>
  <c r="H91" i="179" s="1"/>
  <c r="H92" i="179" s="1"/>
  <c r="H93" i="179" s="1"/>
  <c r="H94" i="179" s="1"/>
  <c r="H95" i="179" s="1"/>
  <c r="H96" i="179" s="1"/>
  <c r="H97" i="179" s="1"/>
  <c r="H98" i="179" s="1"/>
  <c r="H99" i="179" s="1"/>
  <c r="H100" i="179" s="1"/>
  <c r="H101" i="179" s="1"/>
  <c r="H102" i="179" s="1"/>
  <c r="H103" i="179" s="1"/>
  <c r="H104" i="179" s="1"/>
  <c r="H105" i="179" s="1"/>
  <c r="H106" i="179" s="1"/>
  <c r="H107" i="179" s="1"/>
  <c r="H108" i="179" s="1"/>
  <c r="H109" i="179" s="1"/>
  <c r="H110" i="179" s="1"/>
  <c r="H111" i="179" s="1"/>
  <c r="H112" i="179" s="1"/>
  <c r="H113" i="179" s="1"/>
  <c r="H114" i="179" s="1"/>
  <c r="H115" i="179" s="1"/>
  <c r="H116" i="179" s="1"/>
  <c r="H117" i="179" s="1"/>
  <c r="H118" i="179" s="1"/>
  <c r="H119" i="179" s="1"/>
  <c r="H120" i="179" s="1"/>
  <c r="H121" i="179" s="1"/>
  <c r="H122" i="179" s="1"/>
  <c r="H123" i="179" s="1"/>
  <c r="H124" i="179" s="1"/>
  <c r="H125" i="179" s="1"/>
  <c r="H126" i="179" s="1"/>
  <c r="H127" i="179" s="1"/>
  <c r="H128" i="179" s="1"/>
  <c r="H129" i="179" s="1"/>
  <c r="H130" i="179" s="1"/>
  <c r="H131" i="179" s="1"/>
  <c r="H132" i="179" s="1"/>
  <c r="H133" i="179" s="1"/>
  <c r="H134" i="179" s="1"/>
  <c r="H135" i="179" s="1"/>
  <c r="H136" i="179" s="1"/>
  <c r="H137" i="179" s="1"/>
  <c r="H138" i="179" s="1"/>
  <c r="H139" i="179" s="1"/>
  <c r="H140" i="179" s="1"/>
  <c r="H141" i="179" s="1"/>
  <c r="H142" i="179" s="1"/>
  <c r="H143" i="179" s="1"/>
  <c r="H144" i="179" s="1"/>
  <c r="H145" i="179" s="1"/>
  <c r="H146" i="179" s="1"/>
  <c r="H147" i="179" s="1"/>
  <c r="H148" i="179" s="1"/>
  <c r="H149" i="179" s="1"/>
  <c r="H150" i="179" s="1"/>
  <c r="H151" i="179" s="1"/>
  <c r="H152" i="179" s="1"/>
  <c r="H153" i="179" s="1"/>
  <c r="H154" i="179" s="1"/>
  <c r="H155" i="179" s="1"/>
  <c r="H156" i="179" s="1"/>
  <c r="H157" i="179" s="1"/>
  <c r="H158" i="179" s="1"/>
  <c r="H159" i="179" s="1"/>
  <c r="H160" i="179" s="1"/>
  <c r="H161" i="179" s="1"/>
  <c r="H162" i="179" s="1"/>
  <c r="H163" i="179" s="1"/>
  <c r="H164" i="179" s="1"/>
  <c r="H165" i="179" s="1"/>
  <c r="H166" i="179" s="1"/>
  <c r="H167" i="179" s="1"/>
  <c r="H168" i="179" s="1"/>
  <c r="H169" i="179" s="1"/>
  <c r="H170" i="179" s="1"/>
  <c r="H171" i="179" s="1"/>
  <c r="H172" i="179" s="1"/>
  <c r="E91" i="180" l="1"/>
  <c r="E88" i="180"/>
  <c r="E86" i="180"/>
  <c r="E83" i="180"/>
  <c r="E81" i="180"/>
  <c r="E80" i="180"/>
  <c r="E78" i="180"/>
  <c r="E75" i="180"/>
  <c r="E73" i="180"/>
  <c r="E72" i="180"/>
  <c r="E70" i="180"/>
  <c r="E67" i="180"/>
  <c r="E65" i="180"/>
  <c r="E64" i="180"/>
  <c r="E62" i="180"/>
  <c r="E59" i="180"/>
  <c r="E57" i="180"/>
  <c r="E56" i="180"/>
  <c r="E54" i="180"/>
  <c r="E51" i="180"/>
  <c r="E49" i="180"/>
  <c r="E48" i="180"/>
  <c r="E46" i="180"/>
  <c r="E43" i="180"/>
  <c r="E41" i="180"/>
  <c r="E40" i="180"/>
  <c r="E38" i="180"/>
  <c r="E35" i="180"/>
  <c r="H32" i="180"/>
  <c r="F27" i="180"/>
  <c r="E26" i="180" s="1"/>
  <c r="D27" i="180"/>
  <c r="D26" i="180"/>
  <c r="E20" i="180"/>
  <c r="D18" i="180"/>
  <c r="E16" i="180"/>
  <c r="F17" i="180" s="1"/>
  <c r="E11" i="180"/>
  <c r="E90" i="180" s="1"/>
  <c r="E7" i="180"/>
  <c r="F21" i="180" s="1"/>
  <c r="E37" i="180" l="1"/>
  <c r="E45" i="180"/>
  <c r="E53" i="180"/>
  <c r="E61" i="180"/>
  <c r="E69" i="180"/>
  <c r="E77" i="180"/>
  <c r="E85" i="180"/>
  <c r="E33" i="180"/>
  <c r="F33" i="180" s="1"/>
  <c r="E36" i="180"/>
  <c r="E44" i="180"/>
  <c r="E52" i="180"/>
  <c r="E60" i="180"/>
  <c r="E68" i="180"/>
  <c r="E76" i="180"/>
  <c r="E84" i="180"/>
  <c r="E92" i="180"/>
  <c r="E89" i="180"/>
  <c r="E39" i="180"/>
  <c r="E47" i="180"/>
  <c r="E55" i="180"/>
  <c r="E63" i="180"/>
  <c r="E71" i="180"/>
  <c r="E79" i="180"/>
  <c r="E87" i="180"/>
  <c r="E34" i="180"/>
  <c r="E42" i="180"/>
  <c r="E50" i="180"/>
  <c r="E58" i="180"/>
  <c r="E66" i="180"/>
  <c r="E74" i="180"/>
  <c r="E82" i="180"/>
  <c r="D83" i="178"/>
  <c r="D80" i="178"/>
  <c r="D78" i="178"/>
  <c r="D75" i="178"/>
  <c r="D72" i="178"/>
  <c r="D70" i="178"/>
  <c r="D67" i="178"/>
  <c r="D64" i="178"/>
  <c r="D62" i="178"/>
  <c r="D59" i="178"/>
  <c r="D56" i="178"/>
  <c r="D54" i="178"/>
  <c r="D51" i="178"/>
  <c r="D48" i="178"/>
  <c r="D46" i="178"/>
  <c r="D43" i="178"/>
  <c r="D40" i="178"/>
  <c r="D38" i="178"/>
  <c r="D35" i="178"/>
  <c r="D32" i="178"/>
  <c r="D30" i="178"/>
  <c r="G27" i="178"/>
  <c r="E22" i="178"/>
  <c r="D21" i="178"/>
  <c r="E16" i="178"/>
  <c r="D8" i="178"/>
  <c r="D85" i="178" s="1"/>
  <c r="F34" i="180" l="1"/>
  <c r="F35" i="180" s="1"/>
  <c r="F36" i="180" s="1"/>
  <c r="F37" i="180" s="1"/>
  <c r="F38" i="180" s="1"/>
  <c r="F39" i="180" s="1"/>
  <c r="F40" i="180" s="1"/>
  <c r="F41" i="180" s="1"/>
  <c r="F42" i="180" s="1"/>
  <c r="F43" i="180" s="1"/>
  <c r="F44" i="180" s="1"/>
  <c r="F45" i="180" s="1"/>
  <c r="F46" i="180" s="1"/>
  <c r="F47" i="180" s="1"/>
  <c r="F48" i="180" s="1"/>
  <c r="F49" i="180" s="1"/>
  <c r="F50" i="180" s="1"/>
  <c r="F51" i="180" s="1"/>
  <c r="F52" i="180" s="1"/>
  <c r="F53" i="180" s="1"/>
  <c r="F54" i="180" s="1"/>
  <c r="F55" i="180" s="1"/>
  <c r="F56" i="180" s="1"/>
  <c r="F57" i="180" s="1"/>
  <c r="F58" i="180" s="1"/>
  <c r="F59" i="180" s="1"/>
  <c r="F60" i="180" s="1"/>
  <c r="F61" i="180" s="1"/>
  <c r="F62" i="180" s="1"/>
  <c r="F63" i="180" s="1"/>
  <c r="F64" i="180" s="1"/>
  <c r="F65" i="180" s="1"/>
  <c r="F66" i="180" s="1"/>
  <c r="F67" i="180" s="1"/>
  <c r="F68" i="180" s="1"/>
  <c r="F69" i="180" s="1"/>
  <c r="F70" i="180" s="1"/>
  <c r="F71" i="180" s="1"/>
  <c r="F72" i="180" s="1"/>
  <c r="F73" i="180" s="1"/>
  <c r="F74" i="180" s="1"/>
  <c r="F75" i="180" s="1"/>
  <c r="F76" i="180" s="1"/>
  <c r="F77" i="180" s="1"/>
  <c r="F78" i="180" s="1"/>
  <c r="F79" i="180" s="1"/>
  <c r="F80" i="180" s="1"/>
  <c r="F81" i="180" s="1"/>
  <c r="F82" i="180" s="1"/>
  <c r="F83" i="180" s="1"/>
  <c r="F84" i="180" s="1"/>
  <c r="F85" i="180" s="1"/>
  <c r="F86" i="180" s="1"/>
  <c r="F87" i="180" s="1"/>
  <c r="F88" i="180" s="1"/>
  <c r="F89" i="180" s="1"/>
  <c r="F90" i="180" s="1"/>
  <c r="F91" i="180" s="1"/>
  <c r="F92" i="180" s="1"/>
  <c r="H33" i="180"/>
  <c r="H34" i="180" s="1"/>
  <c r="H35" i="180" s="1"/>
  <c r="H36" i="180" s="1"/>
  <c r="H37" i="180" s="1"/>
  <c r="H38" i="180" s="1"/>
  <c r="H39" i="180" s="1"/>
  <c r="H40" i="180" s="1"/>
  <c r="H41" i="180" s="1"/>
  <c r="H42" i="180" s="1"/>
  <c r="H43" i="180" s="1"/>
  <c r="H44" i="180" s="1"/>
  <c r="H45" i="180" s="1"/>
  <c r="H46" i="180" s="1"/>
  <c r="H47" i="180" s="1"/>
  <c r="H48" i="180" s="1"/>
  <c r="H49" i="180" s="1"/>
  <c r="H50" i="180" s="1"/>
  <c r="H51" i="180" s="1"/>
  <c r="H52" i="180" s="1"/>
  <c r="H53" i="180" s="1"/>
  <c r="H54" i="180" s="1"/>
  <c r="H55" i="180" s="1"/>
  <c r="H56" i="180" s="1"/>
  <c r="H57" i="180" s="1"/>
  <c r="H58" i="180" s="1"/>
  <c r="H59" i="180" s="1"/>
  <c r="H60" i="180" s="1"/>
  <c r="H61" i="180" s="1"/>
  <c r="H62" i="180" s="1"/>
  <c r="H63" i="180" s="1"/>
  <c r="H64" i="180" s="1"/>
  <c r="H65" i="180" s="1"/>
  <c r="H66" i="180" s="1"/>
  <c r="H67" i="180" s="1"/>
  <c r="H68" i="180" s="1"/>
  <c r="H69" i="180" s="1"/>
  <c r="H70" i="180" s="1"/>
  <c r="H71" i="180" s="1"/>
  <c r="H72" i="180" s="1"/>
  <c r="H73" i="180" s="1"/>
  <c r="H74" i="180" s="1"/>
  <c r="H75" i="180" s="1"/>
  <c r="H76" i="180" s="1"/>
  <c r="H77" i="180" s="1"/>
  <c r="H78" i="180" s="1"/>
  <c r="H79" i="180" s="1"/>
  <c r="H80" i="180" s="1"/>
  <c r="H81" i="180" s="1"/>
  <c r="H82" i="180" s="1"/>
  <c r="H83" i="180" s="1"/>
  <c r="H84" i="180" s="1"/>
  <c r="H85" i="180" s="1"/>
  <c r="H86" i="180" s="1"/>
  <c r="H87" i="180" s="1"/>
  <c r="H88" i="180" s="1"/>
  <c r="H89" i="180" s="1"/>
  <c r="H90" i="180" s="1"/>
  <c r="H91" i="180" s="1"/>
  <c r="H92" i="180" s="1"/>
  <c r="D86" i="178"/>
  <c r="D33" i="178"/>
  <c r="D41" i="178"/>
  <c r="D49" i="178"/>
  <c r="D57" i="178"/>
  <c r="D65" i="178"/>
  <c r="D73" i="178"/>
  <c r="D81" i="178"/>
  <c r="D36" i="178"/>
  <c r="D44" i="178"/>
  <c r="D52" i="178"/>
  <c r="D60" i="178"/>
  <c r="D68" i="178"/>
  <c r="D76" i="178"/>
  <c r="D84" i="178"/>
  <c r="D13" i="178"/>
  <c r="D31" i="178"/>
  <c r="D39" i="178"/>
  <c r="D47" i="178"/>
  <c r="D55" i="178"/>
  <c r="D63" i="178"/>
  <c r="D71" i="178"/>
  <c r="D79" i="178"/>
  <c r="D87" i="178"/>
  <c r="D34" i="178"/>
  <c r="D42" i="178"/>
  <c r="D50" i="178"/>
  <c r="D58" i="178"/>
  <c r="D66" i="178"/>
  <c r="D74" i="178"/>
  <c r="D82" i="178"/>
  <c r="D29" i="178"/>
  <c r="D37" i="178"/>
  <c r="D45" i="178"/>
  <c r="D53" i="178"/>
  <c r="D61" i="178"/>
  <c r="D69" i="178"/>
  <c r="D77" i="178"/>
  <c r="E14" i="178" l="1"/>
  <c r="D28" i="178"/>
  <c r="E28" i="178" l="1"/>
  <c r="E29" i="178" s="1"/>
  <c r="E30" i="178" s="1"/>
  <c r="E31" i="178" s="1"/>
  <c r="E32" i="178" s="1"/>
  <c r="E33" i="178" s="1"/>
  <c r="E34" i="178" s="1"/>
  <c r="E35" i="178" s="1"/>
  <c r="E36" i="178" s="1"/>
  <c r="E37" i="178" s="1"/>
  <c r="E38" i="178" s="1"/>
  <c r="E39" i="178" s="1"/>
  <c r="E40" i="178" s="1"/>
  <c r="E41" i="178" s="1"/>
  <c r="E42" i="178" s="1"/>
  <c r="E43" i="178" s="1"/>
  <c r="E44" i="178" s="1"/>
  <c r="E45" i="178" s="1"/>
  <c r="E46" i="178" s="1"/>
  <c r="E47" i="178" s="1"/>
  <c r="E48" i="178" s="1"/>
  <c r="E49" i="178" s="1"/>
  <c r="E50" i="178" s="1"/>
  <c r="E51" i="178" s="1"/>
  <c r="E52" i="178" s="1"/>
  <c r="E53" i="178" s="1"/>
  <c r="E54" i="178" s="1"/>
  <c r="E55" i="178" s="1"/>
  <c r="E56" i="178" s="1"/>
  <c r="E57" i="178" s="1"/>
  <c r="E58" i="178" s="1"/>
  <c r="E59" i="178" s="1"/>
  <c r="E60" i="178" s="1"/>
  <c r="E61" i="178" s="1"/>
  <c r="E62" i="178" s="1"/>
  <c r="E63" i="178" s="1"/>
  <c r="E64" i="178" s="1"/>
  <c r="E65" i="178" s="1"/>
  <c r="E66" i="178" s="1"/>
  <c r="E67" i="178" s="1"/>
  <c r="E68" i="178" s="1"/>
  <c r="E69" i="178" s="1"/>
  <c r="E70" i="178" s="1"/>
  <c r="E71" i="178" s="1"/>
  <c r="E72" i="178" s="1"/>
  <c r="E73" i="178" s="1"/>
  <c r="E74" i="178" s="1"/>
  <c r="E75" i="178" s="1"/>
  <c r="E76" i="178" s="1"/>
  <c r="E77" i="178" s="1"/>
  <c r="E78" i="178" s="1"/>
  <c r="E79" i="178" s="1"/>
  <c r="E80" i="178" s="1"/>
  <c r="E81" i="178" s="1"/>
  <c r="E82" i="178" s="1"/>
  <c r="E83" i="178" s="1"/>
  <c r="E84" i="178" s="1"/>
  <c r="E85" i="178" s="1"/>
  <c r="E86" i="178" s="1"/>
  <c r="E87" i="178" s="1"/>
  <c r="G28" i="178"/>
  <c r="G29" i="178" s="1"/>
  <c r="G30" i="178" s="1"/>
  <c r="G31" i="178" s="1"/>
  <c r="G32" i="178" s="1"/>
  <c r="G33" i="178" s="1"/>
  <c r="G34" i="178" s="1"/>
  <c r="G35" i="178" s="1"/>
  <c r="G36" i="178" s="1"/>
  <c r="G37" i="178" s="1"/>
  <c r="G38" i="178" s="1"/>
  <c r="G39" i="178" s="1"/>
  <c r="G40" i="178" s="1"/>
  <c r="G41" i="178" s="1"/>
  <c r="G42" i="178" s="1"/>
  <c r="G43" i="178" s="1"/>
  <c r="G44" i="178" s="1"/>
  <c r="G45" i="178" s="1"/>
  <c r="G46" i="178" s="1"/>
  <c r="G47" i="178" s="1"/>
  <c r="G48" i="178" s="1"/>
  <c r="G49" i="178" s="1"/>
  <c r="G50" i="178" s="1"/>
  <c r="G51" i="178" s="1"/>
  <c r="G52" i="178" s="1"/>
  <c r="G53" i="178" s="1"/>
  <c r="G54" i="178" s="1"/>
  <c r="G55" i="178" s="1"/>
  <c r="G56" i="178" s="1"/>
  <c r="G57" i="178" s="1"/>
  <c r="G58" i="178" s="1"/>
  <c r="G59" i="178" s="1"/>
  <c r="G60" i="178" s="1"/>
  <c r="G61" i="178" s="1"/>
  <c r="G62" i="178" s="1"/>
  <c r="G63" i="178" s="1"/>
  <c r="G64" i="178" s="1"/>
  <c r="G65" i="178" s="1"/>
  <c r="G66" i="178" s="1"/>
  <c r="G67" i="178" s="1"/>
  <c r="G68" i="178" s="1"/>
  <c r="G69" i="178" s="1"/>
  <c r="G70" i="178" s="1"/>
  <c r="G71" i="178" s="1"/>
  <c r="G72" i="178" s="1"/>
  <c r="G73" i="178" s="1"/>
  <c r="G74" i="178" s="1"/>
  <c r="G75" i="178" s="1"/>
  <c r="G76" i="178" s="1"/>
  <c r="G77" i="178" s="1"/>
  <c r="G78" i="178" s="1"/>
  <c r="G79" i="178" s="1"/>
  <c r="G80" i="178" s="1"/>
  <c r="G81" i="178" s="1"/>
  <c r="G82" i="178" s="1"/>
  <c r="G83" i="178" s="1"/>
  <c r="G84" i="178" s="1"/>
  <c r="G85" i="178" s="1"/>
  <c r="G86" i="178" s="1"/>
  <c r="G87" i="178" s="1"/>
  <c r="E73" i="176" l="1"/>
  <c r="E65" i="176"/>
  <c r="E57" i="176"/>
  <c r="E49" i="176"/>
  <c r="E41" i="176"/>
  <c r="E36" i="176"/>
  <c r="H28" i="176"/>
  <c r="F17" i="176"/>
  <c r="E9" i="176"/>
  <c r="E86" i="176" s="1"/>
  <c r="AD136" i="174"/>
  <c r="O136" i="174"/>
  <c r="C128" i="174"/>
  <c r="AE20" i="174"/>
  <c r="AC20" i="174"/>
  <c r="AA20" i="174"/>
  <c r="AA21" i="174" s="1"/>
  <c r="AA22" i="174" s="1"/>
  <c r="AA23" i="174" s="1"/>
  <c r="AA24" i="174" s="1"/>
  <c r="AA25" i="174" s="1"/>
  <c r="AA26" i="174" s="1"/>
  <c r="AA27" i="174" s="1"/>
  <c r="AA28" i="174" s="1"/>
  <c r="AA29" i="174" s="1"/>
  <c r="AA30" i="174" s="1"/>
  <c r="AA31" i="174" s="1"/>
  <c r="AA32" i="174" s="1"/>
  <c r="AA33" i="174" s="1"/>
  <c r="AA34" i="174" s="1"/>
  <c r="AA35" i="174" s="1"/>
  <c r="AA36" i="174" s="1"/>
  <c r="AA37" i="174" s="1"/>
  <c r="AA38" i="174" s="1"/>
  <c r="AA39" i="174" s="1"/>
  <c r="AA40" i="174" s="1"/>
  <c r="AA41" i="174" s="1"/>
  <c r="AA42" i="174" s="1"/>
  <c r="AA43" i="174" s="1"/>
  <c r="AA44" i="174" s="1"/>
  <c r="AA45" i="174" s="1"/>
  <c r="AA46" i="174" s="1"/>
  <c r="AA47" i="174" s="1"/>
  <c r="AA48" i="174" s="1"/>
  <c r="AA49" i="174" s="1"/>
  <c r="AA50" i="174" s="1"/>
  <c r="AA51" i="174" s="1"/>
  <c r="AA52" i="174" s="1"/>
  <c r="AA53" i="174" s="1"/>
  <c r="AA54" i="174" s="1"/>
  <c r="AA55" i="174" s="1"/>
  <c r="AA56" i="174" s="1"/>
  <c r="AA57" i="174" s="1"/>
  <c r="AA58" i="174" s="1"/>
  <c r="AA59" i="174" s="1"/>
  <c r="AA60" i="174" s="1"/>
  <c r="AA61" i="174" s="1"/>
  <c r="AA62" i="174" s="1"/>
  <c r="AA63" i="174" s="1"/>
  <c r="AA64" i="174" s="1"/>
  <c r="AA65" i="174" s="1"/>
  <c r="AA66" i="174" s="1"/>
  <c r="AA67" i="174" s="1"/>
  <c r="AA68" i="174" s="1"/>
  <c r="AA69" i="174" s="1"/>
  <c r="AA70" i="174" s="1"/>
  <c r="AA71" i="174" s="1"/>
  <c r="AA72" i="174" s="1"/>
  <c r="AA73" i="174" s="1"/>
  <c r="AA74" i="174" s="1"/>
  <c r="AA75" i="174" s="1"/>
  <c r="AA76" i="174" s="1"/>
  <c r="AA77" i="174" s="1"/>
  <c r="AA78" i="174" s="1"/>
  <c r="AA79" i="174" s="1"/>
  <c r="AA80" i="174" s="1"/>
  <c r="AA81" i="174" s="1"/>
  <c r="AA82" i="174" s="1"/>
  <c r="AA83" i="174" s="1"/>
  <c r="AA84" i="174" s="1"/>
  <c r="AA85" i="174" s="1"/>
  <c r="AA86" i="174" s="1"/>
  <c r="AA87" i="174" s="1"/>
  <c r="AA88" i="174" s="1"/>
  <c r="AA89" i="174" s="1"/>
  <c r="AA90" i="174" s="1"/>
  <c r="AA91" i="174" s="1"/>
  <c r="AA92" i="174" s="1"/>
  <c r="AA93" i="174" s="1"/>
  <c r="AA94" i="174" s="1"/>
  <c r="AA95" i="174" s="1"/>
  <c r="AA96" i="174" s="1"/>
  <c r="AA97" i="174" s="1"/>
  <c r="AA98" i="174" s="1"/>
  <c r="AA99" i="174" s="1"/>
  <c r="AA100" i="174" s="1"/>
  <c r="AA101" i="174" s="1"/>
  <c r="AA102" i="174" s="1"/>
  <c r="AA103" i="174" s="1"/>
  <c r="AA104" i="174" s="1"/>
  <c r="AA105" i="174" s="1"/>
  <c r="AA106" i="174" s="1"/>
  <c r="AA107" i="174" s="1"/>
  <c r="AA108" i="174" s="1"/>
  <c r="AA109" i="174" s="1"/>
  <c r="AA110" i="174" s="1"/>
  <c r="AA111" i="174" s="1"/>
  <c r="AA112" i="174" s="1"/>
  <c r="AA113" i="174" s="1"/>
  <c r="AA114" i="174" s="1"/>
  <c r="AA115" i="174" s="1"/>
  <c r="AA116" i="174" s="1"/>
  <c r="AA117" i="174" s="1"/>
  <c r="AA118" i="174" s="1"/>
  <c r="AA119" i="174" s="1"/>
  <c r="AA120" i="174" s="1"/>
  <c r="AA121" i="174" s="1"/>
  <c r="AA122" i="174" s="1"/>
  <c r="AA123" i="174" s="1"/>
  <c r="AA124" i="174" s="1"/>
  <c r="AA125" i="174" s="1"/>
  <c r="O7" i="174"/>
  <c r="O74" i="174" s="1"/>
  <c r="AE6" i="174"/>
  <c r="AD6" i="174"/>
  <c r="AA6" i="174"/>
  <c r="AA7" i="174" s="1"/>
  <c r="AA8" i="174" s="1"/>
  <c r="AA9" i="174" s="1"/>
  <c r="AA10" i="174" s="1"/>
  <c r="AA11" i="174" s="1"/>
  <c r="AA12" i="174" s="1"/>
  <c r="N6" i="174"/>
  <c r="R6" i="174" s="1"/>
  <c r="N7" i="174" s="1"/>
  <c r="L6" i="174"/>
  <c r="L7" i="174" s="1"/>
  <c r="L8" i="174" s="1"/>
  <c r="L9" i="174" s="1"/>
  <c r="L10" i="174" s="1"/>
  <c r="L11" i="174" s="1"/>
  <c r="L12" i="174" s="1"/>
  <c r="L13" i="174" s="1"/>
  <c r="L14" i="174" s="1"/>
  <c r="L15" i="174" s="1"/>
  <c r="L16" i="174" s="1"/>
  <c r="L17" i="174" s="1"/>
  <c r="L18" i="174" s="1"/>
  <c r="L19" i="174" s="1"/>
  <c r="L20" i="174" s="1"/>
  <c r="L21" i="174" s="1"/>
  <c r="L22" i="174" s="1"/>
  <c r="L23" i="174" s="1"/>
  <c r="L24" i="174" s="1"/>
  <c r="L25" i="174" s="1"/>
  <c r="L26" i="174" s="1"/>
  <c r="L27" i="174" s="1"/>
  <c r="L28" i="174" s="1"/>
  <c r="L29" i="174" s="1"/>
  <c r="L30" i="174" s="1"/>
  <c r="L31" i="174" s="1"/>
  <c r="L32" i="174" s="1"/>
  <c r="L33" i="174" s="1"/>
  <c r="L34" i="174" s="1"/>
  <c r="L35" i="174" s="1"/>
  <c r="L36" i="174" s="1"/>
  <c r="L37" i="174" s="1"/>
  <c r="L38" i="174" s="1"/>
  <c r="L39" i="174" s="1"/>
  <c r="L40" i="174" s="1"/>
  <c r="L41" i="174" s="1"/>
  <c r="L42" i="174" s="1"/>
  <c r="L43" i="174" s="1"/>
  <c r="L44" i="174" s="1"/>
  <c r="L45" i="174" s="1"/>
  <c r="L46" i="174" s="1"/>
  <c r="L47" i="174" s="1"/>
  <c r="L48" i="174" s="1"/>
  <c r="L49" i="174" s="1"/>
  <c r="L50" i="174" s="1"/>
  <c r="L51" i="174" s="1"/>
  <c r="L52" i="174" s="1"/>
  <c r="L53" i="174" s="1"/>
  <c r="L54" i="174" s="1"/>
  <c r="L55" i="174" s="1"/>
  <c r="L56" i="174" s="1"/>
  <c r="L57" i="174" s="1"/>
  <c r="L58" i="174" s="1"/>
  <c r="L59" i="174" s="1"/>
  <c r="L60" i="174" s="1"/>
  <c r="L61" i="174" s="1"/>
  <c r="L62" i="174" s="1"/>
  <c r="L63" i="174" s="1"/>
  <c r="L64" i="174" s="1"/>
  <c r="L65" i="174" s="1"/>
  <c r="L66" i="174" s="1"/>
  <c r="L67" i="174" s="1"/>
  <c r="L68" i="174" s="1"/>
  <c r="L69" i="174" s="1"/>
  <c r="L70" i="174" s="1"/>
  <c r="L71" i="174" s="1"/>
  <c r="L72" i="174" s="1"/>
  <c r="L73" i="174" s="1"/>
  <c r="L74" i="174" s="1"/>
  <c r="L75" i="174" s="1"/>
  <c r="L76" i="174" s="1"/>
  <c r="L77" i="174" s="1"/>
  <c r="L78" i="174" s="1"/>
  <c r="L79" i="174" s="1"/>
  <c r="L80" i="174" s="1"/>
  <c r="L81" i="174" s="1"/>
  <c r="L82" i="174" s="1"/>
  <c r="L83" i="174" s="1"/>
  <c r="L84" i="174" s="1"/>
  <c r="L85" i="174" s="1"/>
  <c r="L86" i="174" s="1"/>
  <c r="L87" i="174" s="1"/>
  <c r="L88" i="174" s="1"/>
  <c r="L89" i="174" s="1"/>
  <c r="L90" i="174" s="1"/>
  <c r="L91" i="174" s="1"/>
  <c r="L92" i="174" s="1"/>
  <c r="L93" i="174" s="1"/>
  <c r="L94" i="174" s="1"/>
  <c r="L95" i="174" s="1"/>
  <c r="L96" i="174" s="1"/>
  <c r="L97" i="174" s="1"/>
  <c r="L98" i="174" s="1"/>
  <c r="L99" i="174" s="1"/>
  <c r="L100" i="174" s="1"/>
  <c r="L101" i="174" s="1"/>
  <c r="L102" i="174" s="1"/>
  <c r="L103" i="174" s="1"/>
  <c r="L104" i="174" s="1"/>
  <c r="L105" i="174" s="1"/>
  <c r="L106" i="174" s="1"/>
  <c r="L107" i="174" s="1"/>
  <c r="L108" i="174" s="1"/>
  <c r="L109" i="174" s="1"/>
  <c r="L110" i="174" s="1"/>
  <c r="L111" i="174" s="1"/>
  <c r="L112" i="174" s="1"/>
  <c r="L113" i="174" s="1"/>
  <c r="L114" i="174" s="1"/>
  <c r="L115" i="174" s="1"/>
  <c r="L116" i="174" s="1"/>
  <c r="L117" i="174" s="1"/>
  <c r="L118" i="174" s="1"/>
  <c r="L119" i="174" s="1"/>
  <c r="L120" i="174" s="1"/>
  <c r="L121" i="174" s="1"/>
  <c r="L122" i="174" s="1"/>
  <c r="L123" i="174" s="1"/>
  <c r="L124" i="174" s="1"/>
  <c r="L125" i="174" s="1"/>
  <c r="L126" i="174" s="1"/>
  <c r="L127" i="174" s="1"/>
  <c r="L128" i="174" s="1"/>
  <c r="L129" i="174" s="1"/>
  <c r="L130" i="174" s="1"/>
  <c r="L131" i="174" s="1"/>
  <c r="L132" i="174" s="1"/>
  <c r="C6" i="174"/>
  <c r="C19" i="174" s="1"/>
  <c r="B6" i="174"/>
  <c r="D6" i="174" s="1"/>
  <c r="E52" i="176" l="1"/>
  <c r="E68" i="176"/>
  <c r="E76" i="176"/>
  <c r="E84" i="176"/>
  <c r="E14" i="176"/>
  <c r="E32" i="176"/>
  <c r="E39" i="176"/>
  <c r="E47" i="176"/>
  <c r="E55" i="176"/>
  <c r="E63" i="176"/>
  <c r="E71" i="176"/>
  <c r="E79" i="176"/>
  <c r="E87" i="176"/>
  <c r="E60" i="176"/>
  <c r="E30" i="176"/>
  <c r="E37" i="176"/>
  <c r="E42" i="176"/>
  <c r="E50" i="176"/>
  <c r="E58" i="176"/>
  <c r="E66" i="176"/>
  <c r="E74" i="176"/>
  <c r="E82" i="176"/>
  <c r="E45" i="176"/>
  <c r="E53" i="176"/>
  <c r="E61" i="176"/>
  <c r="E69" i="176"/>
  <c r="E77" i="176"/>
  <c r="E85" i="176"/>
  <c r="E81" i="176"/>
  <c r="E34" i="176"/>
  <c r="E35" i="176"/>
  <c r="E40" i="176"/>
  <c r="E48" i="176"/>
  <c r="E56" i="176"/>
  <c r="E64" i="176"/>
  <c r="E72" i="176"/>
  <c r="E80" i="176"/>
  <c r="E88" i="176"/>
  <c r="F23" i="176"/>
  <c r="E22" i="176" s="1"/>
  <c r="E33" i="176"/>
  <c r="E43" i="176"/>
  <c r="E51" i="176"/>
  <c r="E59" i="176"/>
  <c r="E67" i="176"/>
  <c r="E75" i="176"/>
  <c r="E83" i="176"/>
  <c r="E44" i="176"/>
  <c r="E31" i="176"/>
  <c r="E38" i="176"/>
  <c r="E46" i="176"/>
  <c r="E54" i="176"/>
  <c r="E62" i="176"/>
  <c r="E70" i="176"/>
  <c r="E78" i="176"/>
  <c r="P7" i="174"/>
  <c r="AD122" i="174"/>
  <c r="AD114" i="174"/>
  <c r="AD106" i="174"/>
  <c r="AD98" i="174"/>
  <c r="AD90" i="174"/>
  <c r="AD121" i="174"/>
  <c r="AD113" i="174"/>
  <c r="AD105" i="174"/>
  <c r="AD97" i="174"/>
  <c r="AD89" i="174"/>
  <c r="AD120" i="174"/>
  <c r="AD112" i="174"/>
  <c r="AD104" i="174"/>
  <c r="AD96" i="174"/>
  <c r="AD119" i="174"/>
  <c r="AD111" i="174"/>
  <c r="AD103" i="174"/>
  <c r="AD95" i="174"/>
  <c r="AD118" i="174"/>
  <c r="AD110" i="174"/>
  <c r="AD124" i="174"/>
  <c r="AD116" i="174"/>
  <c r="AD108" i="174"/>
  <c r="AD100" i="174"/>
  <c r="AD123" i="174"/>
  <c r="AD83" i="174"/>
  <c r="AD75" i="174"/>
  <c r="AD67" i="174"/>
  <c r="AD117" i="174"/>
  <c r="AD101" i="174"/>
  <c r="AD92" i="174"/>
  <c r="AD82" i="174"/>
  <c r="AD74" i="174"/>
  <c r="AD66" i="174"/>
  <c r="AD115" i="174"/>
  <c r="AD102" i="174"/>
  <c r="AD81" i="174"/>
  <c r="AD73" i="174"/>
  <c r="AD65" i="174"/>
  <c r="AD109" i="174"/>
  <c r="AD88" i="174"/>
  <c r="AD80" i="174"/>
  <c r="AD72" i="174"/>
  <c r="AD107" i="174"/>
  <c r="AD91" i="174"/>
  <c r="AD87" i="174"/>
  <c r="AD79" i="174"/>
  <c r="AD99" i="174"/>
  <c r="AD93" i="174"/>
  <c r="AD85" i="174"/>
  <c r="AD77" i="174"/>
  <c r="AD55" i="174"/>
  <c r="AD47" i="174"/>
  <c r="AD39" i="174"/>
  <c r="AD78" i="174"/>
  <c r="AD76" i="174"/>
  <c r="AD63" i="174"/>
  <c r="AD54" i="174"/>
  <c r="AD46" i="174"/>
  <c r="AD38" i="174"/>
  <c r="AD71" i="174"/>
  <c r="AD61" i="174"/>
  <c r="AD53" i="174"/>
  <c r="AD45" i="174"/>
  <c r="AD70" i="174"/>
  <c r="AD60" i="174"/>
  <c r="AD52" i="174"/>
  <c r="AD44" i="174"/>
  <c r="AD125" i="174"/>
  <c r="AD84" i="174"/>
  <c r="AD64" i="174"/>
  <c r="AD57" i="174"/>
  <c r="AD62" i="174"/>
  <c r="AD40" i="174"/>
  <c r="AD32" i="174"/>
  <c r="AD25" i="174"/>
  <c r="AD9" i="174"/>
  <c r="AD68" i="174"/>
  <c r="AD58" i="174"/>
  <c r="AD31" i="174"/>
  <c r="AD59" i="174"/>
  <c r="AD30" i="174"/>
  <c r="AD24" i="174"/>
  <c r="AD7" i="174"/>
  <c r="AD135" i="174" s="1"/>
  <c r="AD86" i="174"/>
  <c r="AD49" i="174"/>
  <c r="AD29" i="174"/>
  <c r="AD50" i="174"/>
  <c r="AD48" i="174"/>
  <c r="AD36" i="174"/>
  <c r="AD28" i="174"/>
  <c r="AD23" i="174"/>
  <c r="AD69" i="174"/>
  <c r="AD56" i="174"/>
  <c r="AD42" i="174"/>
  <c r="AD34" i="174"/>
  <c r="AD26" i="174"/>
  <c r="C9" i="174"/>
  <c r="O14" i="174"/>
  <c r="C16" i="174"/>
  <c r="AD22" i="174"/>
  <c r="O25" i="174"/>
  <c r="C29" i="174"/>
  <c r="O10" i="174"/>
  <c r="O15" i="174"/>
  <c r="AD21" i="174"/>
  <c r="O31" i="174"/>
  <c r="O47" i="174"/>
  <c r="C118" i="174"/>
  <c r="C110" i="174"/>
  <c r="C102" i="174"/>
  <c r="C94" i="174"/>
  <c r="C125" i="174"/>
  <c r="C117" i="174"/>
  <c r="C109" i="174"/>
  <c r="C101" i="174"/>
  <c r="C93" i="174"/>
  <c r="C124" i="174"/>
  <c r="C116" i="174"/>
  <c r="C108" i="174"/>
  <c r="C100" i="174"/>
  <c r="C92" i="174"/>
  <c r="C123" i="174"/>
  <c r="C115" i="174"/>
  <c r="C107" i="174"/>
  <c r="C99" i="174"/>
  <c r="C122" i="174"/>
  <c r="C114" i="174"/>
  <c r="C106" i="174"/>
  <c r="C120" i="174"/>
  <c r="C112" i="174"/>
  <c r="C104" i="174"/>
  <c r="C89" i="174"/>
  <c r="C87" i="174"/>
  <c r="C79" i="174"/>
  <c r="C71" i="174"/>
  <c r="C63" i="174"/>
  <c r="C103" i="174"/>
  <c r="C98" i="174"/>
  <c r="C86" i="174"/>
  <c r="C78" i="174"/>
  <c r="C70" i="174"/>
  <c r="C97" i="174"/>
  <c r="C91" i="174"/>
  <c r="C85" i="174"/>
  <c r="C77" i="174"/>
  <c r="C69" i="174"/>
  <c r="C121" i="174"/>
  <c r="C96" i="174"/>
  <c r="C84" i="174"/>
  <c r="C76" i="174"/>
  <c r="C119" i="174"/>
  <c r="C95" i="174"/>
  <c r="C83" i="174"/>
  <c r="C111" i="174"/>
  <c r="C81" i="174"/>
  <c r="C88" i="174"/>
  <c r="C73" i="174"/>
  <c r="C59" i="174"/>
  <c r="C51" i="174"/>
  <c r="C43" i="174"/>
  <c r="C90" i="174"/>
  <c r="C82" i="174"/>
  <c r="C72" i="174"/>
  <c r="C66" i="174"/>
  <c r="C58" i="174"/>
  <c r="C50" i="174"/>
  <c r="C42" i="174"/>
  <c r="C80" i="174"/>
  <c r="C57" i="174"/>
  <c r="C49" i="174"/>
  <c r="C41" i="174"/>
  <c r="C113" i="174"/>
  <c r="C68" i="174"/>
  <c r="C56" i="174"/>
  <c r="C48" i="174"/>
  <c r="C40" i="174"/>
  <c r="C75" i="174"/>
  <c r="C67" i="174"/>
  <c r="C61" i="174"/>
  <c r="C53" i="174"/>
  <c r="C74" i="174"/>
  <c r="C64" i="174"/>
  <c r="C105" i="174"/>
  <c r="C55" i="174"/>
  <c r="C37" i="174"/>
  <c r="C36" i="174"/>
  <c r="C28" i="174"/>
  <c r="C23" i="174"/>
  <c r="C13" i="174"/>
  <c r="C60" i="174"/>
  <c r="C47" i="174"/>
  <c r="C39" i="174"/>
  <c r="C35" i="174"/>
  <c r="C27" i="174"/>
  <c r="C22" i="174"/>
  <c r="C18" i="174"/>
  <c r="C12" i="174"/>
  <c r="C65" i="174"/>
  <c r="C46" i="174"/>
  <c r="C34" i="174"/>
  <c r="C21" i="174"/>
  <c r="C15" i="174"/>
  <c r="C11" i="174"/>
  <c r="C45" i="174"/>
  <c r="C33" i="174"/>
  <c r="C26" i="174"/>
  <c r="C20" i="174"/>
  <c r="C62" i="174"/>
  <c r="C52" i="174"/>
  <c r="C44" i="174"/>
  <c r="C38" i="174"/>
  <c r="C32" i="174"/>
  <c r="C30" i="174"/>
  <c r="O8" i="174"/>
  <c r="C25" i="174"/>
  <c r="O54" i="174"/>
  <c r="AD94" i="174"/>
  <c r="C8" i="174"/>
  <c r="AD27" i="174"/>
  <c r="O33" i="174"/>
  <c r="AD43" i="174"/>
  <c r="AD51" i="174"/>
  <c r="O127" i="174"/>
  <c r="O120" i="174"/>
  <c r="O112" i="174"/>
  <c r="O104" i="174"/>
  <c r="O96" i="174"/>
  <c r="O132" i="174"/>
  <c r="O128" i="174"/>
  <c r="O119" i="174"/>
  <c r="O111" i="174"/>
  <c r="O103" i="174"/>
  <c r="O95" i="174"/>
  <c r="O118" i="174"/>
  <c r="O110" i="174"/>
  <c r="O102" i="174"/>
  <c r="O94" i="174"/>
  <c r="O129" i="174"/>
  <c r="O125" i="174"/>
  <c r="O117" i="174"/>
  <c r="O109" i="174"/>
  <c r="O101" i="174"/>
  <c r="O124" i="174"/>
  <c r="O116" i="174"/>
  <c r="O108" i="174"/>
  <c r="O122" i="174"/>
  <c r="O114" i="174"/>
  <c r="O106" i="174"/>
  <c r="O99" i="174"/>
  <c r="O97" i="174"/>
  <c r="O81" i="174"/>
  <c r="O73" i="174"/>
  <c r="O65" i="174"/>
  <c r="O123" i="174"/>
  <c r="O100" i="174"/>
  <c r="O93" i="174"/>
  <c r="O88" i="174"/>
  <c r="O80" i="174"/>
  <c r="O72" i="174"/>
  <c r="O64" i="174"/>
  <c r="O121" i="174"/>
  <c r="O90" i="174"/>
  <c r="O87" i="174"/>
  <c r="O79" i="174"/>
  <c r="O71" i="174"/>
  <c r="O63" i="174"/>
  <c r="O115" i="174"/>
  <c r="O86" i="174"/>
  <c r="O78" i="174"/>
  <c r="O70" i="174"/>
  <c r="O113" i="174"/>
  <c r="O92" i="174"/>
  <c r="O85" i="174"/>
  <c r="O130" i="174"/>
  <c r="O126" i="174"/>
  <c r="O105" i="174"/>
  <c r="O83" i="174"/>
  <c r="O82" i="174"/>
  <c r="O68" i="174"/>
  <c r="O62" i="174"/>
  <c r="O61" i="174"/>
  <c r="O53" i="174"/>
  <c r="O45" i="174"/>
  <c r="O37" i="174"/>
  <c r="O107" i="174"/>
  <c r="O60" i="174"/>
  <c r="O52" i="174"/>
  <c r="O44" i="174"/>
  <c r="O131" i="174"/>
  <c r="O77" i="174"/>
  <c r="O59" i="174"/>
  <c r="O51" i="174"/>
  <c r="O43" i="174"/>
  <c r="O89" i="174"/>
  <c r="O76" i="174"/>
  <c r="O67" i="174"/>
  <c r="O58" i="174"/>
  <c r="O50" i="174"/>
  <c r="O42" i="174"/>
  <c r="O98" i="174"/>
  <c r="O91" i="174"/>
  <c r="O69" i="174"/>
  <c r="O66" i="174"/>
  <c r="O55" i="174"/>
  <c r="O84" i="174"/>
  <c r="O56" i="174"/>
  <c r="O46" i="174"/>
  <c r="O30" i="174"/>
  <c r="O19" i="174"/>
  <c r="O57" i="174"/>
  <c r="O41" i="174"/>
  <c r="O38" i="174"/>
  <c r="O29" i="174"/>
  <c r="O24" i="174"/>
  <c r="O16" i="174"/>
  <c r="O75" i="174"/>
  <c r="O36" i="174"/>
  <c r="O28" i="174"/>
  <c r="O23" i="174"/>
  <c r="O13" i="174"/>
  <c r="O40" i="174"/>
  <c r="O35" i="174"/>
  <c r="O27" i="174"/>
  <c r="O22" i="174"/>
  <c r="O18" i="174"/>
  <c r="O12" i="174"/>
  <c r="O34" i="174"/>
  <c r="O48" i="174"/>
  <c r="O39" i="174"/>
  <c r="O32" i="174"/>
  <c r="O11" i="174"/>
  <c r="Q7" i="174"/>
  <c r="R7" i="174" s="1"/>
  <c r="N8" i="174" s="1"/>
  <c r="AD8" i="174"/>
  <c r="C10" i="174"/>
  <c r="AD33" i="174"/>
  <c r="AD37" i="174"/>
  <c r="C24" i="174"/>
  <c r="E6" i="174"/>
  <c r="F6" i="174" s="1"/>
  <c r="B7" i="174" s="1"/>
  <c r="O17" i="174"/>
  <c r="C31" i="174"/>
  <c r="AF6" i="174"/>
  <c r="O9" i="174"/>
  <c r="O135" i="174" s="1"/>
  <c r="P6" i="174"/>
  <c r="C7" i="174"/>
  <c r="AD11" i="174"/>
  <c r="O21" i="174"/>
  <c r="O26" i="174"/>
  <c r="AD35" i="174"/>
  <c r="C17" i="174"/>
  <c r="O49" i="174"/>
  <c r="AD10" i="174"/>
  <c r="O20" i="174"/>
  <c r="AD12" i="174"/>
  <c r="C14" i="174"/>
  <c r="AD20" i="174"/>
  <c r="AF20" i="174" s="1"/>
  <c r="AG20" i="174" s="1"/>
  <c r="AC21" i="174" s="1"/>
  <c r="AD41" i="174"/>
  <c r="C54" i="174"/>
  <c r="F15" i="176" l="1"/>
  <c r="E29" i="176"/>
  <c r="P8" i="174"/>
  <c r="AF21" i="174"/>
  <c r="AG21" i="174" s="1"/>
  <c r="AC22" i="174" s="1"/>
  <c r="AG6" i="174"/>
  <c r="AC7" i="174" s="1"/>
  <c r="Q8" i="174"/>
  <c r="R8" i="174" s="1"/>
  <c r="N9" i="174" s="1"/>
  <c r="AE21" i="174"/>
  <c r="E7" i="174"/>
  <c r="F7" i="174" s="1"/>
  <c r="B8" i="174" s="1"/>
  <c r="C127" i="174"/>
  <c r="V24" i="174"/>
  <c r="D7" i="174"/>
  <c r="F29" i="176" l="1"/>
  <c r="F30" i="176" s="1"/>
  <c r="F31" i="176" s="1"/>
  <c r="F32" i="176" s="1"/>
  <c r="F33" i="176" s="1"/>
  <c r="F34" i="176" s="1"/>
  <c r="F35" i="176" s="1"/>
  <c r="F36" i="176" s="1"/>
  <c r="F37" i="176" s="1"/>
  <c r="F38" i="176" s="1"/>
  <c r="F39" i="176" s="1"/>
  <c r="F40" i="176" s="1"/>
  <c r="F41" i="176" s="1"/>
  <c r="F42" i="176" s="1"/>
  <c r="F43" i="176" s="1"/>
  <c r="F44" i="176" s="1"/>
  <c r="F45" i="176" s="1"/>
  <c r="F46" i="176" s="1"/>
  <c r="F47" i="176" s="1"/>
  <c r="F48" i="176" s="1"/>
  <c r="F49" i="176" s="1"/>
  <c r="F50" i="176" s="1"/>
  <c r="F51" i="176" s="1"/>
  <c r="F52" i="176" s="1"/>
  <c r="F53" i="176" s="1"/>
  <c r="F54" i="176" s="1"/>
  <c r="F55" i="176" s="1"/>
  <c r="F56" i="176" s="1"/>
  <c r="F57" i="176" s="1"/>
  <c r="F58" i="176" s="1"/>
  <c r="F59" i="176" s="1"/>
  <c r="F60" i="176" s="1"/>
  <c r="F61" i="176" s="1"/>
  <c r="F62" i="176" s="1"/>
  <c r="F63" i="176" s="1"/>
  <c r="F64" i="176" s="1"/>
  <c r="F65" i="176" s="1"/>
  <c r="F66" i="176" s="1"/>
  <c r="F67" i="176" s="1"/>
  <c r="F68" i="176" s="1"/>
  <c r="F69" i="176" s="1"/>
  <c r="F70" i="176" s="1"/>
  <c r="F71" i="176" s="1"/>
  <c r="F72" i="176" s="1"/>
  <c r="F73" i="176" s="1"/>
  <c r="F74" i="176" s="1"/>
  <c r="F75" i="176" s="1"/>
  <c r="F76" i="176" s="1"/>
  <c r="F77" i="176" s="1"/>
  <c r="F78" i="176" s="1"/>
  <c r="F79" i="176" s="1"/>
  <c r="F80" i="176" s="1"/>
  <c r="F81" i="176" s="1"/>
  <c r="F82" i="176" s="1"/>
  <c r="F83" i="176" s="1"/>
  <c r="F84" i="176" s="1"/>
  <c r="F85" i="176" s="1"/>
  <c r="F86" i="176" s="1"/>
  <c r="F87" i="176" s="1"/>
  <c r="F88" i="176" s="1"/>
  <c r="H29" i="176"/>
  <c r="H30" i="176" s="1"/>
  <c r="H31" i="176" s="1"/>
  <c r="H32" i="176" s="1"/>
  <c r="H33" i="176" s="1"/>
  <c r="H34" i="176" s="1"/>
  <c r="H35" i="176" s="1"/>
  <c r="H36" i="176" s="1"/>
  <c r="H37" i="176" s="1"/>
  <c r="H38" i="176" s="1"/>
  <c r="P9" i="174"/>
  <c r="Q9" i="174" s="1"/>
  <c r="R9" i="174" s="1"/>
  <c r="N10" i="174" s="1"/>
  <c r="D8" i="174"/>
  <c r="E8" i="174" s="1"/>
  <c r="F8" i="174" s="1"/>
  <c r="B9" i="174" s="1"/>
  <c r="AE22" i="174"/>
  <c r="AF22" i="174" s="1"/>
  <c r="AG22" i="174" s="1"/>
  <c r="AC23" i="174" s="1"/>
  <c r="AE7" i="174"/>
  <c r="AF7" i="174" s="1"/>
  <c r="H39" i="176" l="1"/>
  <c r="H40" i="176" s="1"/>
  <c r="H41" i="176" s="1"/>
  <c r="H42" i="176" s="1"/>
  <c r="H43" i="176" s="1"/>
  <c r="H44" i="176" s="1"/>
  <c r="H45" i="176" s="1"/>
  <c r="AE23" i="174"/>
  <c r="AF23" i="174" s="1"/>
  <c r="AG23" i="174" s="1"/>
  <c r="AC24" i="174" s="1"/>
  <c r="D9" i="174"/>
  <c r="E9" i="174" s="1"/>
  <c r="F9" i="174"/>
  <c r="B10" i="174" s="1"/>
  <c r="P10" i="174"/>
  <c r="Q10" i="174" s="1"/>
  <c r="R10" i="174" s="1"/>
  <c r="N11" i="174" s="1"/>
  <c r="AG7" i="174"/>
  <c r="AC8" i="174" s="1"/>
  <c r="H46" i="176" l="1"/>
  <c r="H47" i="176" s="1"/>
  <c r="H48" i="176" s="1"/>
  <c r="H49" i="176" s="1"/>
  <c r="H50" i="176" s="1"/>
  <c r="H51" i="176" s="1"/>
  <c r="H52" i="176" s="1"/>
  <c r="H53" i="176" s="1"/>
  <c r="H54" i="176" s="1"/>
  <c r="H55" i="176" s="1"/>
  <c r="H56" i="176" s="1"/>
  <c r="H57" i="176" s="1"/>
  <c r="H58" i="176" s="1"/>
  <c r="H59" i="176" s="1"/>
  <c r="H60" i="176" s="1"/>
  <c r="H61" i="176" s="1"/>
  <c r="H62" i="176" s="1"/>
  <c r="H63" i="176" s="1"/>
  <c r="H64" i="176" s="1"/>
  <c r="H65" i="176" s="1"/>
  <c r="H66" i="176" s="1"/>
  <c r="H67" i="176" s="1"/>
  <c r="H68" i="176" s="1"/>
  <c r="H69" i="176" s="1"/>
  <c r="H70" i="176" s="1"/>
  <c r="H71" i="176" s="1"/>
  <c r="H72" i="176" s="1"/>
  <c r="H73" i="176" s="1"/>
  <c r="H74" i="176" s="1"/>
  <c r="H75" i="176" s="1"/>
  <c r="H76" i="176" s="1"/>
  <c r="H77" i="176" s="1"/>
  <c r="H78" i="176" s="1"/>
  <c r="H79" i="176" s="1"/>
  <c r="H80" i="176" s="1"/>
  <c r="H81" i="176" s="1"/>
  <c r="H82" i="176" s="1"/>
  <c r="H83" i="176" s="1"/>
  <c r="H84" i="176" s="1"/>
  <c r="H85" i="176" s="1"/>
  <c r="H86" i="176" s="1"/>
  <c r="H87" i="176" s="1"/>
  <c r="H88" i="176" s="1"/>
  <c r="P11" i="174"/>
  <c r="Q11" i="174" s="1"/>
  <c r="AE24" i="174"/>
  <c r="AF24" i="174" s="1"/>
  <c r="AG24" i="174" s="1"/>
  <c r="AC25" i="174" s="1"/>
  <c r="D10" i="174"/>
  <c r="E10" i="174" s="1"/>
  <c r="F10" i="174" s="1"/>
  <c r="B11" i="174" s="1"/>
  <c r="AE8" i="174"/>
  <c r="AF8" i="174" s="1"/>
  <c r="AG8" i="174" s="1"/>
  <c r="AC9" i="174" s="1"/>
  <c r="D11" i="174" l="1"/>
  <c r="E11" i="174" s="1"/>
  <c r="F11" i="174"/>
  <c r="B12" i="174" s="1"/>
  <c r="AE9" i="174"/>
  <c r="AF9" i="174" s="1"/>
  <c r="AG9" i="174" s="1"/>
  <c r="AC10" i="174" s="1"/>
  <c r="AE25" i="174"/>
  <c r="AF25" i="174" s="1"/>
  <c r="AG25" i="174" s="1"/>
  <c r="AC26" i="174" s="1"/>
  <c r="R11" i="174"/>
  <c r="N12" i="174" s="1"/>
  <c r="AG26" i="174" l="1"/>
  <c r="AC27" i="174" s="1"/>
  <c r="AE26" i="174"/>
  <c r="AF26" i="174" s="1"/>
  <c r="AE10" i="174"/>
  <c r="AF10" i="174" s="1"/>
  <c r="AG10" i="174" s="1"/>
  <c r="AC11" i="174" s="1"/>
  <c r="D12" i="174"/>
  <c r="E12" i="174" s="1"/>
  <c r="F12" i="174" s="1"/>
  <c r="B13" i="174" s="1"/>
  <c r="P12" i="174"/>
  <c r="Q12" i="174" s="1"/>
  <c r="R12" i="174" s="1"/>
  <c r="N13" i="174" s="1"/>
  <c r="P13" i="174" l="1"/>
  <c r="Q13" i="174" s="1"/>
  <c r="R13" i="174"/>
  <c r="N14" i="174" s="1"/>
  <c r="D13" i="174"/>
  <c r="E13" i="174" s="1"/>
  <c r="F13" i="174" s="1"/>
  <c r="B14" i="174" s="1"/>
  <c r="AE11" i="174"/>
  <c r="AF11" i="174" s="1"/>
  <c r="AG11" i="174" s="1"/>
  <c r="AC12" i="174" s="1"/>
  <c r="AE27" i="174"/>
  <c r="AF27" i="174" s="1"/>
  <c r="AG27" i="174" s="1"/>
  <c r="AC28" i="174" s="1"/>
  <c r="AE12" i="174" l="1"/>
  <c r="AF12" i="174" s="1"/>
  <c r="AG12" i="174" s="1"/>
  <c r="AE28" i="174"/>
  <c r="AF28" i="174" s="1"/>
  <c r="AG28" i="174" s="1"/>
  <c r="AC29" i="174" s="1"/>
  <c r="D14" i="174"/>
  <c r="E14" i="174" s="1"/>
  <c r="F14" i="174" s="1"/>
  <c r="B15" i="174" s="1"/>
  <c r="P14" i="174"/>
  <c r="Q14" i="174" s="1"/>
  <c r="R14" i="174" s="1"/>
  <c r="N15" i="174" s="1"/>
  <c r="D15" i="174" l="1"/>
  <c r="E15" i="174" s="1"/>
  <c r="F15" i="174" s="1"/>
  <c r="B16" i="174" s="1"/>
  <c r="P15" i="174"/>
  <c r="Q15" i="174" s="1"/>
  <c r="R15" i="174" s="1"/>
  <c r="N16" i="174" s="1"/>
  <c r="AE29" i="174"/>
  <c r="AF29" i="174" s="1"/>
  <c r="AG29" i="174" s="1"/>
  <c r="AC30" i="174" s="1"/>
  <c r="P16" i="174" l="1"/>
  <c r="Q16" i="174" s="1"/>
  <c r="R16" i="174"/>
  <c r="N17" i="174" s="1"/>
  <c r="AE30" i="174"/>
  <c r="AF30" i="174" s="1"/>
  <c r="AG30" i="174" s="1"/>
  <c r="AC31" i="174" s="1"/>
  <c r="D16" i="174"/>
  <c r="E16" i="174" s="1"/>
  <c r="F16" i="174"/>
  <c r="B17" i="174" s="1"/>
  <c r="AE31" i="174" l="1"/>
  <c r="AF31" i="174" s="1"/>
  <c r="AG31" i="174" s="1"/>
  <c r="AC32" i="174" s="1"/>
  <c r="D17" i="174"/>
  <c r="E17" i="174" s="1"/>
  <c r="F17" i="174" s="1"/>
  <c r="B18" i="174" s="1"/>
  <c r="P17" i="174"/>
  <c r="Q17" i="174" s="1"/>
  <c r="R17" i="174" s="1"/>
  <c r="N18" i="174" s="1"/>
  <c r="D18" i="174" l="1"/>
  <c r="E18" i="174" s="1"/>
  <c r="F18" i="174" s="1"/>
  <c r="B19" i="174" s="1"/>
  <c r="P18" i="174"/>
  <c r="Q18" i="174" s="1"/>
  <c r="R18" i="174" s="1"/>
  <c r="N19" i="174" s="1"/>
  <c r="AE32" i="174"/>
  <c r="AF32" i="174" s="1"/>
  <c r="AG32" i="174" s="1"/>
  <c r="AC33" i="174" s="1"/>
  <c r="AE33" i="174" l="1"/>
  <c r="AF33" i="174" s="1"/>
  <c r="AG33" i="174" s="1"/>
  <c r="AC34" i="174" s="1"/>
  <c r="P19" i="174"/>
  <c r="Q19" i="174" s="1"/>
  <c r="R19" i="174" s="1"/>
  <c r="N20" i="174" s="1"/>
  <c r="D19" i="174"/>
  <c r="E19" i="174" s="1"/>
  <c r="F19" i="174" s="1"/>
  <c r="B20" i="174" s="1"/>
  <c r="D20" i="174" l="1"/>
  <c r="E20" i="174" s="1"/>
  <c r="F20" i="174" s="1"/>
  <c r="B21" i="174" s="1"/>
  <c r="P20" i="174"/>
  <c r="Q20" i="174" s="1"/>
  <c r="R20" i="174" s="1"/>
  <c r="N21" i="174" s="1"/>
  <c r="AE34" i="174"/>
  <c r="AF34" i="174" s="1"/>
  <c r="AG34" i="174" s="1"/>
  <c r="AC35" i="174" s="1"/>
  <c r="AG35" i="174" l="1"/>
  <c r="AC36" i="174" s="1"/>
  <c r="AE35" i="174"/>
  <c r="AF35" i="174" s="1"/>
  <c r="P21" i="174"/>
  <c r="D21" i="174"/>
  <c r="E21" i="174" s="1"/>
  <c r="F21" i="174" s="1"/>
  <c r="B22" i="174" s="1"/>
  <c r="D22" i="174" l="1"/>
  <c r="E22" i="174" s="1"/>
  <c r="F22" i="174"/>
  <c r="B23" i="174" s="1"/>
  <c r="W25" i="174"/>
  <c r="Q21" i="174"/>
  <c r="AE36" i="174"/>
  <c r="AF36" i="174" s="1"/>
  <c r="AG36" i="174" s="1"/>
  <c r="AC37" i="174" s="1"/>
  <c r="AE37" i="174" l="1"/>
  <c r="AF37" i="174" s="1"/>
  <c r="AG37" i="174" s="1"/>
  <c r="AC38" i="174" s="1"/>
  <c r="W26" i="174"/>
  <c r="R21" i="174"/>
  <c r="N22" i="174" s="1"/>
  <c r="D23" i="174"/>
  <c r="E23" i="174" s="1"/>
  <c r="F23" i="174"/>
  <c r="B24" i="174" s="1"/>
  <c r="AE38" i="174" l="1"/>
  <c r="AF38" i="174" s="1"/>
  <c r="AG38" i="174"/>
  <c r="AC39" i="174" s="1"/>
  <c r="D24" i="174"/>
  <c r="E24" i="174" s="1"/>
  <c r="F24" i="174" s="1"/>
  <c r="B25" i="174" s="1"/>
  <c r="P22" i="174"/>
  <c r="Q22" i="174" s="1"/>
  <c r="R22" i="174" s="1"/>
  <c r="N23" i="174" s="1"/>
  <c r="P23" i="174" l="1"/>
  <c r="Q23" i="174" s="1"/>
  <c r="R23" i="174"/>
  <c r="N24" i="174" s="1"/>
  <c r="D25" i="174"/>
  <c r="E25" i="174" s="1"/>
  <c r="F25" i="174" s="1"/>
  <c r="B26" i="174" s="1"/>
  <c r="AE39" i="174"/>
  <c r="AF39" i="174" s="1"/>
  <c r="AG39" i="174" s="1"/>
  <c r="AC40" i="174" s="1"/>
  <c r="AE40" i="174" l="1"/>
  <c r="AF40" i="174" s="1"/>
  <c r="AG40" i="174" s="1"/>
  <c r="AC41" i="174" s="1"/>
  <c r="D26" i="174"/>
  <c r="E26" i="174" s="1"/>
  <c r="F26" i="174" s="1"/>
  <c r="B27" i="174" s="1"/>
  <c r="P24" i="174"/>
  <c r="Q24" i="174" s="1"/>
  <c r="R24" i="174" s="1"/>
  <c r="N25" i="174" s="1"/>
  <c r="P25" i="174" l="1"/>
  <c r="Q25" i="174" s="1"/>
  <c r="R25" i="174" s="1"/>
  <c r="N26" i="174" s="1"/>
  <c r="D27" i="174"/>
  <c r="E27" i="174" s="1"/>
  <c r="F27" i="174"/>
  <c r="B28" i="174" s="1"/>
  <c r="AE41" i="174"/>
  <c r="AF41" i="174" s="1"/>
  <c r="AG41" i="174" s="1"/>
  <c r="AC42" i="174" s="1"/>
  <c r="AE42" i="174" l="1"/>
  <c r="AF42" i="174" s="1"/>
  <c r="AG42" i="174" s="1"/>
  <c r="AC43" i="174" s="1"/>
  <c r="P26" i="174"/>
  <c r="Q26" i="174" s="1"/>
  <c r="R26" i="174" s="1"/>
  <c r="N27" i="174" s="1"/>
  <c r="D28" i="174"/>
  <c r="E28" i="174" s="1"/>
  <c r="F28" i="174" s="1"/>
  <c r="B29" i="174" s="1"/>
  <c r="D29" i="174" l="1"/>
  <c r="E29" i="174" s="1"/>
  <c r="F29" i="174" s="1"/>
  <c r="B30" i="174" s="1"/>
  <c r="P27" i="174"/>
  <c r="Q27" i="174" s="1"/>
  <c r="R27" i="174" s="1"/>
  <c r="N28" i="174" s="1"/>
  <c r="AE43" i="174"/>
  <c r="AF43" i="174" s="1"/>
  <c r="AG43" i="174" s="1"/>
  <c r="AC44" i="174" s="1"/>
  <c r="AE44" i="174" l="1"/>
  <c r="AF44" i="174" s="1"/>
  <c r="AG44" i="174" s="1"/>
  <c r="AC45" i="174" s="1"/>
  <c r="P28" i="174"/>
  <c r="Q28" i="174" s="1"/>
  <c r="R28" i="174" s="1"/>
  <c r="N29" i="174" s="1"/>
  <c r="D30" i="174"/>
  <c r="E30" i="174" s="1"/>
  <c r="F30" i="174" s="1"/>
  <c r="B31" i="174" s="1"/>
  <c r="D31" i="174" l="1"/>
  <c r="E31" i="174" s="1"/>
  <c r="F31" i="174" s="1"/>
  <c r="B32" i="174" s="1"/>
  <c r="P29" i="174"/>
  <c r="Q29" i="174" s="1"/>
  <c r="R29" i="174" s="1"/>
  <c r="N30" i="174" s="1"/>
  <c r="AE45" i="174"/>
  <c r="AF45" i="174" s="1"/>
  <c r="AG45" i="174" s="1"/>
  <c r="AC46" i="174" s="1"/>
  <c r="P30" i="174" l="1"/>
  <c r="Q30" i="174" s="1"/>
  <c r="R30" i="174"/>
  <c r="N31" i="174" s="1"/>
  <c r="AE46" i="174"/>
  <c r="AF46" i="174" s="1"/>
  <c r="AG46" i="174"/>
  <c r="AC47" i="174" s="1"/>
  <c r="D32" i="174"/>
  <c r="E32" i="174" s="1"/>
  <c r="F32" i="174" s="1"/>
  <c r="B33" i="174" s="1"/>
  <c r="D33" i="174" l="1"/>
  <c r="E33" i="174" s="1"/>
  <c r="F33" i="174" s="1"/>
  <c r="B34" i="174" s="1"/>
  <c r="AE47" i="174"/>
  <c r="AF47" i="174" s="1"/>
  <c r="AG47" i="174" s="1"/>
  <c r="AC48" i="174" s="1"/>
  <c r="P31" i="174"/>
  <c r="Q31" i="174" s="1"/>
  <c r="R31" i="174" s="1"/>
  <c r="N32" i="174" s="1"/>
  <c r="AE48" i="174" l="1"/>
  <c r="AF48" i="174" s="1"/>
  <c r="AG48" i="174" s="1"/>
  <c r="AC49" i="174" s="1"/>
  <c r="P32" i="174"/>
  <c r="Q32" i="174" s="1"/>
  <c r="R32" i="174" s="1"/>
  <c r="N33" i="174" s="1"/>
  <c r="D34" i="174"/>
  <c r="E34" i="174" s="1"/>
  <c r="F34" i="174"/>
  <c r="B35" i="174" s="1"/>
  <c r="P33" i="174" l="1"/>
  <c r="Q33" i="174" s="1"/>
  <c r="R33" i="174" s="1"/>
  <c r="N34" i="174" s="1"/>
  <c r="AE49" i="174"/>
  <c r="AF49" i="174" s="1"/>
  <c r="AG49" i="174" s="1"/>
  <c r="AC50" i="174" s="1"/>
  <c r="D35" i="174"/>
  <c r="E35" i="174" s="1"/>
  <c r="F35" i="174"/>
  <c r="B36" i="174" s="1"/>
  <c r="AE50" i="174" l="1"/>
  <c r="AF50" i="174" s="1"/>
  <c r="AG50" i="174" s="1"/>
  <c r="AC51" i="174" s="1"/>
  <c r="P34" i="174"/>
  <c r="Q34" i="174" s="1"/>
  <c r="R34" i="174" s="1"/>
  <c r="N35" i="174" s="1"/>
  <c r="D36" i="174"/>
  <c r="E36" i="174" s="1"/>
  <c r="F36" i="174"/>
  <c r="B37" i="174" s="1"/>
  <c r="P35" i="174" l="1"/>
  <c r="Q35" i="174" s="1"/>
  <c r="R35" i="174" s="1"/>
  <c r="N36" i="174" s="1"/>
  <c r="AE51" i="174"/>
  <c r="AF51" i="174" s="1"/>
  <c r="AG51" i="174" s="1"/>
  <c r="AC52" i="174" s="1"/>
  <c r="D37" i="174"/>
  <c r="E37" i="174" s="1"/>
  <c r="F37" i="174" s="1"/>
  <c r="B38" i="174" s="1"/>
  <c r="D38" i="174" l="1"/>
  <c r="E38" i="174" s="1"/>
  <c r="F38" i="174" s="1"/>
  <c r="B39" i="174" s="1"/>
  <c r="AE52" i="174"/>
  <c r="AF52" i="174" s="1"/>
  <c r="AG52" i="174" s="1"/>
  <c r="AC53" i="174" s="1"/>
  <c r="P36" i="174"/>
  <c r="Q36" i="174" s="1"/>
  <c r="R36" i="174" s="1"/>
  <c r="N37" i="174" s="1"/>
  <c r="P37" i="174" l="1"/>
  <c r="Q37" i="174" s="1"/>
  <c r="R37" i="174" s="1"/>
  <c r="N38" i="174" s="1"/>
  <c r="AE53" i="174"/>
  <c r="AF53" i="174" s="1"/>
  <c r="AG53" i="174"/>
  <c r="AC54" i="174" s="1"/>
  <c r="D39" i="174"/>
  <c r="E39" i="174" s="1"/>
  <c r="F39" i="174" s="1"/>
  <c r="B40" i="174" s="1"/>
  <c r="D40" i="174" l="1"/>
  <c r="E40" i="174" s="1"/>
  <c r="F40" i="174" s="1"/>
  <c r="B41" i="174" s="1"/>
  <c r="P38" i="174"/>
  <c r="Q38" i="174" s="1"/>
  <c r="R38" i="174"/>
  <c r="N39" i="174" s="1"/>
  <c r="AE54" i="174"/>
  <c r="AF54" i="174" s="1"/>
  <c r="AG54" i="174"/>
  <c r="AC55" i="174" s="1"/>
  <c r="D41" i="174" l="1"/>
  <c r="E41" i="174" s="1"/>
  <c r="F41" i="174"/>
  <c r="B42" i="174" s="1"/>
  <c r="AE55" i="174"/>
  <c r="AF55" i="174" s="1"/>
  <c r="AG55" i="174" s="1"/>
  <c r="AC56" i="174" s="1"/>
  <c r="P39" i="174"/>
  <c r="Q39" i="174" s="1"/>
  <c r="R39" i="174" s="1"/>
  <c r="N40" i="174" s="1"/>
  <c r="P40" i="174" l="1"/>
  <c r="Q40" i="174" s="1"/>
  <c r="R40" i="174" s="1"/>
  <c r="N41" i="174" s="1"/>
  <c r="AE56" i="174"/>
  <c r="AF56" i="174" s="1"/>
  <c r="AG56" i="174" s="1"/>
  <c r="AC57" i="174" s="1"/>
  <c r="D42" i="174"/>
  <c r="E42" i="174" s="1"/>
  <c r="F42" i="174"/>
  <c r="B43" i="174" s="1"/>
  <c r="AE57" i="174" l="1"/>
  <c r="AF57" i="174" s="1"/>
  <c r="AG57" i="174" s="1"/>
  <c r="AC58" i="174" s="1"/>
  <c r="P41" i="174"/>
  <c r="Q41" i="174" s="1"/>
  <c r="R41" i="174" s="1"/>
  <c r="N42" i="174" s="1"/>
  <c r="D43" i="174"/>
  <c r="E43" i="174" s="1"/>
  <c r="F43" i="174" s="1"/>
  <c r="B44" i="174" s="1"/>
  <c r="D44" i="174" l="1"/>
  <c r="E44" i="174" s="1"/>
  <c r="F44" i="174" s="1"/>
  <c r="B45" i="174" s="1"/>
  <c r="P42" i="174"/>
  <c r="Q42" i="174" s="1"/>
  <c r="R42" i="174" s="1"/>
  <c r="N43" i="174" s="1"/>
  <c r="AE58" i="174"/>
  <c r="AF58" i="174" s="1"/>
  <c r="AG58" i="174" s="1"/>
  <c r="AC59" i="174" s="1"/>
  <c r="AE59" i="174" l="1"/>
  <c r="AF59" i="174" s="1"/>
  <c r="AG59" i="174" s="1"/>
  <c r="AC60" i="174" s="1"/>
  <c r="P43" i="174"/>
  <c r="Q43" i="174" s="1"/>
  <c r="R43" i="174"/>
  <c r="N44" i="174" s="1"/>
  <c r="D45" i="174"/>
  <c r="E45" i="174" s="1"/>
  <c r="F45" i="174" s="1"/>
  <c r="B46" i="174" s="1"/>
  <c r="D46" i="174" l="1"/>
  <c r="E46" i="174" s="1"/>
  <c r="F46" i="174" s="1"/>
  <c r="B47" i="174" s="1"/>
  <c r="AE60" i="174"/>
  <c r="AF60" i="174" s="1"/>
  <c r="AG60" i="174" s="1"/>
  <c r="AC61" i="174" s="1"/>
  <c r="P44" i="174"/>
  <c r="Q44" i="174" s="1"/>
  <c r="R44" i="174" s="1"/>
  <c r="N45" i="174" s="1"/>
  <c r="P45" i="174" l="1"/>
  <c r="Q45" i="174" s="1"/>
  <c r="R45" i="174"/>
  <c r="N46" i="174" s="1"/>
  <c r="AE61" i="174"/>
  <c r="AF61" i="174" s="1"/>
  <c r="AG61" i="174" s="1"/>
  <c r="AC62" i="174" s="1"/>
  <c r="D47" i="174"/>
  <c r="E47" i="174" s="1"/>
  <c r="F47" i="174" s="1"/>
  <c r="B48" i="174" s="1"/>
  <c r="D48" i="174" l="1"/>
  <c r="E48" i="174" s="1"/>
  <c r="F48" i="174" s="1"/>
  <c r="B49" i="174" s="1"/>
  <c r="AE62" i="174"/>
  <c r="AF62" i="174" s="1"/>
  <c r="AG62" i="174" s="1"/>
  <c r="AC63" i="174" s="1"/>
  <c r="P46" i="174"/>
  <c r="Q46" i="174" s="1"/>
  <c r="R46" i="174" s="1"/>
  <c r="N47" i="174" s="1"/>
  <c r="P47" i="174" l="1"/>
  <c r="Q47" i="174" s="1"/>
  <c r="R47" i="174" s="1"/>
  <c r="N48" i="174" s="1"/>
  <c r="AE63" i="174"/>
  <c r="AF63" i="174" s="1"/>
  <c r="AG63" i="174" s="1"/>
  <c r="AC64" i="174" s="1"/>
  <c r="D49" i="174"/>
  <c r="E49" i="174" s="1"/>
  <c r="F49" i="174" s="1"/>
  <c r="B50" i="174" s="1"/>
  <c r="D50" i="174" l="1"/>
  <c r="E50" i="174" s="1"/>
  <c r="F50" i="174"/>
  <c r="B51" i="174" s="1"/>
  <c r="AE64" i="174"/>
  <c r="AF64" i="174" s="1"/>
  <c r="AG64" i="174" s="1"/>
  <c r="AC65" i="174" s="1"/>
  <c r="P48" i="174"/>
  <c r="Q48" i="174" s="1"/>
  <c r="R48" i="174" s="1"/>
  <c r="N49" i="174" s="1"/>
  <c r="P49" i="174" l="1"/>
  <c r="Q49" i="174" s="1"/>
  <c r="R49" i="174" s="1"/>
  <c r="N50" i="174" s="1"/>
  <c r="AE65" i="174"/>
  <c r="AF65" i="174" s="1"/>
  <c r="AG65" i="174" s="1"/>
  <c r="AC66" i="174" s="1"/>
  <c r="D51" i="174"/>
  <c r="E51" i="174" s="1"/>
  <c r="F51" i="174" s="1"/>
  <c r="B52" i="174" s="1"/>
  <c r="D52" i="174" l="1"/>
  <c r="E52" i="174" s="1"/>
  <c r="F52" i="174"/>
  <c r="B53" i="174" s="1"/>
  <c r="AE66" i="174"/>
  <c r="AF66" i="174" s="1"/>
  <c r="AG66" i="174"/>
  <c r="AC67" i="174" s="1"/>
  <c r="P50" i="174"/>
  <c r="Q50" i="174" s="1"/>
  <c r="R50" i="174" s="1"/>
  <c r="N51" i="174" s="1"/>
  <c r="P51" i="174" l="1"/>
  <c r="Q51" i="174" s="1"/>
  <c r="R51" i="174"/>
  <c r="N52" i="174" s="1"/>
  <c r="AE67" i="174"/>
  <c r="AF67" i="174" s="1"/>
  <c r="AG67" i="174" s="1"/>
  <c r="AC68" i="174" s="1"/>
  <c r="D53" i="174"/>
  <c r="E53" i="174" s="1"/>
  <c r="F53" i="174" s="1"/>
  <c r="B54" i="174" s="1"/>
  <c r="D54" i="174" l="1"/>
  <c r="E54" i="174" s="1"/>
  <c r="F54" i="174" s="1"/>
  <c r="B55" i="174" s="1"/>
  <c r="AE68" i="174"/>
  <c r="AF68" i="174" s="1"/>
  <c r="AG68" i="174" s="1"/>
  <c r="AC69" i="174" s="1"/>
  <c r="P52" i="174"/>
  <c r="Q52" i="174" s="1"/>
  <c r="R52" i="174" s="1"/>
  <c r="N53" i="174" s="1"/>
  <c r="P53" i="174" l="1"/>
  <c r="Q53" i="174" s="1"/>
  <c r="R53" i="174" s="1"/>
  <c r="N54" i="174" s="1"/>
  <c r="AE69" i="174"/>
  <c r="AF69" i="174" s="1"/>
  <c r="AG69" i="174" s="1"/>
  <c r="AC70" i="174" s="1"/>
  <c r="D55" i="174"/>
  <c r="E55" i="174" s="1"/>
  <c r="F55" i="174" s="1"/>
  <c r="B56" i="174" s="1"/>
  <c r="D56" i="174" l="1"/>
  <c r="E56" i="174" s="1"/>
  <c r="F56" i="174" s="1"/>
  <c r="B57" i="174" s="1"/>
  <c r="AE70" i="174"/>
  <c r="AF70" i="174" s="1"/>
  <c r="AG70" i="174" s="1"/>
  <c r="AC71" i="174" s="1"/>
  <c r="P54" i="174"/>
  <c r="Q54" i="174" s="1"/>
  <c r="R54" i="174"/>
  <c r="N55" i="174" s="1"/>
  <c r="AE71" i="174" l="1"/>
  <c r="AF71" i="174" s="1"/>
  <c r="AG71" i="174" s="1"/>
  <c r="AC72" i="174" s="1"/>
  <c r="D57" i="174"/>
  <c r="E57" i="174" s="1"/>
  <c r="F57" i="174" s="1"/>
  <c r="B58" i="174" s="1"/>
  <c r="P55" i="174"/>
  <c r="Q55" i="174" s="1"/>
  <c r="R55" i="174" s="1"/>
  <c r="N56" i="174" s="1"/>
  <c r="P56" i="174" l="1"/>
  <c r="Q56" i="174" s="1"/>
  <c r="R56" i="174" s="1"/>
  <c r="N57" i="174" s="1"/>
  <c r="D58" i="174"/>
  <c r="E58" i="174" s="1"/>
  <c r="F58" i="174"/>
  <c r="B59" i="174" s="1"/>
  <c r="AE72" i="174"/>
  <c r="AF72" i="174" s="1"/>
  <c r="AG72" i="174" s="1"/>
  <c r="AC73" i="174" s="1"/>
  <c r="AE73" i="174" l="1"/>
  <c r="AF73" i="174" s="1"/>
  <c r="AG73" i="174"/>
  <c r="AC74" i="174" s="1"/>
  <c r="P57" i="174"/>
  <c r="Q57" i="174" s="1"/>
  <c r="R57" i="174" s="1"/>
  <c r="N58" i="174" s="1"/>
  <c r="D59" i="174"/>
  <c r="E59" i="174" s="1"/>
  <c r="F59" i="174" s="1"/>
  <c r="B60" i="174" s="1"/>
  <c r="D60" i="174" l="1"/>
  <c r="E60" i="174" s="1"/>
  <c r="F60" i="174"/>
  <c r="B61" i="174" s="1"/>
  <c r="P58" i="174"/>
  <c r="Q58" i="174" s="1"/>
  <c r="R58" i="174" s="1"/>
  <c r="N59" i="174" s="1"/>
  <c r="AE74" i="174"/>
  <c r="AF74" i="174" s="1"/>
  <c r="AG74" i="174" s="1"/>
  <c r="AC75" i="174" s="1"/>
  <c r="AE75" i="174" l="1"/>
  <c r="AF75" i="174" s="1"/>
  <c r="AG75" i="174"/>
  <c r="AC76" i="174" s="1"/>
  <c r="P59" i="174"/>
  <c r="Q59" i="174" s="1"/>
  <c r="R59" i="174" s="1"/>
  <c r="N60" i="174" s="1"/>
  <c r="D61" i="174"/>
  <c r="E61" i="174" s="1"/>
  <c r="F61" i="174" s="1"/>
  <c r="B62" i="174" s="1"/>
  <c r="D62" i="174" l="1"/>
  <c r="E62" i="174" s="1"/>
  <c r="F62" i="174"/>
  <c r="B63" i="174" s="1"/>
  <c r="P60" i="174"/>
  <c r="Q60" i="174" s="1"/>
  <c r="R60" i="174" s="1"/>
  <c r="N61" i="174" s="1"/>
  <c r="AE76" i="174"/>
  <c r="AF76" i="174" s="1"/>
  <c r="AG76" i="174"/>
  <c r="AC77" i="174" s="1"/>
  <c r="P61" i="174" l="1"/>
  <c r="Q61" i="174" s="1"/>
  <c r="R61" i="174"/>
  <c r="N62" i="174" s="1"/>
  <c r="AE77" i="174"/>
  <c r="AF77" i="174" s="1"/>
  <c r="AG77" i="174" s="1"/>
  <c r="AC78" i="174" s="1"/>
  <c r="D63" i="174"/>
  <c r="E63" i="174" s="1"/>
  <c r="F63" i="174" s="1"/>
  <c r="B64" i="174" s="1"/>
  <c r="AE78" i="174" l="1"/>
  <c r="AF78" i="174" s="1"/>
  <c r="AG78" i="174" s="1"/>
  <c r="AC79" i="174" s="1"/>
  <c r="D64" i="174"/>
  <c r="E64" i="174" s="1"/>
  <c r="F64" i="174"/>
  <c r="B65" i="174" s="1"/>
  <c r="P62" i="174"/>
  <c r="Q62" i="174" s="1"/>
  <c r="R62" i="174" s="1"/>
  <c r="N63" i="174" s="1"/>
  <c r="P63" i="174" l="1"/>
  <c r="Q63" i="174" s="1"/>
  <c r="R63" i="174"/>
  <c r="N64" i="174" s="1"/>
  <c r="AE79" i="174"/>
  <c r="AF79" i="174" s="1"/>
  <c r="AG79" i="174" s="1"/>
  <c r="AC80" i="174" s="1"/>
  <c r="D65" i="174"/>
  <c r="E65" i="174" s="1"/>
  <c r="F65" i="174" s="1"/>
  <c r="B66" i="174" s="1"/>
  <c r="D66" i="174" l="1"/>
  <c r="E66" i="174" s="1"/>
  <c r="F66" i="174" s="1"/>
  <c r="B67" i="174" s="1"/>
  <c r="AE80" i="174"/>
  <c r="AF80" i="174" s="1"/>
  <c r="AG80" i="174" s="1"/>
  <c r="AC81" i="174" s="1"/>
  <c r="P64" i="174"/>
  <c r="Q64" i="174" s="1"/>
  <c r="R64" i="174" s="1"/>
  <c r="N65" i="174" s="1"/>
  <c r="AE81" i="174" l="1"/>
  <c r="AF81" i="174" s="1"/>
  <c r="AG81" i="174"/>
  <c r="AC82" i="174" s="1"/>
  <c r="P65" i="174"/>
  <c r="Q65" i="174" s="1"/>
  <c r="R65" i="174"/>
  <c r="N66" i="174" s="1"/>
  <c r="D67" i="174"/>
  <c r="E67" i="174" s="1"/>
  <c r="F67" i="174" s="1"/>
  <c r="B68" i="174" s="1"/>
  <c r="D68" i="174" l="1"/>
  <c r="E68" i="174" s="1"/>
  <c r="F68" i="174" s="1"/>
  <c r="B69" i="174" s="1"/>
  <c r="AE82" i="174"/>
  <c r="AF82" i="174" s="1"/>
  <c r="AG82" i="174" s="1"/>
  <c r="AC83" i="174" s="1"/>
  <c r="P66" i="174"/>
  <c r="Q66" i="174" s="1"/>
  <c r="R66" i="174" s="1"/>
  <c r="N67" i="174" s="1"/>
  <c r="P67" i="174" l="1"/>
  <c r="Q67" i="174" s="1"/>
  <c r="R67" i="174" s="1"/>
  <c r="N68" i="174" s="1"/>
  <c r="AE83" i="174"/>
  <c r="AF83" i="174" s="1"/>
  <c r="AG83" i="174" s="1"/>
  <c r="AC84" i="174" s="1"/>
  <c r="D69" i="174"/>
  <c r="E69" i="174" s="1"/>
  <c r="F69" i="174"/>
  <c r="B70" i="174" s="1"/>
  <c r="AE84" i="174" l="1"/>
  <c r="AF84" i="174" s="1"/>
  <c r="AG84" i="174" s="1"/>
  <c r="AC85" i="174" s="1"/>
  <c r="P68" i="174"/>
  <c r="Q68" i="174" s="1"/>
  <c r="R68" i="174" s="1"/>
  <c r="N69" i="174" s="1"/>
  <c r="D70" i="174"/>
  <c r="E70" i="174" s="1"/>
  <c r="F70" i="174" s="1"/>
  <c r="B71" i="174" s="1"/>
  <c r="D71" i="174" l="1"/>
  <c r="E71" i="174" s="1"/>
  <c r="F71" i="174" s="1"/>
  <c r="B72" i="174" s="1"/>
  <c r="P69" i="174"/>
  <c r="Q69" i="174" s="1"/>
  <c r="R69" i="174" s="1"/>
  <c r="N70" i="174" s="1"/>
  <c r="AE85" i="174"/>
  <c r="AF85" i="174" s="1"/>
  <c r="AG85" i="174" s="1"/>
  <c r="AC86" i="174" s="1"/>
  <c r="AE86" i="174" l="1"/>
  <c r="AF86" i="174" s="1"/>
  <c r="AG86" i="174" s="1"/>
  <c r="AC87" i="174" s="1"/>
  <c r="P70" i="174"/>
  <c r="Q70" i="174" s="1"/>
  <c r="R70" i="174" s="1"/>
  <c r="N71" i="174" s="1"/>
  <c r="D72" i="174"/>
  <c r="E72" i="174" s="1"/>
  <c r="F72" i="174" s="1"/>
  <c r="B73" i="174" s="1"/>
  <c r="P71" i="174" l="1"/>
  <c r="Q71" i="174" s="1"/>
  <c r="R71" i="174"/>
  <c r="N72" i="174" s="1"/>
  <c r="AE87" i="174"/>
  <c r="AF87" i="174" s="1"/>
  <c r="AG87" i="174" s="1"/>
  <c r="AC88" i="174" s="1"/>
  <c r="D73" i="174"/>
  <c r="E73" i="174" s="1"/>
  <c r="F73" i="174" s="1"/>
  <c r="B74" i="174" s="1"/>
  <c r="D74" i="174" l="1"/>
  <c r="E74" i="174" s="1"/>
  <c r="F74" i="174" s="1"/>
  <c r="B75" i="174" s="1"/>
  <c r="AE88" i="174"/>
  <c r="AF88" i="174" s="1"/>
  <c r="AG88" i="174"/>
  <c r="AC89" i="174" s="1"/>
  <c r="P72" i="174"/>
  <c r="Q72" i="174" s="1"/>
  <c r="R72" i="174"/>
  <c r="N73" i="174" s="1"/>
  <c r="D75" i="174" l="1"/>
  <c r="E75" i="174" s="1"/>
  <c r="F75" i="174" s="1"/>
  <c r="B76" i="174" s="1"/>
  <c r="P73" i="174"/>
  <c r="Q73" i="174" s="1"/>
  <c r="R73" i="174" s="1"/>
  <c r="N74" i="174" s="1"/>
  <c r="AE89" i="174"/>
  <c r="AF89" i="174" s="1"/>
  <c r="AG89" i="174" s="1"/>
  <c r="AC90" i="174" s="1"/>
  <c r="AE90" i="174" l="1"/>
  <c r="AF90" i="174" s="1"/>
  <c r="AG90" i="174" s="1"/>
  <c r="AC91" i="174" s="1"/>
  <c r="P74" i="174"/>
  <c r="Q74" i="174" s="1"/>
  <c r="R74" i="174" s="1"/>
  <c r="N75" i="174" s="1"/>
  <c r="D76" i="174"/>
  <c r="E76" i="174" s="1"/>
  <c r="F76" i="174" s="1"/>
  <c r="B77" i="174" s="1"/>
  <c r="D77" i="174" l="1"/>
  <c r="E77" i="174" s="1"/>
  <c r="F77" i="174" s="1"/>
  <c r="B78" i="174" s="1"/>
  <c r="P75" i="174"/>
  <c r="Q75" i="174" s="1"/>
  <c r="R75" i="174" s="1"/>
  <c r="N76" i="174" s="1"/>
  <c r="AE91" i="174"/>
  <c r="AF91" i="174" s="1"/>
  <c r="AG91" i="174" s="1"/>
  <c r="AC92" i="174" s="1"/>
  <c r="AE92" i="174" l="1"/>
  <c r="AF92" i="174" s="1"/>
  <c r="AG92" i="174"/>
  <c r="AC93" i="174" s="1"/>
  <c r="P76" i="174"/>
  <c r="Q76" i="174" s="1"/>
  <c r="R76" i="174" s="1"/>
  <c r="N77" i="174" s="1"/>
  <c r="D78" i="174"/>
  <c r="E78" i="174" s="1"/>
  <c r="F78" i="174" s="1"/>
  <c r="B79" i="174" s="1"/>
  <c r="D79" i="174" l="1"/>
  <c r="E79" i="174" s="1"/>
  <c r="F79" i="174"/>
  <c r="B80" i="174" s="1"/>
  <c r="P77" i="174"/>
  <c r="Q77" i="174" s="1"/>
  <c r="R77" i="174" s="1"/>
  <c r="N78" i="174" s="1"/>
  <c r="AE93" i="174"/>
  <c r="AF93" i="174" s="1"/>
  <c r="AG93" i="174" s="1"/>
  <c r="AC94" i="174" s="1"/>
  <c r="AE94" i="174" l="1"/>
  <c r="AF94" i="174" s="1"/>
  <c r="AG94" i="174" s="1"/>
  <c r="AC95" i="174" s="1"/>
  <c r="P78" i="174"/>
  <c r="Q78" i="174" s="1"/>
  <c r="R78" i="174" s="1"/>
  <c r="N79" i="174" s="1"/>
  <c r="D80" i="174"/>
  <c r="E80" i="174" s="1"/>
  <c r="F80" i="174" s="1"/>
  <c r="B81" i="174" s="1"/>
  <c r="D81" i="174" l="1"/>
  <c r="E81" i="174" s="1"/>
  <c r="F81" i="174" s="1"/>
  <c r="B82" i="174" s="1"/>
  <c r="P79" i="174"/>
  <c r="Q79" i="174" s="1"/>
  <c r="R79" i="174"/>
  <c r="N80" i="174" s="1"/>
  <c r="AE95" i="174"/>
  <c r="AF95" i="174" s="1"/>
  <c r="AG95" i="174" s="1"/>
  <c r="AC96" i="174" s="1"/>
  <c r="AE96" i="174" l="1"/>
  <c r="AF96" i="174" s="1"/>
  <c r="AG96" i="174"/>
  <c r="AC97" i="174" s="1"/>
  <c r="D82" i="174"/>
  <c r="E82" i="174" s="1"/>
  <c r="F82" i="174" s="1"/>
  <c r="B83" i="174" s="1"/>
  <c r="P80" i="174"/>
  <c r="Q80" i="174" s="1"/>
  <c r="R80" i="174"/>
  <c r="N81" i="174" s="1"/>
  <c r="D83" i="174" l="1"/>
  <c r="E83" i="174" s="1"/>
  <c r="F83" i="174" s="1"/>
  <c r="B84" i="174" s="1"/>
  <c r="P81" i="174"/>
  <c r="Q81" i="174" s="1"/>
  <c r="R81" i="174" s="1"/>
  <c r="N82" i="174" s="1"/>
  <c r="AE97" i="174"/>
  <c r="AF97" i="174" s="1"/>
  <c r="AG97" i="174" s="1"/>
  <c r="AC98" i="174" s="1"/>
  <c r="P82" i="174" l="1"/>
  <c r="Q82" i="174" s="1"/>
  <c r="R82" i="174" s="1"/>
  <c r="N83" i="174" s="1"/>
  <c r="AE98" i="174"/>
  <c r="AF98" i="174" s="1"/>
  <c r="AG98" i="174" s="1"/>
  <c r="AC99" i="174" s="1"/>
  <c r="D84" i="174"/>
  <c r="E84" i="174" s="1"/>
  <c r="F84" i="174" s="1"/>
  <c r="B85" i="174" s="1"/>
  <c r="D85" i="174" l="1"/>
  <c r="E85" i="174" s="1"/>
  <c r="F85" i="174"/>
  <c r="B86" i="174" s="1"/>
  <c r="AE99" i="174"/>
  <c r="AF99" i="174" s="1"/>
  <c r="AG99" i="174"/>
  <c r="AC100" i="174" s="1"/>
  <c r="P83" i="174"/>
  <c r="Q83" i="174" s="1"/>
  <c r="R83" i="174" s="1"/>
  <c r="N84" i="174" s="1"/>
  <c r="P84" i="174" l="1"/>
  <c r="Q84" i="174" s="1"/>
  <c r="R84" i="174" s="1"/>
  <c r="N85" i="174" s="1"/>
  <c r="AE100" i="174"/>
  <c r="AF100" i="174" s="1"/>
  <c r="AG100" i="174" s="1"/>
  <c r="AC101" i="174" s="1"/>
  <c r="D86" i="174"/>
  <c r="E86" i="174" s="1"/>
  <c r="F86" i="174"/>
  <c r="B87" i="174" s="1"/>
  <c r="AE101" i="174" l="1"/>
  <c r="AF101" i="174" s="1"/>
  <c r="AG101" i="174" s="1"/>
  <c r="AC102" i="174" s="1"/>
  <c r="P85" i="174"/>
  <c r="Q85" i="174" s="1"/>
  <c r="R85" i="174" s="1"/>
  <c r="N86" i="174" s="1"/>
  <c r="D87" i="174"/>
  <c r="E87" i="174" s="1"/>
  <c r="F87" i="174" s="1"/>
  <c r="B88" i="174" s="1"/>
  <c r="D88" i="174" l="1"/>
  <c r="E88" i="174" s="1"/>
  <c r="F88" i="174" s="1"/>
  <c r="B89" i="174" s="1"/>
  <c r="P86" i="174"/>
  <c r="Q86" i="174" s="1"/>
  <c r="R86" i="174" s="1"/>
  <c r="N87" i="174" s="1"/>
  <c r="AE102" i="174"/>
  <c r="AF102" i="174" s="1"/>
  <c r="AG102" i="174" s="1"/>
  <c r="AC103" i="174" s="1"/>
  <c r="AE103" i="174" l="1"/>
  <c r="AF103" i="174" s="1"/>
  <c r="AG103" i="174" s="1"/>
  <c r="AC104" i="174" s="1"/>
  <c r="P87" i="174"/>
  <c r="Q87" i="174" s="1"/>
  <c r="R87" i="174"/>
  <c r="N88" i="174" s="1"/>
  <c r="D89" i="174"/>
  <c r="E89" i="174" s="1"/>
  <c r="F89" i="174" s="1"/>
  <c r="B90" i="174" s="1"/>
  <c r="D90" i="174" l="1"/>
  <c r="E90" i="174" s="1"/>
  <c r="F90" i="174" s="1"/>
  <c r="B91" i="174" s="1"/>
  <c r="AE104" i="174"/>
  <c r="AF104" i="174" s="1"/>
  <c r="AG104" i="174"/>
  <c r="AC105" i="174" s="1"/>
  <c r="P88" i="174"/>
  <c r="Q88" i="174" s="1"/>
  <c r="R88" i="174"/>
  <c r="N89" i="174" s="1"/>
  <c r="D91" i="174" l="1"/>
  <c r="E91" i="174" s="1"/>
  <c r="F91" i="174" s="1"/>
  <c r="B92" i="174" s="1"/>
  <c r="AE105" i="174"/>
  <c r="AF105" i="174" s="1"/>
  <c r="AG105" i="174"/>
  <c r="AC106" i="174" s="1"/>
  <c r="P89" i="174"/>
  <c r="Q89" i="174" s="1"/>
  <c r="R89" i="174" s="1"/>
  <c r="N90" i="174" s="1"/>
  <c r="P90" i="174" l="1"/>
  <c r="Q90" i="174" s="1"/>
  <c r="R90" i="174"/>
  <c r="N91" i="174" s="1"/>
  <c r="D92" i="174"/>
  <c r="E92" i="174" s="1"/>
  <c r="F92" i="174" s="1"/>
  <c r="B93" i="174" s="1"/>
  <c r="AE106" i="174"/>
  <c r="AF106" i="174" s="1"/>
  <c r="AG106" i="174" s="1"/>
  <c r="AC107" i="174" s="1"/>
  <c r="AE107" i="174" l="1"/>
  <c r="AF107" i="174" s="1"/>
  <c r="AG107" i="174" s="1"/>
  <c r="AC108" i="174" s="1"/>
  <c r="D93" i="174"/>
  <c r="E93" i="174" s="1"/>
  <c r="F93" i="174"/>
  <c r="B94" i="174" s="1"/>
  <c r="P91" i="174"/>
  <c r="Q91" i="174" s="1"/>
  <c r="R91" i="174" s="1"/>
  <c r="N92" i="174" s="1"/>
  <c r="P92" i="174" l="1"/>
  <c r="Q92" i="174" s="1"/>
  <c r="R92" i="174" s="1"/>
  <c r="N93" i="174" s="1"/>
  <c r="AE108" i="174"/>
  <c r="AF108" i="174" s="1"/>
  <c r="AG108" i="174" s="1"/>
  <c r="AC109" i="174" s="1"/>
  <c r="D94" i="174"/>
  <c r="E94" i="174" s="1"/>
  <c r="F94" i="174" s="1"/>
  <c r="B95" i="174" s="1"/>
  <c r="D95" i="174" l="1"/>
  <c r="E95" i="174" s="1"/>
  <c r="F95" i="174" s="1"/>
  <c r="B96" i="174" s="1"/>
  <c r="AE109" i="174"/>
  <c r="AF109" i="174" s="1"/>
  <c r="AG109" i="174" s="1"/>
  <c r="AC110" i="174" s="1"/>
  <c r="P93" i="174"/>
  <c r="Q93" i="174" s="1"/>
  <c r="R93" i="174" s="1"/>
  <c r="N94" i="174" s="1"/>
  <c r="P94" i="174" l="1"/>
  <c r="Q94" i="174" s="1"/>
  <c r="R94" i="174"/>
  <c r="N95" i="174" s="1"/>
  <c r="AE110" i="174"/>
  <c r="AF110" i="174" s="1"/>
  <c r="AG110" i="174" s="1"/>
  <c r="AC111" i="174" s="1"/>
  <c r="D96" i="174"/>
  <c r="E96" i="174" s="1"/>
  <c r="F96" i="174" s="1"/>
  <c r="B97" i="174" s="1"/>
  <c r="D97" i="174" l="1"/>
  <c r="E97" i="174" s="1"/>
  <c r="F97" i="174" s="1"/>
  <c r="B98" i="174" s="1"/>
  <c r="AE111" i="174"/>
  <c r="AF111" i="174" s="1"/>
  <c r="AG111" i="174" s="1"/>
  <c r="AC112" i="174" s="1"/>
  <c r="P95" i="174"/>
  <c r="Q95" i="174" s="1"/>
  <c r="R95" i="174"/>
  <c r="N96" i="174" s="1"/>
  <c r="AE112" i="174" l="1"/>
  <c r="AF112" i="174" s="1"/>
  <c r="AG112" i="174"/>
  <c r="AC113" i="174" s="1"/>
  <c r="D98" i="174"/>
  <c r="E98" i="174" s="1"/>
  <c r="F98" i="174" s="1"/>
  <c r="B99" i="174" s="1"/>
  <c r="P96" i="174"/>
  <c r="Q96" i="174" s="1"/>
  <c r="R96" i="174" s="1"/>
  <c r="N97" i="174" s="1"/>
  <c r="P97" i="174" l="1"/>
  <c r="Q97" i="174" s="1"/>
  <c r="R97" i="174"/>
  <c r="N98" i="174" s="1"/>
  <c r="D99" i="174"/>
  <c r="E99" i="174" s="1"/>
  <c r="F99" i="174" s="1"/>
  <c r="B100" i="174" s="1"/>
  <c r="AE113" i="174"/>
  <c r="AF113" i="174" s="1"/>
  <c r="AG113" i="174" s="1"/>
  <c r="AC114" i="174" s="1"/>
  <c r="AE114" i="174" l="1"/>
  <c r="AF114" i="174" s="1"/>
  <c r="AG114" i="174"/>
  <c r="AC115" i="174" s="1"/>
  <c r="D100" i="174"/>
  <c r="E100" i="174" s="1"/>
  <c r="F100" i="174"/>
  <c r="B101" i="174" s="1"/>
  <c r="P98" i="174"/>
  <c r="Q98" i="174" s="1"/>
  <c r="R98" i="174" s="1"/>
  <c r="N99" i="174" s="1"/>
  <c r="P99" i="174" l="1"/>
  <c r="Q99" i="174" s="1"/>
  <c r="R99" i="174" s="1"/>
  <c r="N100" i="174" s="1"/>
  <c r="AE115" i="174"/>
  <c r="AF115" i="174" s="1"/>
  <c r="AG115" i="174" s="1"/>
  <c r="AC116" i="174" s="1"/>
  <c r="D101" i="174"/>
  <c r="E101" i="174" s="1"/>
  <c r="F101" i="174" s="1"/>
  <c r="B102" i="174" s="1"/>
  <c r="D102" i="174" l="1"/>
  <c r="E102" i="174" s="1"/>
  <c r="F102" i="174" s="1"/>
  <c r="B103" i="174" s="1"/>
  <c r="AE116" i="174"/>
  <c r="AF116" i="174" s="1"/>
  <c r="AG116" i="174" s="1"/>
  <c r="AC117" i="174" s="1"/>
  <c r="P100" i="174"/>
  <c r="Q100" i="174" s="1"/>
  <c r="R100" i="174" s="1"/>
  <c r="N101" i="174" s="1"/>
  <c r="P101" i="174" l="1"/>
  <c r="Q101" i="174" s="1"/>
  <c r="R101" i="174" s="1"/>
  <c r="N102" i="174" s="1"/>
  <c r="AE117" i="174"/>
  <c r="AF117" i="174" s="1"/>
  <c r="AG117" i="174" s="1"/>
  <c r="AC118" i="174" s="1"/>
  <c r="D103" i="174"/>
  <c r="E103" i="174" s="1"/>
  <c r="F103" i="174"/>
  <c r="B104" i="174" s="1"/>
  <c r="AE118" i="174" l="1"/>
  <c r="AF118" i="174" s="1"/>
  <c r="AG118" i="174" s="1"/>
  <c r="AC119" i="174" s="1"/>
  <c r="P102" i="174"/>
  <c r="Q102" i="174" s="1"/>
  <c r="R102" i="174" s="1"/>
  <c r="N103" i="174" s="1"/>
  <c r="D104" i="174"/>
  <c r="E104" i="174" s="1"/>
  <c r="F104" i="174" s="1"/>
  <c r="B105" i="174" s="1"/>
  <c r="D105" i="174" l="1"/>
  <c r="E105" i="174" s="1"/>
  <c r="F105" i="174" s="1"/>
  <c r="B106" i="174" s="1"/>
  <c r="P103" i="174"/>
  <c r="Q103" i="174" s="1"/>
  <c r="R103" i="174"/>
  <c r="N104" i="174" s="1"/>
  <c r="AE119" i="174"/>
  <c r="AF119" i="174" s="1"/>
  <c r="AG119" i="174" s="1"/>
  <c r="AC120" i="174" s="1"/>
  <c r="AE120" i="174" l="1"/>
  <c r="AF120" i="174" s="1"/>
  <c r="AG120" i="174"/>
  <c r="AC121" i="174" s="1"/>
  <c r="D106" i="174"/>
  <c r="E106" i="174" s="1"/>
  <c r="F106" i="174" s="1"/>
  <c r="B107" i="174" s="1"/>
  <c r="P104" i="174"/>
  <c r="Q104" i="174" s="1"/>
  <c r="R104" i="174" s="1"/>
  <c r="N105" i="174" s="1"/>
  <c r="P105" i="174" l="1"/>
  <c r="Q105" i="174" s="1"/>
  <c r="R105" i="174" s="1"/>
  <c r="N106" i="174" s="1"/>
  <c r="D107" i="174"/>
  <c r="E107" i="174" s="1"/>
  <c r="F107" i="174" s="1"/>
  <c r="B108" i="174" s="1"/>
  <c r="AE121" i="174"/>
  <c r="AF121" i="174" s="1"/>
  <c r="AG121" i="174" s="1"/>
  <c r="AC122" i="174" s="1"/>
  <c r="AE122" i="174" l="1"/>
  <c r="AF122" i="174" s="1"/>
  <c r="AG122" i="174" s="1"/>
  <c r="AC123" i="174" s="1"/>
  <c r="D108" i="174"/>
  <c r="E108" i="174" s="1"/>
  <c r="F108" i="174"/>
  <c r="B109" i="174" s="1"/>
  <c r="P106" i="174"/>
  <c r="Q106" i="174" s="1"/>
  <c r="R106" i="174" s="1"/>
  <c r="N107" i="174" s="1"/>
  <c r="P107" i="174" l="1"/>
  <c r="Q107" i="174" s="1"/>
  <c r="R107" i="174" s="1"/>
  <c r="N108" i="174" s="1"/>
  <c r="AE123" i="174"/>
  <c r="AF123" i="174" s="1"/>
  <c r="AG123" i="174" s="1"/>
  <c r="AC124" i="174" s="1"/>
  <c r="D109" i="174"/>
  <c r="E109" i="174" s="1"/>
  <c r="F109" i="174"/>
  <c r="B110" i="174" s="1"/>
  <c r="AE124" i="174" l="1"/>
  <c r="AF124" i="174" s="1"/>
  <c r="AG124" i="174" s="1"/>
  <c r="AC125" i="174" s="1"/>
  <c r="P108" i="174"/>
  <c r="Q108" i="174" s="1"/>
  <c r="R108" i="174" s="1"/>
  <c r="N109" i="174" s="1"/>
  <c r="D110" i="174"/>
  <c r="E110" i="174" s="1"/>
  <c r="F110" i="174" s="1"/>
  <c r="B111" i="174" s="1"/>
  <c r="P109" i="174" l="1"/>
  <c r="Q109" i="174" s="1"/>
  <c r="R109" i="174" s="1"/>
  <c r="N110" i="174" s="1"/>
  <c r="D111" i="174"/>
  <c r="E111" i="174" s="1"/>
  <c r="F111" i="174" s="1"/>
  <c r="B112" i="174" s="1"/>
  <c r="AE125" i="174"/>
  <c r="AF125" i="174" s="1"/>
  <c r="AF135" i="174" s="1"/>
  <c r="D112" i="174" l="1"/>
  <c r="E112" i="174" s="1"/>
  <c r="F112" i="174" s="1"/>
  <c r="B113" i="174" s="1"/>
  <c r="P110" i="174"/>
  <c r="Q110" i="174" s="1"/>
  <c r="R110" i="174"/>
  <c r="N111" i="174" s="1"/>
  <c r="AG125" i="174"/>
  <c r="D113" i="174" l="1"/>
  <c r="E113" i="174" s="1"/>
  <c r="F113" i="174" s="1"/>
  <c r="B114" i="174" s="1"/>
  <c r="P111" i="174"/>
  <c r="Q111" i="174" s="1"/>
  <c r="R111" i="174" s="1"/>
  <c r="N112" i="174" s="1"/>
  <c r="P112" i="174" l="1"/>
  <c r="Q112" i="174" s="1"/>
  <c r="R112" i="174"/>
  <c r="N113" i="174" s="1"/>
  <c r="D114" i="174"/>
  <c r="E114" i="174" s="1"/>
  <c r="F114" i="174" s="1"/>
  <c r="B115" i="174" s="1"/>
  <c r="D115" i="174" l="1"/>
  <c r="E115" i="174" s="1"/>
  <c r="F115" i="174" s="1"/>
  <c r="B116" i="174" s="1"/>
  <c r="P113" i="174"/>
  <c r="Q113" i="174" s="1"/>
  <c r="R113" i="174" s="1"/>
  <c r="N114" i="174" s="1"/>
  <c r="P114" i="174" l="1"/>
  <c r="Q114" i="174" s="1"/>
  <c r="R114" i="174" s="1"/>
  <c r="N115" i="174" s="1"/>
  <c r="D116" i="174"/>
  <c r="E116" i="174" s="1"/>
  <c r="F116" i="174"/>
  <c r="B117" i="174" s="1"/>
  <c r="P115" i="174" l="1"/>
  <c r="Q115" i="174" s="1"/>
  <c r="R115" i="174" s="1"/>
  <c r="N116" i="174" s="1"/>
  <c r="D117" i="174"/>
  <c r="E117" i="174" s="1"/>
  <c r="F117" i="174" s="1"/>
  <c r="B118" i="174" s="1"/>
  <c r="P116" i="174" l="1"/>
  <c r="Q116" i="174" s="1"/>
  <c r="R116" i="174" s="1"/>
  <c r="N117" i="174" s="1"/>
  <c r="D118" i="174"/>
  <c r="E118" i="174" s="1"/>
  <c r="F118" i="174"/>
  <c r="B119" i="174" s="1"/>
  <c r="P117" i="174" l="1"/>
  <c r="Q117" i="174" s="1"/>
  <c r="R117" i="174" s="1"/>
  <c r="N118" i="174" s="1"/>
  <c r="D119" i="174"/>
  <c r="E119" i="174" s="1"/>
  <c r="F119" i="174" s="1"/>
  <c r="B120" i="174" s="1"/>
  <c r="D120" i="174" l="1"/>
  <c r="E120" i="174" s="1"/>
  <c r="F120" i="174" s="1"/>
  <c r="B121" i="174" s="1"/>
  <c r="P118" i="174"/>
  <c r="Q118" i="174" s="1"/>
  <c r="R118" i="174"/>
  <c r="N119" i="174" s="1"/>
  <c r="D121" i="174" l="1"/>
  <c r="E121" i="174" s="1"/>
  <c r="F121" i="174" s="1"/>
  <c r="B122" i="174" s="1"/>
  <c r="P119" i="174"/>
  <c r="Q119" i="174" s="1"/>
  <c r="R119" i="174"/>
  <c r="N120" i="174" s="1"/>
  <c r="D122" i="174" l="1"/>
  <c r="E122" i="174" s="1"/>
  <c r="F122" i="174" s="1"/>
  <c r="B123" i="174" s="1"/>
  <c r="P120" i="174"/>
  <c r="Q120" i="174" s="1"/>
  <c r="R120" i="174"/>
  <c r="N121" i="174" s="1"/>
  <c r="D123" i="174" l="1"/>
  <c r="E123" i="174" s="1"/>
  <c r="F123" i="174" s="1"/>
  <c r="B124" i="174" s="1"/>
  <c r="P121" i="174"/>
  <c r="Q121" i="174" s="1"/>
  <c r="R121" i="174" s="1"/>
  <c r="N122" i="174" s="1"/>
  <c r="P122" i="174" l="1"/>
  <c r="Q122" i="174" s="1"/>
  <c r="R122" i="174" s="1"/>
  <c r="N123" i="174" s="1"/>
  <c r="D124" i="174"/>
  <c r="E124" i="174" s="1"/>
  <c r="F124" i="174"/>
  <c r="B125" i="174" s="1"/>
  <c r="P123" i="174" l="1"/>
  <c r="Q123" i="174" s="1"/>
  <c r="R123" i="174" s="1"/>
  <c r="N124" i="174" s="1"/>
  <c r="D125" i="174"/>
  <c r="E125" i="174" s="1"/>
  <c r="F125" i="174" s="1"/>
  <c r="P124" i="174" l="1"/>
  <c r="Q124" i="174" s="1"/>
  <c r="R124" i="174" s="1"/>
  <c r="N125" i="174" s="1"/>
  <c r="P125" i="174" l="1"/>
  <c r="Q125" i="174" s="1"/>
  <c r="R125" i="174" s="1"/>
  <c r="N126" i="174" s="1"/>
  <c r="P126" i="174" l="1"/>
  <c r="Q126" i="174" s="1"/>
  <c r="R126" i="174" s="1"/>
  <c r="N127" i="174" s="1"/>
  <c r="P127" i="174" l="1"/>
  <c r="Q127" i="174" s="1"/>
  <c r="R127" i="174" s="1"/>
  <c r="N128" i="174" s="1"/>
  <c r="P128" i="174" l="1"/>
  <c r="Q128" i="174" s="1"/>
  <c r="R128" i="174"/>
  <c r="N129" i="174" s="1"/>
  <c r="P129" i="174" l="1"/>
  <c r="Q129" i="174" s="1"/>
  <c r="R129" i="174" s="1"/>
  <c r="N130" i="174" s="1"/>
  <c r="P130" i="174" l="1"/>
  <c r="Q130" i="174" s="1"/>
  <c r="R130" i="174" s="1"/>
  <c r="N131" i="174" s="1"/>
  <c r="P131" i="174" l="1"/>
  <c r="Q131" i="174" s="1"/>
  <c r="R131" i="174" s="1"/>
  <c r="N132" i="174" s="1"/>
  <c r="G31" i="173"/>
  <c r="C20" i="173"/>
  <c r="C26" i="173" s="1"/>
  <c r="D19" i="173"/>
  <c r="E20" i="173" s="1"/>
  <c r="D12" i="173"/>
  <c r="D149" i="173" s="1"/>
  <c r="D35" i="173" l="1"/>
  <c r="P132" i="174"/>
  <c r="Q132" i="174" s="1"/>
  <c r="Q135" i="174" s="1"/>
  <c r="R132" i="174"/>
  <c r="D43" i="173"/>
  <c r="D48" i="173"/>
  <c r="D56" i="173"/>
  <c r="D64" i="173"/>
  <c r="D72" i="173"/>
  <c r="D80" i="173"/>
  <c r="D88" i="173"/>
  <c r="D96" i="173"/>
  <c r="D104" i="173"/>
  <c r="D112" i="173"/>
  <c r="D120" i="173"/>
  <c r="D128" i="173"/>
  <c r="D136" i="173"/>
  <c r="D144" i="173"/>
  <c r="D38" i="173"/>
  <c r="D51" i="173"/>
  <c r="D59" i="173"/>
  <c r="D67" i="173"/>
  <c r="D75" i="173"/>
  <c r="D83" i="173"/>
  <c r="D91" i="173"/>
  <c r="D99" i="173"/>
  <c r="D107" i="173"/>
  <c r="D115" i="173"/>
  <c r="D123" i="173"/>
  <c r="D131" i="173"/>
  <c r="D139" i="173"/>
  <c r="D147" i="173"/>
  <c r="D33" i="173"/>
  <c r="D41" i="173"/>
  <c r="D46" i="173"/>
  <c r="D54" i="173"/>
  <c r="D62" i="173"/>
  <c r="D70" i="173"/>
  <c r="D78" i="173"/>
  <c r="D86" i="173"/>
  <c r="D94" i="173"/>
  <c r="D102" i="173"/>
  <c r="D110" i="173"/>
  <c r="D118" i="173"/>
  <c r="D126" i="173"/>
  <c r="D134" i="173"/>
  <c r="D142" i="173"/>
  <c r="D150" i="173"/>
  <c r="D36" i="173"/>
  <c r="D44" i="173"/>
  <c r="D49" i="173"/>
  <c r="D57" i="173"/>
  <c r="D65" i="173"/>
  <c r="D73" i="173"/>
  <c r="D81" i="173"/>
  <c r="D89" i="173"/>
  <c r="D97" i="173"/>
  <c r="D105" i="173"/>
  <c r="D113" i="173"/>
  <c r="D121" i="173"/>
  <c r="D129" i="173"/>
  <c r="D137" i="173"/>
  <c r="D145" i="173"/>
  <c r="D39" i="173"/>
  <c r="D52" i="173"/>
  <c r="D60" i="173"/>
  <c r="D68" i="173"/>
  <c r="D76" i="173"/>
  <c r="D84" i="173"/>
  <c r="D92" i="173"/>
  <c r="D100" i="173"/>
  <c r="D108" i="173"/>
  <c r="D116" i="173"/>
  <c r="D124" i="173"/>
  <c r="D132" i="173"/>
  <c r="D140" i="173"/>
  <c r="D148" i="173"/>
  <c r="D17" i="173"/>
  <c r="E26" i="173"/>
  <c r="D25" i="173" s="1"/>
  <c r="D34" i="173"/>
  <c r="D42" i="173"/>
  <c r="D47" i="173"/>
  <c r="D55" i="173"/>
  <c r="D63" i="173"/>
  <c r="D71" i="173"/>
  <c r="D79" i="173"/>
  <c r="D87" i="173"/>
  <c r="D95" i="173"/>
  <c r="D103" i="173"/>
  <c r="D111" i="173"/>
  <c r="D119" i="173"/>
  <c r="D127" i="173"/>
  <c r="D135" i="173"/>
  <c r="D143" i="173"/>
  <c r="D151" i="173"/>
  <c r="D37" i="173"/>
  <c r="D45" i="173"/>
  <c r="D50" i="173"/>
  <c r="D58" i="173"/>
  <c r="D66" i="173"/>
  <c r="D74" i="173"/>
  <c r="D82" i="173"/>
  <c r="D90" i="173"/>
  <c r="D98" i="173"/>
  <c r="D106" i="173"/>
  <c r="D114" i="173"/>
  <c r="D122" i="173"/>
  <c r="D130" i="173"/>
  <c r="D138" i="173"/>
  <c r="D146" i="173"/>
  <c r="D40" i="173"/>
  <c r="D53" i="173"/>
  <c r="D61" i="173"/>
  <c r="D69" i="173"/>
  <c r="D77" i="173"/>
  <c r="D85" i="173"/>
  <c r="D93" i="173"/>
  <c r="D101" i="173"/>
  <c r="D109" i="173"/>
  <c r="D117" i="173"/>
  <c r="D125" i="173"/>
  <c r="D133" i="173"/>
  <c r="D141" i="173"/>
  <c r="G90" i="154"/>
  <c r="D32" i="173" l="1"/>
  <c r="E18" i="173"/>
  <c r="G212" i="154"/>
  <c r="F212" i="154"/>
  <c r="E209" i="154"/>
  <c r="E208" i="154"/>
  <c r="H197" i="154"/>
  <c r="G197" i="154"/>
  <c r="H196" i="154"/>
  <c r="G196" i="154"/>
  <c r="F188" i="154"/>
  <c r="F187" i="154"/>
  <c r="J186" i="154"/>
  <c r="F186" i="154"/>
  <c r="E186" i="154"/>
  <c r="F184" i="154"/>
  <c r="F183" i="154"/>
  <c r="F182" i="154"/>
  <c r="F181" i="154"/>
  <c r="F178" i="154"/>
  <c r="F177" i="154"/>
  <c r="H176" i="154"/>
  <c r="F176" i="154"/>
  <c r="J145" i="154"/>
  <c r="J188" i="154" s="1"/>
  <c r="H145" i="154"/>
  <c r="G145" i="154"/>
  <c r="F145" i="154"/>
  <c r="I143" i="154"/>
  <c r="K143" i="154" s="1"/>
  <c r="I142" i="154"/>
  <c r="K142" i="154" s="1"/>
  <c r="I141" i="154"/>
  <c r="K141" i="154" s="1"/>
  <c r="I140" i="154"/>
  <c r="K140" i="154" s="1"/>
  <c r="I139" i="154"/>
  <c r="K139" i="154" s="1"/>
  <c r="I138" i="154"/>
  <c r="K138" i="154" s="1"/>
  <c r="J135" i="154"/>
  <c r="J187" i="154" s="1"/>
  <c r="H135" i="154"/>
  <c r="G135" i="154"/>
  <c r="F135" i="154"/>
  <c r="I133" i="154"/>
  <c r="K133" i="154" s="1"/>
  <c r="I132" i="154"/>
  <c r="K132" i="154" s="1"/>
  <c r="H129" i="154"/>
  <c r="G129" i="154"/>
  <c r="I128" i="154"/>
  <c r="K128" i="154" s="1"/>
  <c r="I127" i="154"/>
  <c r="I186" i="154" s="1"/>
  <c r="L124" i="154"/>
  <c r="J124" i="154"/>
  <c r="J185" i="154" s="1"/>
  <c r="H124" i="154"/>
  <c r="G124" i="154"/>
  <c r="F124" i="154"/>
  <c r="I122" i="154"/>
  <c r="K122" i="154" s="1"/>
  <c r="E185" i="154"/>
  <c r="I121" i="154"/>
  <c r="J119" i="154"/>
  <c r="G119" i="154"/>
  <c r="F119" i="154"/>
  <c r="I115" i="154"/>
  <c r="K115" i="154" s="1"/>
  <c r="I113" i="154"/>
  <c r="K113" i="154" s="1"/>
  <c r="I112" i="154"/>
  <c r="K112" i="154" s="1"/>
  <c r="I111" i="154"/>
  <c r="K111" i="154" s="1"/>
  <c r="I110" i="154"/>
  <c r="K110" i="154" s="1"/>
  <c r="I104" i="154"/>
  <c r="I103" i="154"/>
  <c r="J103" i="154" s="1"/>
  <c r="J101" i="154"/>
  <c r="J182" i="154" s="1"/>
  <c r="H101" i="154"/>
  <c r="G101" i="154"/>
  <c r="F101" i="154"/>
  <c r="I100" i="154"/>
  <c r="K100" i="154" s="1"/>
  <c r="I99" i="154"/>
  <c r="K99" i="154" s="1"/>
  <c r="I98" i="154"/>
  <c r="K98" i="154" s="1"/>
  <c r="I97" i="154"/>
  <c r="K97" i="154" s="1"/>
  <c r="I96" i="154"/>
  <c r="K96" i="154" s="1"/>
  <c r="I95" i="154"/>
  <c r="K95" i="154" s="1"/>
  <c r="I94" i="154"/>
  <c r="K94" i="154" s="1"/>
  <c r="I93" i="154"/>
  <c r="K93" i="154" s="1"/>
  <c r="E182" i="154"/>
  <c r="J90" i="154"/>
  <c r="H90" i="154"/>
  <c r="I89" i="154"/>
  <c r="K89" i="154" s="1"/>
  <c r="I88" i="154"/>
  <c r="I85" i="154"/>
  <c r="K85" i="154" s="1"/>
  <c r="I83" i="154"/>
  <c r="K83" i="154" s="1"/>
  <c r="I81" i="154"/>
  <c r="K81" i="154" s="1"/>
  <c r="I79" i="154"/>
  <c r="K79" i="154" s="1"/>
  <c r="I77" i="154"/>
  <c r="K77" i="154" s="1"/>
  <c r="I75" i="154"/>
  <c r="K75" i="154" s="1"/>
  <c r="I73" i="154"/>
  <c r="I71" i="154"/>
  <c r="K71" i="154" s="1"/>
  <c r="I69" i="154"/>
  <c r="K69" i="154" s="1"/>
  <c r="I67" i="154"/>
  <c r="J67" i="154" s="1"/>
  <c r="I66" i="154"/>
  <c r="K66" i="154" s="1"/>
  <c r="I65" i="154"/>
  <c r="K65" i="154" s="1"/>
  <c r="I61" i="154"/>
  <c r="K61" i="154" s="1"/>
  <c r="I59" i="154"/>
  <c r="K59" i="154" s="1"/>
  <c r="I57" i="154"/>
  <c r="K57" i="154" s="1"/>
  <c r="I55" i="154"/>
  <c r="J55" i="154" s="1"/>
  <c r="K55" i="154" s="1"/>
  <c r="I53" i="154"/>
  <c r="K53" i="154" s="1"/>
  <c r="I52" i="154"/>
  <c r="K52" i="154" s="1"/>
  <c r="E181" i="154"/>
  <c r="I50" i="154"/>
  <c r="I48" i="154"/>
  <c r="J48" i="154" s="1"/>
  <c r="K48" i="154" s="1"/>
  <c r="I46" i="154"/>
  <c r="I44" i="154"/>
  <c r="I42" i="154"/>
  <c r="K39" i="154"/>
  <c r="J39" i="154"/>
  <c r="I39" i="154"/>
  <c r="H39" i="154"/>
  <c r="G39" i="154"/>
  <c r="F39" i="154"/>
  <c r="H36" i="154"/>
  <c r="G36" i="154"/>
  <c r="F36" i="154"/>
  <c r="I34" i="154"/>
  <c r="J30" i="154"/>
  <c r="J180" i="154" s="1"/>
  <c r="H30" i="154"/>
  <c r="H151" i="154" s="1"/>
  <c r="G30" i="154"/>
  <c r="G151" i="154" s="1"/>
  <c r="F30" i="154"/>
  <c r="I28" i="154"/>
  <c r="K28" i="154" s="1"/>
  <c r="I27" i="154"/>
  <c r="E180" i="154"/>
  <c r="J24" i="154"/>
  <c r="J179" i="154" s="1"/>
  <c r="H24" i="154"/>
  <c r="G24" i="154"/>
  <c r="F24" i="154"/>
  <c r="E179" i="154"/>
  <c r="I22" i="154"/>
  <c r="I24" i="154" s="1"/>
  <c r="I179" i="154" s="1"/>
  <c r="J19" i="154"/>
  <c r="J178" i="154" s="1"/>
  <c r="H19" i="154"/>
  <c r="G19" i="154"/>
  <c r="F19" i="154"/>
  <c r="I17" i="154"/>
  <c r="K17" i="154" s="1"/>
  <c r="I16" i="154"/>
  <c r="K16" i="154" s="1"/>
  <c r="J12" i="154"/>
  <c r="J177" i="154" s="1"/>
  <c r="H12" i="154"/>
  <c r="G12" i="154"/>
  <c r="F12" i="154"/>
  <c r="I10" i="154"/>
  <c r="K10" i="154" s="1"/>
  <c r="K6" i="154"/>
  <c r="G32" i="173" l="1"/>
  <c r="G33" i="173" s="1"/>
  <c r="G34" i="173" s="1"/>
  <c r="G35" i="173" s="1"/>
  <c r="G36" i="173" s="1"/>
  <c r="G37" i="173" s="1"/>
  <c r="G38" i="173" s="1"/>
  <c r="G39" i="173" s="1"/>
  <c r="G40" i="173" s="1"/>
  <c r="G41" i="173" s="1"/>
  <c r="G42" i="173" s="1"/>
  <c r="G43" i="173" s="1"/>
  <c r="G44" i="173" s="1"/>
  <c r="G45" i="173" s="1"/>
  <c r="E32" i="173"/>
  <c r="E33" i="173" s="1"/>
  <c r="E34" i="173" s="1"/>
  <c r="E35" i="173" s="1"/>
  <c r="E36" i="173" s="1"/>
  <c r="E37" i="173" s="1"/>
  <c r="E38" i="173" s="1"/>
  <c r="E39" i="173" s="1"/>
  <c r="E40" i="173" s="1"/>
  <c r="E41" i="173" s="1"/>
  <c r="E42" i="173" s="1"/>
  <c r="E43" i="173" s="1"/>
  <c r="E44" i="173" s="1"/>
  <c r="E45" i="173" s="1"/>
  <c r="E46" i="173" s="1"/>
  <c r="E47" i="173" s="1"/>
  <c r="E48" i="173" s="1"/>
  <c r="E49" i="173" s="1"/>
  <c r="E50" i="173" s="1"/>
  <c r="E51" i="173" s="1"/>
  <c r="E52" i="173" s="1"/>
  <c r="E53" i="173" s="1"/>
  <c r="E54" i="173" s="1"/>
  <c r="E55" i="173" s="1"/>
  <c r="E56" i="173" s="1"/>
  <c r="E57" i="173" s="1"/>
  <c r="E58" i="173" s="1"/>
  <c r="E59" i="173" s="1"/>
  <c r="E60" i="173" s="1"/>
  <c r="E61" i="173" s="1"/>
  <c r="E62" i="173" s="1"/>
  <c r="E63" i="173" s="1"/>
  <c r="E64" i="173" s="1"/>
  <c r="E65" i="173" s="1"/>
  <c r="E66" i="173" s="1"/>
  <c r="E67" i="173" s="1"/>
  <c r="E68" i="173" s="1"/>
  <c r="E69" i="173" s="1"/>
  <c r="E70" i="173" s="1"/>
  <c r="E71" i="173" s="1"/>
  <c r="E72" i="173" s="1"/>
  <c r="E73" i="173" s="1"/>
  <c r="E74" i="173" s="1"/>
  <c r="E75" i="173" s="1"/>
  <c r="E76" i="173" s="1"/>
  <c r="E77" i="173" s="1"/>
  <c r="E78" i="173" s="1"/>
  <c r="E79" i="173" s="1"/>
  <c r="E80" i="173" s="1"/>
  <c r="E81" i="173" s="1"/>
  <c r="E82" i="173" s="1"/>
  <c r="E83" i="173" s="1"/>
  <c r="E84" i="173" s="1"/>
  <c r="E85" i="173" s="1"/>
  <c r="E86" i="173" s="1"/>
  <c r="E87" i="173" s="1"/>
  <c r="E88" i="173" s="1"/>
  <c r="E89" i="173" s="1"/>
  <c r="E90" i="173" s="1"/>
  <c r="E91" i="173" s="1"/>
  <c r="E92" i="173" s="1"/>
  <c r="E93" i="173" s="1"/>
  <c r="E94" i="173" s="1"/>
  <c r="E95" i="173" s="1"/>
  <c r="E96" i="173" s="1"/>
  <c r="E97" i="173" s="1"/>
  <c r="E98" i="173" s="1"/>
  <c r="E99" i="173" s="1"/>
  <c r="E100" i="173" s="1"/>
  <c r="E101" i="173" s="1"/>
  <c r="E102" i="173" s="1"/>
  <c r="E103" i="173" s="1"/>
  <c r="E104" i="173" s="1"/>
  <c r="E105" i="173" s="1"/>
  <c r="E106" i="173" s="1"/>
  <c r="E107" i="173" s="1"/>
  <c r="E108" i="173" s="1"/>
  <c r="E109" i="173" s="1"/>
  <c r="E110" i="173" s="1"/>
  <c r="E111" i="173" s="1"/>
  <c r="E112" i="173" s="1"/>
  <c r="E113" i="173" s="1"/>
  <c r="E114" i="173" s="1"/>
  <c r="E115" i="173" s="1"/>
  <c r="E116" i="173" s="1"/>
  <c r="E117" i="173" s="1"/>
  <c r="E118" i="173" s="1"/>
  <c r="E119" i="173" s="1"/>
  <c r="E120" i="173" s="1"/>
  <c r="E121" i="173" s="1"/>
  <c r="E122" i="173" s="1"/>
  <c r="E123" i="173" s="1"/>
  <c r="E124" i="173" s="1"/>
  <c r="E125" i="173" s="1"/>
  <c r="E126" i="173" s="1"/>
  <c r="E127" i="173" s="1"/>
  <c r="E128" i="173" s="1"/>
  <c r="E129" i="173" s="1"/>
  <c r="E130" i="173" s="1"/>
  <c r="E131" i="173" s="1"/>
  <c r="E132" i="173" s="1"/>
  <c r="E133" i="173" s="1"/>
  <c r="E134" i="173" s="1"/>
  <c r="E135" i="173" s="1"/>
  <c r="E136" i="173" s="1"/>
  <c r="E137" i="173" s="1"/>
  <c r="E138" i="173" s="1"/>
  <c r="E139" i="173" s="1"/>
  <c r="E140" i="173" s="1"/>
  <c r="E141" i="173" s="1"/>
  <c r="E142" i="173" s="1"/>
  <c r="E143" i="173" s="1"/>
  <c r="E144" i="173" s="1"/>
  <c r="E145" i="173" s="1"/>
  <c r="E146" i="173" s="1"/>
  <c r="E147" i="173" s="1"/>
  <c r="E148" i="173" s="1"/>
  <c r="E149" i="173" s="1"/>
  <c r="E150" i="173" s="1"/>
  <c r="E151" i="173" s="1"/>
  <c r="F86" i="154"/>
  <c r="F107" i="154" s="1"/>
  <c r="F179" i="154" s="1"/>
  <c r="G86" i="154"/>
  <c r="G107" i="154" s="1"/>
  <c r="H86" i="154"/>
  <c r="H107" i="154" s="1"/>
  <c r="I90" i="154"/>
  <c r="E212" i="154"/>
  <c r="G147" i="154"/>
  <c r="K22" i="154"/>
  <c r="K24" i="154" s="1"/>
  <c r="K179" i="154" s="1"/>
  <c r="J46" i="154"/>
  <c r="K46" i="154" s="1"/>
  <c r="I86" i="154"/>
  <c r="I181" i="154" s="1"/>
  <c r="J44" i="154"/>
  <c r="K44" i="154" s="1"/>
  <c r="K103" i="154"/>
  <c r="K101" i="154"/>
  <c r="K182" i="154" s="1"/>
  <c r="I9" i="154"/>
  <c r="E178" i="154"/>
  <c r="J34" i="154"/>
  <c r="K34" i="154" s="1"/>
  <c r="K88" i="154"/>
  <c r="K90" i="154" s="1"/>
  <c r="K127" i="154"/>
  <c r="E187" i="154"/>
  <c r="I36" i="154"/>
  <c r="J36" i="154" s="1"/>
  <c r="J42" i="154"/>
  <c r="K42" i="154" s="1"/>
  <c r="J50" i="154"/>
  <c r="K50" i="154" s="1"/>
  <c r="I101" i="154"/>
  <c r="I182" i="154" s="1"/>
  <c r="I114" i="154"/>
  <c r="K114" i="154" s="1"/>
  <c r="K119" i="154" s="1"/>
  <c r="G198" i="154"/>
  <c r="G200" i="154" s="1"/>
  <c r="F147" i="154"/>
  <c r="I124" i="154"/>
  <c r="I185" i="154" s="1"/>
  <c r="I30" i="154"/>
  <c r="I180" i="154" s="1"/>
  <c r="K27" i="154"/>
  <c r="K30" i="154" s="1"/>
  <c r="K180" i="154" s="1"/>
  <c r="K67" i="154"/>
  <c r="J104" i="154"/>
  <c r="J176" i="154" s="1"/>
  <c r="J184" i="154"/>
  <c r="J147" i="154"/>
  <c r="H198" i="154"/>
  <c r="H200" i="154" s="1"/>
  <c r="H119" i="154"/>
  <c r="H147" i="154" s="1"/>
  <c r="I129" i="154"/>
  <c r="E188" i="154"/>
  <c r="I176" i="154"/>
  <c r="I15" i="154"/>
  <c r="K121" i="154"/>
  <c r="K124" i="154" s="1"/>
  <c r="K185" i="154" s="1"/>
  <c r="I131" i="154"/>
  <c r="I137" i="154"/>
  <c r="I73" i="153"/>
  <c r="H114" i="153"/>
  <c r="H198" i="153" s="1"/>
  <c r="G114" i="153"/>
  <c r="G119" i="153" s="1"/>
  <c r="I61" i="153"/>
  <c r="K61" i="153" s="1"/>
  <c r="G212" i="153"/>
  <c r="F212" i="153"/>
  <c r="E209" i="153"/>
  <c r="E208" i="153"/>
  <c r="H197" i="153"/>
  <c r="G197" i="153"/>
  <c r="H196" i="153"/>
  <c r="G196" i="153"/>
  <c r="F188" i="153"/>
  <c r="F187" i="153"/>
  <c r="J186" i="153"/>
  <c r="F186" i="153"/>
  <c r="F184" i="153"/>
  <c r="F183" i="153"/>
  <c r="F182" i="153"/>
  <c r="F181" i="153"/>
  <c r="F178" i="153"/>
  <c r="F177" i="153"/>
  <c r="H176" i="153"/>
  <c r="F176" i="153"/>
  <c r="J145" i="153"/>
  <c r="J188" i="153" s="1"/>
  <c r="H145" i="153"/>
  <c r="G145" i="153"/>
  <c r="F145" i="153"/>
  <c r="J135" i="153"/>
  <c r="J187" i="153" s="1"/>
  <c r="H135" i="153"/>
  <c r="G135" i="153"/>
  <c r="F135" i="153"/>
  <c r="H129" i="153"/>
  <c r="G129" i="153"/>
  <c r="L124" i="153"/>
  <c r="J124" i="153"/>
  <c r="J185" i="153" s="1"/>
  <c r="H124" i="153"/>
  <c r="G124" i="153"/>
  <c r="F124" i="153"/>
  <c r="E122" i="153"/>
  <c r="I122" i="153" s="1"/>
  <c r="K122" i="153" s="1"/>
  <c r="I121" i="153"/>
  <c r="J119" i="153"/>
  <c r="J184" i="153" s="1"/>
  <c r="F119" i="153"/>
  <c r="I104" i="153"/>
  <c r="I103" i="153"/>
  <c r="J101" i="153"/>
  <c r="J182" i="153" s="1"/>
  <c r="H101" i="153"/>
  <c r="G101" i="153"/>
  <c r="F101" i="153"/>
  <c r="J90" i="153"/>
  <c r="H90" i="153"/>
  <c r="G90" i="153"/>
  <c r="I66" i="153"/>
  <c r="K66" i="153" s="1"/>
  <c r="E63" i="153"/>
  <c r="I55" i="153"/>
  <c r="I50" i="153"/>
  <c r="J50" i="153" s="1"/>
  <c r="K50" i="153" s="1"/>
  <c r="I48" i="153"/>
  <c r="J48" i="153" s="1"/>
  <c r="K48" i="153" s="1"/>
  <c r="I46" i="153"/>
  <c r="I44" i="153"/>
  <c r="J44" i="153" s="1"/>
  <c r="I42" i="153"/>
  <c r="J42" i="153" s="1"/>
  <c r="K42" i="153" s="1"/>
  <c r="K39" i="153"/>
  <c r="J39" i="153"/>
  <c r="I39" i="153"/>
  <c r="H39" i="153"/>
  <c r="G39" i="153"/>
  <c r="F39" i="153"/>
  <c r="E39" i="153"/>
  <c r="H36" i="153"/>
  <c r="G36" i="153"/>
  <c r="F36" i="153"/>
  <c r="I34" i="153"/>
  <c r="J34" i="153" s="1"/>
  <c r="K34" i="153" s="1"/>
  <c r="J30" i="153"/>
  <c r="J180" i="153" s="1"/>
  <c r="H30" i="153"/>
  <c r="H151" i="153" s="1"/>
  <c r="G30" i="153"/>
  <c r="G151" i="153" s="1"/>
  <c r="F30" i="153"/>
  <c r="J24" i="153"/>
  <c r="J179" i="153" s="1"/>
  <c r="H24" i="153"/>
  <c r="G24" i="153"/>
  <c r="F24" i="153"/>
  <c r="J19" i="153"/>
  <c r="J178" i="153" s="1"/>
  <c r="H19" i="153"/>
  <c r="G19" i="153"/>
  <c r="F19" i="153"/>
  <c r="J12" i="153"/>
  <c r="H12" i="153"/>
  <c r="G12" i="153"/>
  <c r="F12" i="153"/>
  <c r="K6" i="153"/>
  <c r="G46" i="173" l="1"/>
  <c r="G47" i="173" s="1"/>
  <c r="G48" i="173" s="1"/>
  <c r="G49" i="173" s="1"/>
  <c r="G50" i="173" s="1"/>
  <c r="G51" i="173" s="1"/>
  <c r="G52" i="173" s="1"/>
  <c r="G53" i="173" s="1"/>
  <c r="G54" i="173" s="1"/>
  <c r="G55" i="173" s="1"/>
  <c r="G56" i="173" s="1"/>
  <c r="G57" i="173" s="1"/>
  <c r="G58" i="173" s="1"/>
  <c r="G59" i="173" s="1"/>
  <c r="G60" i="173" s="1"/>
  <c r="G61" i="173" s="1"/>
  <c r="G62" i="173" s="1"/>
  <c r="G63" i="173" s="1"/>
  <c r="G64" i="173" s="1"/>
  <c r="G65" i="173" s="1"/>
  <c r="G66" i="173" s="1"/>
  <c r="G67" i="173" s="1"/>
  <c r="G68" i="173" s="1"/>
  <c r="G69" i="173" s="1"/>
  <c r="G70" i="173" s="1"/>
  <c r="G71" i="173" s="1"/>
  <c r="G72" i="173" s="1"/>
  <c r="G73" i="173" s="1"/>
  <c r="G74" i="173" s="1"/>
  <c r="G75" i="173" s="1"/>
  <c r="G76" i="173" s="1"/>
  <c r="G77" i="173" s="1"/>
  <c r="G78" i="173" s="1"/>
  <c r="G79" i="173" s="1"/>
  <c r="G80" i="173" s="1"/>
  <c r="G81" i="173" s="1"/>
  <c r="G82" i="173" s="1"/>
  <c r="G83" i="173" s="1"/>
  <c r="G84" i="173" s="1"/>
  <c r="G85" i="173" s="1"/>
  <c r="G86" i="173" s="1"/>
  <c r="G87" i="173" s="1"/>
  <c r="G88" i="173" s="1"/>
  <c r="G89" i="173" s="1"/>
  <c r="G90" i="173" s="1"/>
  <c r="G91" i="173" s="1"/>
  <c r="G92" i="173" s="1"/>
  <c r="G93" i="173" s="1"/>
  <c r="G94" i="173" s="1"/>
  <c r="G95" i="173" s="1"/>
  <c r="G96" i="173" s="1"/>
  <c r="G97" i="173" s="1"/>
  <c r="G98" i="173" s="1"/>
  <c r="G99" i="173" s="1"/>
  <c r="G100" i="173" s="1"/>
  <c r="G101" i="173" s="1"/>
  <c r="G102" i="173" s="1"/>
  <c r="G103" i="173" s="1"/>
  <c r="G104" i="173" s="1"/>
  <c r="G105" i="173" s="1"/>
  <c r="G106" i="173" s="1"/>
  <c r="G107" i="173" s="1"/>
  <c r="G108" i="173" s="1"/>
  <c r="G109" i="173" s="1"/>
  <c r="G110" i="173" s="1"/>
  <c r="G111" i="173" s="1"/>
  <c r="G112" i="173" s="1"/>
  <c r="G113" i="173" s="1"/>
  <c r="G114" i="173" s="1"/>
  <c r="G115" i="173" s="1"/>
  <c r="G116" i="173" s="1"/>
  <c r="G117" i="173" s="1"/>
  <c r="G118" i="173" s="1"/>
  <c r="G119" i="173" s="1"/>
  <c r="G120" i="173" s="1"/>
  <c r="G121" i="173" s="1"/>
  <c r="G122" i="173" s="1"/>
  <c r="G123" i="173" s="1"/>
  <c r="G124" i="173" s="1"/>
  <c r="G125" i="173" s="1"/>
  <c r="G126" i="173" s="1"/>
  <c r="G127" i="173" s="1"/>
  <c r="G128" i="173" s="1"/>
  <c r="G129" i="173" s="1"/>
  <c r="G130" i="173" s="1"/>
  <c r="G131" i="173" s="1"/>
  <c r="G132" i="173" s="1"/>
  <c r="G133" i="173" s="1"/>
  <c r="G134" i="173" s="1"/>
  <c r="G135" i="173" s="1"/>
  <c r="G136" i="173" s="1"/>
  <c r="G137" i="173" s="1"/>
  <c r="G138" i="173" s="1"/>
  <c r="G139" i="173" s="1"/>
  <c r="G140" i="173" s="1"/>
  <c r="G141" i="173" s="1"/>
  <c r="G142" i="173" s="1"/>
  <c r="G143" i="173" s="1"/>
  <c r="G144" i="173" s="1"/>
  <c r="G145" i="173" s="1"/>
  <c r="G146" i="173" s="1"/>
  <c r="G147" i="173" s="1"/>
  <c r="G148" i="173" s="1"/>
  <c r="G149" i="173" s="1"/>
  <c r="G150" i="173" s="1"/>
  <c r="G151" i="173" s="1"/>
  <c r="I45" i="173"/>
  <c r="H119" i="153"/>
  <c r="F180" i="154"/>
  <c r="F190" i="154" s="1"/>
  <c r="F149" i="154"/>
  <c r="H86" i="153"/>
  <c r="H107" i="153" s="1"/>
  <c r="G198" i="153"/>
  <c r="G200" i="153" s="1"/>
  <c r="F86" i="153"/>
  <c r="F107" i="153" s="1"/>
  <c r="F180" i="153" s="1"/>
  <c r="F190" i="153" s="1"/>
  <c r="E212" i="153"/>
  <c r="G86" i="153"/>
  <c r="G107" i="153" s="1"/>
  <c r="K104" i="154"/>
  <c r="K176" i="154" s="1"/>
  <c r="H149" i="154"/>
  <c r="I119" i="154"/>
  <c r="I184" i="154" s="1"/>
  <c r="G149" i="154"/>
  <c r="H201" i="154"/>
  <c r="H202" i="154" s="1"/>
  <c r="K86" i="154"/>
  <c r="K181" i="154" s="1"/>
  <c r="J86" i="154"/>
  <c r="J107" i="154" s="1"/>
  <c r="J149" i="154" s="1"/>
  <c r="K184" i="154"/>
  <c r="E184" i="154"/>
  <c r="I145" i="154"/>
  <c r="I188" i="154" s="1"/>
  <c r="K137" i="154"/>
  <c r="K145" i="154" s="1"/>
  <c r="K188" i="154" s="1"/>
  <c r="I135" i="154"/>
  <c r="I187" i="154" s="1"/>
  <c r="K131" i="154"/>
  <c r="K135" i="154" s="1"/>
  <c r="K187" i="154" s="1"/>
  <c r="I19" i="154"/>
  <c r="I178" i="154" s="1"/>
  <c r="K15" i="154"/>
  <c r="K19" i="154" s="1"/>
  <c r="K178" i="154" s="1"/>
  <c r="I12" i="154"/>
  <c r="K9" i="154"/>
  <c r="K12" i="154" s="1"/>
  <c r="E177" i="154"/>
  <c r="K36" i="154"/>
  <c r="K186" i="154"/>
  <c r="K129" i="154"/>
  <c r="F147" i="153"/>
  <c r="H147" i="153"/>
  <c r="J147" i="153"/>
  <c r="H200" i="153"/>
  <c r="E124" i="153"/>
  <c r="E185" i="153" s="1"/>
  <c r="I124" i="153"/>
  <c r="I185" i="153" s="1"/>
  <c r="G147" i="153"/>
  <c r="J46" i="153"/>
  <c r="K46" i="153" s="1"/>
  <c r="J55" i="153"/>
  <c r="I36" i="153"/>
  <c r="J104" i="153"/>
  <c r="K104" i="153" s="1"/>
  <c r="K121" i="153"/>
  <c r="K124" i="153" s="1"/>
  <c r="K185" i="153" s="1"/>
  <c r="J177" i="153"/>
  <c r="K44" i="153"/>
  <c r="J103" i="153"/>
  <c r="I176" i="153"/>
  <c r="G153" i="152"/>
  <c r="G114" i="152"/>
  <c r="G119" i="152" s="1"/>
  <c r="H110" i="152"/>
  <c r="H119" i="152" s="1"/>
  <c r="G212" i="152"/>
  <c r="F212" i="152"/>
  <c r="E209" i="152"/>
  <c r="E208" i="152"/>
  <c r="H197" i="152"/>
  <c r="G197" i="152"/>
  <c r="H196" i="152"/>
  <c r="G196" i="152"/>
  <c r="F188" i="152"/>
  <c r="F187" i="152"/>
  <c r="J186" i="152"/>
  <c r="F186" i="152"/>
  <c r="F184" i="152"/>
  <c r="F183" i="152"/>
  <c r="F182" i="152"/>
  <c r="F181" i="152"/>
  <c r="F178" i="152"/>
  <c r="F177" i="152"/>
  <c r="H176" i="152"/>
  <c r="F176" i="152"/>
  <c r="J145" i="152"/>
  <c r="J188" i="152" s="1"/>
  <c r="H145" i="152"/>
  <c r="F145" i="152"/>
  <c r="G145" i="152"/>
  <c r="J135" i="152"/>
  <c r="J187" i="152" s="1"/>
  <c r="H135" i="152"/>
  <c r="G135" i="152"/>
  <c r="F135" i="152"/>
  <c r="H129" i="152"/>
  <c r="G129" i="152"/>
  <c r="L124" i="152"/>
  <c r="J124" i="152"/>
  <c r="J185" i="152" s="1"/>
  <c r="H124" i="152"/>
  <c r="G124" i="152"/>
  <c r="F124" i="152"/>
  <c r="E122" i="152"/>
  <c r="I122" i="152" s="1"/>
  <c r="K122" i="152" s="1"/>
  <c r="I121" i="152"/>
  <c r="K121" i="152" s="1"/>
  <c r="J119" i="152"/>
  <c r="J184" i="152" s="1"/>
  <c r="F119" i="152"/>
  <c r="I104" i="152"/>
  <c r="I103" i="152"/>
  <c r="J103" i="152" s="1"/>
  <c r="J101" i="152"/>
  <c r="J182" i="152" s="1"/>
  <c r="H101" i="152"/>
  <c r="G101" i="152"/>
  <c r="F101" i="152"/>
  <c r="J90" i="152"/>
  <c r="H90" i="152"/>
  <c r="G90" i="152"/>
  <c r="I64" i="152"/>
  <c r="K64" i="152" s="1"/>
  <c r="E61" i="152"/>
  <c r="I55" i="152"/>
  <c r="J55" i="152" s="1"/>
  <c r="I50" i="152"/>
  <c r="J50" i="152" s="1"/>
  <c r="K50" i="152" s="1"/>
  <c r="I48" i="152"/>
  <c r="I46" i="152"/>
  <c r="I44" i="152"/>
  <c r="J44" i="152" s="1"/>
  <c r="I42" i="152"/>
  <c r="J42" i="152" s="1"/>
  <c r="K42" i="152" s="1"/>
  <c r="K39" i="152"/>
  <c r="J39" i="152"/>
  <c r="I39" i="152"/>
  <c r="H39" i="152"/>
  <c r="G39" i="152"/>
  <c r="F39" i="152"/>
  <c r="E39" i="152"/>
  <c r="H36" i="152"/>
  <c r="G36" i="152"/>
  <c r="F36" i="152"/>
  <c r="I34" i="152"/>
  <c r="J30" i="152"/>
  <c r="J180" i="152" s="1"/>
  <c r="H30" i="152"/>
  <c r="H151" i="152" s="1"/>
  <c r="G30" i="152"/>
  <c r="G151" i="152" s="1"/>
  <c r="F30" i="152"/>
  <c r="J24" i="152"/>
  <c r="J179" i="152" s="1"/>
  <c r="H24" i="152"/>
  <c r="G24" i="152"/>
  <c r="F24" i="152"/>
  <c r="J19" i="152"/>
  <c r="J178" i="152" s="1"/>
  <c r="H19" i="152"/>
  <c r="G19" i="152"/>
  <c r="F19" i="152"/>
  <c r="J12" i="152"/>
  <c r="J177" i="152" s="1"/>
  <c r="H12" i="152"/>
  <c r="G12" i="152"/>
  <c r="F12" i="152"/>
  <c r="K6" i="152"/>
  <c r="E212" i="152" l="1"/>
  <c r="H201" i="153"/>
  <c r="H202" i="153" s="1"/>
  <c r="F147" i="152"/>
  <c r="G198" i="152"/>
  <c r="G200" i="152" s="1"/>
  <c r="E190" i="154"/>
  <c r="E192" i="154" s="1"/>
  <c r="J181" i="154"/>
  <c r="J190" i="154" s="1"/>
  <c r="J192" i="154" s="1"/>
  <c r="I36" i="152"/>
  <c r="J36" i="152" s="1"/>
  <c r="F86" i="152"/>
  <c r="F107" i="152" s="1"/>
  <c r="H149" i="153"/>
  <c r="H147" i="152"/>
  <c r="J34" i="152"/>
  <c r="K34" i="152" s="1"/>
  <c r="G86" i="152"/>
  <c r="G107" i="152" s="1"/>
  <c r="K44" i="152"/>
  <c r="H198" i="152"/>
  <c r="H86" i="152"/>
  <c r="H107" i="152" s="1"/>
  <c r="H200" i="152"/>
  <c r="T149" i="154"/>
  <c r="V149" i="154" s="1"/>
  <c r="G152" i="154"/>
  <c r="G173" i="154"/>
  <c r="K147" i="154"/>
  <c r="I147" i="154"/>
  <c r="K107" i="154"/>
  <c r="K177" i="154"/>
  <c r="K190" i="154" s="1"/>
  <c r="I177" i="154"/>
  <c r="I190" i="154" s="1"/>
  <c r="I107" i="154"/>
  <c r="K55" i="153"/>
  <c r="F179" i="153"/>
  <c r="F149" i="153"/>
  <c r="G149" i="153"/>
  <c r="J176" i="153"/>
  <c r="K103" i="153"/>
  <c r="K176" i="153" s="1"/>
  <c r="J36" i="153"/>
  <c r="K124" i="152"/>
  <c r="K185" i="152" s="1"/>
  <c r="E124" i="152"/>
  <c r="E185" i="152" s="1"/>
  <c r="J104" i="152"/>
  <c r="K104" i="152" s="1"/>
  <c r="J48" i="152"/>
  <c r="K48" i="152" s="1"/>
  <c r="I124" i="152"/>
  <c r="I185" i="152" s="1"/>
  <c r="J46" i="152"/>
  <c r="K46" i="152" s="1"/>
  <c r="K55" i="152"/>
  <c r="G147" i="152"/>
  <c r="K103" i="152"/>
  <c r="J147" i="152"/>
  <c r="I176" i="152"/>
  <c r="I71" i="150"/>
  <c r="H201" i="152" l="1"/>
  <c r="H202" i="152" s="1"/>
  <c r="H149" i="152"/>
  <c r="K36" i="152"/>
  <c r="I149" i="154"/>
  <c r="I152" i="154" s="1"/>
  <c r="K149" i="154"/>
  <c r="T149" i="153"/>
  <c r="V149" i="153" s="1"/>
  <c r="G152" i="153"/>
  <c r="G173" i="153"/>
  <c r="K36" i="153"/>
  <c r="G149" i="152"/>
  <c r="G173" i="152" s="1"/>
  <c r="K176" i="152"/>
  <c r="J176" i="152"/>
  <c r="F179" i="152"/>
  <c r="F149" i="152"/>
  <c r="F180" i="152"/>
  <c r="F190" i="152" s="1"/>
  <c r="I83" i="151"/>
  <c r="E83" i="152" s="1"/>
  <c r="I83" i="152" s="1"/>
  <c r="K83" i="152" s="1"/>
  <c r="G138" i="151"/>
  <c r="K83" i="151" l="1"/>
  <c r="I192" i="154"/>
  <c r="I153" i="154"/>
  <c r="K192" i="154"/>
  <c r="T149" i="152"/>
  <c r="V149" i="152" s="1"/>
  <c r="G152" i="152"/>
  <c r="G154" i="152" s="1"/>
  <c r="E71" i="151"/>
  <c r="I71" i="151" s="1"/>
  <c r="E71" i="152" s="1"/>
  <c r="I71" i="152" s="1"/>
  <c r="G212" i="151"/>
  <c r="F212" i="151"/>
  <c r="E209" i="151"/>
  <c r="E208" i="151"/>
  <c r="G198" i="151"/>
  <c r="H197" i="151"/>
  <c r="G197" i="151"/>
  <c r="H196" i="151"/>
  <c r="G196" i="151"/>
  <c r="F188" i="151"/>
  <c r="F187" i="151"/>
  <c r="J186" i="151"/>
  <c r="F186" i="151"/>
  <c r="F184" i="151"/>
  <c r="F183" i="151"/>
  <c r="F182" i="151"/>
  <c r="F181" i="151"/>
  <c r="F178" i="151"/>
  <c r="F177" i="151"/>
  <c r="H176" i="151"/>
  <c r="F176" i="151"/>
  <c r="G153" i="151"/>
  <c r="J145" i="151"/>
  <c r="J188" i="151" s="1"/>
  <c r="H145" i="151"/>
  <c r="G145" i="151"/>
  <c r="F145" i="151"/>
  <c r="J135" i="151"/>
  <c r="J187" i="151" s="1"/>
  <c r="H135" i="151"/>
  <c r="G135" i="151"/>
  <c r="F135" i="151"/>
  <c r="H129" i="151"/>
  <c r="G129" i="151"/>
  <c r="L124" i="151"/>
  <c r="J124" i="151"/>
  <c r="J185" i="151" s="1"/>
  <c r="H124" i="151"/>
  <c r="G124" i="151"/>
  <c r="F124" i="151"/>
  <c r="E122" i="151"/>
  <c r="E124" i="151" s="1"/>
  <c r="E185" i="151" s="1"/>
  <c r="I121" i="151"/>
  <c r="J119" i="151"/>
  <c r="J184" i="151" s="1"/>
  <c r="G119" i="151"/>
  <c r="F119" i="151"/>
  <c r="H198" i="151"/>
  <c r="I104" i="151"/>
  <c r="I103" i="151"/>
  <c r="J103" i="151" s="1"/>
  <c r="J101" i="151"/>
  <c r="J182" i="151" s="1"/>
  <c r="H101" i="151"/>
  <c r="G101" i="151"/>
  <c r="F101" i="151"/>
  <c r="J90" i="151"/>
  <c r="H90" i="151"/>
  <c r="G90" i="151"/>
  <c r="I64" i="151"/>
  <c r="K64" i="151" s="1"/>
  <c r="E61" i="151"/>
  <c r="I55" i="151"/>
  <c r="I50" i="151"/>
  <c r="I48" i="151"/>
  <c r="J48" i="151" s="1"/>
  <c r="K48" i="151" s="1"/>
  <c r="I46" i="151"/>
  <c r="J46" i="151" s="1"/>
  <c r="I44" i="151"/>
  <c r="J44" i="151" s="1"/>
  <c r="I42" i="151"/>
  <c r="J42" i="151" s="1"/>
  <c r="K42" i="151" s="1"/>
  <c r="K39" i="151"/>
  <c r="J39" i="151"/>
  <c r="I39" i="151"/>
  <c r="H39" i="151"/>
  <c r="G39" i="151"/>
  <c r="F39" i="151"/>
  <c r="E39" i="151"/>
  <c r="H36" i="151"/>
  <c r="G36" i="151"/>
  <c r="F36" i="151"/>
  <c r="I34" i="151"/>
  <c r="J30" i="151"/>
  <c r="J180" i="151" s="1"/>
  <c r="H30" i="151"/>
  <c r="H151" i="151" s="1"/>
  <c r="G30" i="151"/>
  <c r="G151" i="151" s="1"/>
  <c r="F30" i="151"/>
  <c r="J24" i="151"/>
  <c r="J179" i="151" s="1"/>
  <c r="H24" i="151"/>
  <c r="G24" i="151"/>
  <c r="F24" i="151"/>
  <c r="J19" i="151"/>
  <c r="J178" i="151" s="1"/>
  <c r="H19" i="151"/>
  <c r="G19" i="151"/>
  <c r="F19" i="151"/>
  <c r="J12" i="151"/>
  <c r="J177" i="151" s="1"/>
  <c r="H12" i="151"/>
  <c r="G12" i="151"/>
  <c r="F12" i="151"/>
  <c r="K6" i="151"/>
  <c r="G86" i="151" l="1"/>
  <c r="H86" i="151"/>
  <c r="H107" i="151" s="1"/>
  <c r="E212" i="151"/>
  <c r="K103" i="151"/>
  <c r="F147" i="151"/>
  <c r="I36" i="151"/>
  <c r="J36" i="151" s="1"/>
  <c r="J50" i="151"/>
  <c r="K50" i="151" s="1"/>
  <c r="J34" i="151"/>
  <c r="K34" i="151" s="1"/>
  <c r="H201" i="151"/>
  <c r="K44" i="151"/>
  <c r="G107" i="151"/>
  <c r="I122" i="151"/>
  <c r="K122" i="151" s="1"/>
  <c r="J104" i="151"/>
  <c r="J176" i="151" s="1"/>
  <c r="I176" i="151"/>
  <c r="G147" i="151"/>
  <c r="K121" i="151"/>
  <c r="J55" i="151"/>
  <c r="K55" i="151" s="1"/>
  <c r="H119" i="151"/>
  <c r="H147" i="151" s="1"/>
  <c r="G200" i="151"/>
  <c r="F86" i="151"/>
  <c r="F107" i="151" s="1"/>
  <c r="K46" i="151"/>
  <c r="H202" i="151"/>
  <c r="H200" i="151"/>
  <c r="J147" i="151"/>
  <c r="G151" i="150"/>
  <c r="F149" i="151" l="1"/>
  <c r="K104" i="151"/>
  <c r="K176" i="151" s="1"/>
  <c r="I124" i="151"/>
  <c r="I185" i="151" s="1"/>
  <c r="K124" i="151"/>
  <c r="K185" i="151" s="1"/>
  <c r="H149" i="151"/>
  <c r="G149" i="151"/>
  <c r="K36" i="151"/>
  <c r="F180" i="151"/>
  <c r="F190" i="151" s="1"/>
  <c r="F179" i="151"/>
  <c r="H108" i="150"/>
  <c r="G173" i="151" l="1"/>
  <c r="T149" i="151"/>
  <c r="V149" i="151" s="1"/>
  <c r="G152" i="151"/>
  <c r="G154" i="151" s="1"/>
  <c r="E61" i="150"/>
  <c r="G210" i="150"/>
  <c r="F210" i="150"/>
  <c r="E207" i="150"/>
  <c r="E206" i="150"/>
  <c r="H196" i="150"/>
  <c r="H195" i="150"/>
  <c r="G195" i="150"/>
  <c r="H194" i="150"/>
  <c r="G194" i="150"/>
  <c r="F186" i="150"/>
  <c r="F185" i="150"/>
  <c r="J184" i="150"/>
  <c r="F184" i="150"/>
  <c r="F182" i="150"/>
  <c r="F181" i="150"/>
  <c r="F180" i="150"/>
  <c r="F179" i="150"/>
  <c r="F176" i="150"/>
  <c r="F175" i="150"/>
  <c r="H174" i="150"/>
  <c r="F174" i="150"/>
  <c r="J143" i="150"/>
  <c r="J186" i="150" s="1"/>
  <c r="H143" i="150"/>
  <c r="F143" i="150"/>
  <c r="G143" i="150"/>
  <c r="J133" i="150"/>
  <c r="J185" i="150" s="1"/>
  <c r="H133" i="150"/>
  <c r="G133" i="150"/>
  <c r="F133" i="150"/>
  <c r="H127" i="150"/>
  <c r="G127" i="150"/>
  <c r="L122" i="150"/>
  <c r="J122" i="150"/>
  <c r="J183" i="150" s="1"/>
  <c r="H122" i="150"/>
  <c r="G122" i="150"/>
  <c r="F122" i="150"/>
  <c r="E120" i="150"/>
  <c r="I120" i="150" s="1"/>
  <c r="K120" i="150" s="1"/>
  <c r="I119" i="150"/>
  <c r="J117" i="150"/>
  <c r="J182" i="150" s="1"/>
  <c r="H117" i="150"/>
  <c r="F117" i="150"/>
  <c r="G196" i="150"/>
  <c r="G117" i="150"/>
  <c r="I102" i="150"/>
  <c r="I101" i="150"/>
  <c r="J99" i="150"/>
  <c r="J180" i="150" s="1"/>
  <c r="H99" i="150"/>
  <c r="G99" i="150"/>
  <c r="F99" i="150"/>
  <c r="J88" i="150"/>
  <c r="H88" i="150"/>
  <c r="G88" i="150"/>
  <c r="I64" i="150"/>
  <c r="K64" i="150" s="1"/>
  <c r="I55" i="150"/>
  <c r="J55" i="150" s="1"/>
  <c r="K55" i="150" s="1"/>
  <c r="I50" i="150"/>
  <c r="I48" i="150"/>
  <c r="J48" i="150" s="1"/>
  <c r="K48" i="150" s="1"/>
  <c r="I46" i="150"/>
  <c r="J46" i="150" s="1"/>
  <c r="K46" i="150" s="1"/>
  <c r="I44" i="150"/>
  <c r="J44" i="150" s="1"/>
  <c r="I42" i="150"/>
  <c r="K39" i="150"/>
  <c r="J39" i="150"/>
  <c r="I39" i="150"/>
  <c r="H39" i="150"/>
  <c r="G39" i="150"/>
  <c r="F39" i="150"/>
  <c r="E39" i="150"/>
  <c r="H36" i="150"/>
  <c r="G36" i="150"/>
  <c r="F36" i="150"/>
  <c r="I34" i="150"/>
  <c r="J34" i="150" s="1"/>
  <c r="J30" i="150"/>
  <c r="J178" i="150" s="1"/>
  <c r="H30" i="150"/>
  <c r="H149" i="150" s="1"/>
  <c r="G30" i="150"/>
  <c r="F30" i="150"/>
  <c r="J24" i="150"/>
  <c r="J177" i="150" s="1"/>
  <c r="H24" i="150"/>
  <c r="G24" i="150"/>
  <c r="F24" i="150"/>
  <c r="J19" i="150"/>
  <c r="J176" i="150" s="1"/>
  <c r="H19" i="150"/>
  <c r="G19" i="150"/>
  <c r="F19" i="150"/>
  <c r="J12" i="150"/>
  <c r="H12" i="150"/>
  <c r="G12" i="150"/>
  <c r="F12" i="150"/>
  <c r="K6" i="150"/>
  <c r="G84" i="150" l="1"/>
  <c r="G105" i="150" s="1"/>
  <c r="H145" i="150"/>
  <c r="H84" i="150"/>
  <c r="H105" i="150" s="1"/>
  <c r="H147" i="150" s="1"/>
  <c r="E210" i="150"/>
  <c r="F84" i="150"/>
  <c r="F105" i="150" s="1"/>
  <c r="F145" i="150"/>
  <c r="K44" i="150"/>
  <c r="I174" i="150"/>
  <c r="J102" i="150"/>
  <c r="K102" i="150" s="1"/>
  <c r="G145" i="150"/>
  <c r="H199" i="150"/>
  <c r="H200" i="150" s="1"/>
  <c r="I122" i="150"/>
  <c r="I183" i="150" s="1"/>
  <c r="G198" i="150"/>
  <c r="K34" i="150"/>
  <c r="J101" i="150"/>
  <c r="K119" i="150"/>
  <c r="K122" i="150" s="1"/>
  <c r="K183" i="150" s="1"/>
  <c r="E122" i="150"/>
  <c r="E183" i="150" s="1"/>
  <c r="G149" i="150"/>
  <c r="J175" i="150"/>
  <c r="H198" i="150"/>
  <c r="J145" i="150"/>
  <c r="J42" i="150"/>
  <c r="K42" i="150" s="1"/>
  <c r="J50" i="150"/>
  <c r="K50" i="150" s="1"/>
  <c r="I36" i="150"/>
  <c r="J36" i="150" s="1"/>
  <c r="F177" i="150" l="1"/>
  <c r="F178" i="150"/>
  <c r="F188" i="150" s="1"/>
  <c r="F147" i="150"/>
  <c r="G147" i="150"/>
  <c r="G150" i="150" s="1"/>
  <c r="G152" i="150" s="1"/>
  <c r="K36" i="150"/>
  <c r="J174" i="150"/>
  <c r="K101" i="150"/>
  <c r="K174" i="150" s="1"/>
  <c r="G111" i="149"/>
  <c r="G107" i="149"/>
  <c r="G135" i="149"/>
  <c r="G171" i="150" l="1"/>
  <c r="T147" i="150"/>
  <c r="V147" i="150" s="1"/>
  <c r="E61" i="149"/>
  <c r="G209" i="149"/>
  <c r="F209" i="149"/>
  <c r="E206" i="149"/>
  <c r="E205" i="149"/>
  <c r="H195" i="149"/>
  <c r="G195" i="149"/>
  <c r="H194" i="149"/>
  <c r="G194" i="149"/>
  <c r="H193" i="149"/>
  <c r="G193" i="149"/>
  <c r="F185" i="149"/>
  <c r="F184" i="149"/>
  <c r="J183" i="149"/>
  <c r="F183" i="149"/>
  <c r="F181" i="149"/>
  <c r="F180" i="149"/>
  <c r="F179" i="149"/>
  <c r="F178" i="149"/>
  <c r="F175" i="149"/>
  <c r="F174" i="149"/>
  <c r="H173" i="149"/>
  <c r="F173" i="149"/>
  <c r="J142" i="149"/>
  <c r="J185" i="149" s="1"/>
  <c r="H142" i="149"/>
  <c r="F142" i="149"/>
  <c r="J132" i="149"/>
  <c r="J184" i="149" s="1"/>
  <c r="H132" i="149"/>
  <c r="G132" i="149"/>
  <c r="F132" i="149"/>
  <c r="H126" i="149"/>
  <c r="G126" i="149"/>
  <c r="L121" i="149"/>
  <c r="J121" i="149"/>
  <c r="J182" i="149" s="1"/>
  <c r="H121" i="149"/>
  <c r="G121" i="149"/>
  <c r="F121" i="149"/>
  <c r="E119" i="149"/>
  <c r="I119" i="149" s="1"/>
  <c r="I118" i="149"/>
  <c r="K118" i="149" s="1"/>
  <c r="J116" i="149"/>
  <c r="H116" i="149"/>
  <c r="G116" i="149"/>
  <c r="F116" i="149"/>
  <c r="I101" i="149"/>
  <c r="I100" i="149"/>
  <c r="J100" i="149" s="1"/>
  <c r="K100" i="149" s="1"/>
  <c r="J98" i="149"/>
  <c r="J179" i="149" s="1"/>
  <c r="H98" i="149"/>
  <c r="G98" i="149"/>
  <c r="F98" i="149"/>
  <c r="J87" i="149"/>
  <c r="H87" i="149"/>
  <c r="G87" i="149"/>
  <c r="I64" i="149"/>
  <c r="K64" i="149" s="1"/>
  <c r="I55" i="149"/>
  <c r="J55" i="149" s="1"/>
  <c r="K55" i="149" s="1"/>
  <c r="I50" i="149"/>
  <c r="J50" i="149" s="1"/>
  <c r="K50" i="149" s="1"/>
  <c r="I48" i="149"/>
  <c r="I46" i="149"/>
  <c r="J46" i="149" s="1"/>
  <c r="I44" i="149"/>
  <c r="I42" i="149"/>
  <c r="J42" i="149" s="1"/>
  <c r="K42" i="149" s="1"/>
  <c r="K39" i="149"/>
  <c r="J39" i="149"/>
  <c r="I39" i="149"/>
  <c r="H39" i="149"/>
  <c r="G39" i="149"/>
  <c r="F39" i="149"/>
  <c r="E39" i="149"/>
  <c r="H36" i="149"/>
  <c r="G36" i="149"/>
  <c r="F36" i="149"/>
  <c r="I34" i="149"/>
  <c r="J34" i="149" s="1"/>
  <c r="K34" i="149" s="1"/>
  <c r="J30" i="149"/>
  <c r="J177" i="149" s="1"/>
  <c r="H30" i="149"/>
  <c r="H148" i="149" s="1"/>
  <c r="G30" i="149"/>
  <c r="G148" i="149" s="1"/>
  <c r="F30" i="149"/>
  <c r="J24" i="149"/>
  <c r="J176" i="149" s="1"/>
  <c r="H24" i="149"/>
  <c r="G24" i="149"/>
  <c r="F24" i="149"/>
  <c r="J19" i="149"/>
  <c r="J175" i="149" s="1"/>
  <c r="H19" i="149"/>
  <c r="G19" i="149"/>
  <c r="F19" i="149"/>
  <c r="J12" i="149"/>
  <c r="J174" i="149" s="1"/>
  <c r="H12" i="149"/>
  <c r="G12" i="149"/>
  <c r="F12" i="149"/>
  <c r="K6" i="149"/>
  <c r="E209" i="149" l="1"/>
  <c r="H144" i="149"/>
  <c r="J144" i="149"/>
  <c r="F83" i="149"/>
  <c r="F104" i="149" s="1"/>
  <c r="F177" i="149" s="1"/>
  <c r="F187" i="149" s="1"/>
  <c r="H83" i="149"/>
  <c r="H104" i="149" s="1"/>
  <c r="H146" i="149" s="1"/>
  <c r="J181" i="149"/>
  <c r="F144" i="149"/>
  <c r="G83" i="149"/>
  <c r="G104" i="149" s="1"/>
  <c r="H197" i="149"/>
  <c r="H198" i="149"/>
  <c r="H199" i="149" s="1"/>
  <c r="G197" i="149"/>
  <c r="K119" i="149"/>
  <c r="K121" i="149" s="1"/>
  <c r="K182" i="149" s="1"/>
  <c r="I121" i="149"/>
  <c r="I182" i="149" s="1"/>
  <c r="E121" i="149"/>
  <c r="E182" i="149" s="1"/>
  <c r="J44" i="149"/>
  <c r="K44" i="149" s="1"/>
  <c r="I36" i="149"/>
  <c r="J36" i="149" s="1"/>
  <c r="K36" i="149" s="1"/>
  <c r="J101" i="149"/>
  <c r="J173" i="149" s="1"/>
  <c r="I173" i="149"/>
  <c r="J48" i="149"/>
  <c r="K48" i="149" s="1"/>
  <c r="G142" i="149"/>
  <c r="G144" i="149" s="1"/>
  <c r="K46" i="149"/>
  <c r="I96" i="148"/>
  <c r="E96" i="149" s="1"/>
  <c r="I96" i="149" s="1"/>
  <c r="K96" i="149" s="1"/>
  <c r="I97" i="148"/>
  <c r="E97" i="149" s="1"/>
  <c r="I97" i="149" s="1"/>
  <c r="K97" i="149" s="1"/>
  <c r="J87" i="148"/>
  <c r="H87" i="148"/>
  <c r="G87" i="148"/>
  <c r="G98" i="148"/>
  <c r="G135" i="148"/>
  <c r="E61" i="148"/>
  <c r="G209" i="148"/>
  <c r="F209" i="148"/>
  <c r="E206" i="148"/>
  <c r="E205" i="148"/>
  <c r="H195" i="148"/>
  <c r="H194" i="148"/>
  <c r="G194" i="148"/>
  <c r="H193" i="148"/>
  <c r="G193" i="148"/>
  <c r="F185" i="148"/>
  <c r="F184" i="148"/>
  <c r="J183" i="148"/>
  <c r="F183" i="148"/>
  <c r="F181" i="148"/>
  <c r="F180" i="148"/>
  <c r="F179" i="148"/>
  <c r="F178" i="148"/>
  <c r="F175" i="148"/>
  <c r="F174" i="148"/>
  <c r="H173" i="148"/>
  <c r="F173" i="148"/>
  <c r="J142" i="148"/>
  <c r="J185" i="148" s="1"/>
  <c r="H142" i="148"/>
  <c r="F142" i="148"/>
  <c r="J132" i="148"/>
  <c r="J184" i="148" s="1"/>
  <c r="H132" i="148"/>
  <c r="G132" i="148"/>
  <c r="F132" i="148"/>
  <c r="H126" i="148"/>
  <c r="G126" i="148"/>
  <c r="L121" i="148"/>
  <c r="J121" i="148"/>
  <c r="J182" i="148" s="1"/>
  <c r="H121" i="148"/>
  <c r="G121" i="148"/>
  <c r="F121" i="148"/>
  <c r="E119" i="148"/>
  <c r="I119" i="148" s="1"/>
  <c r="K119" i="148" s="1"/>
  <c r="I118" i="148"/>
  <c r="K118" i="148" s="1"/>
  <c r="J116" i="148"/>
  <c r="J181" i="148" s="1"/>
  <c r="H116" i="148"/>
  <c r="G116" i="148"/>
  <c r="F116" i="148"/>
  <c r="G195" i="148"/>
  <c r="I101" i="148"/>
  <c r="J101" i="148" s="1"/>
  <c r="K101" i="148" s="1"/>
  <c r="I100" i="148"/>
  <c r="J98" i="148"/>
  <c r="J179" i="148" s="1"/>
  <c r="H98" i="148"/>
  <c r="F98" i="148"/>
  <c r="I64" i="148"/>
  <c r="K64" i="148" s="1"/>
  <c r="I55" i="148"/>
  <c r="I50" i="148"/>
  <c r="J50" i="148" s="1"/>
  <c r="I48" i="148"/>
  <c r="J48" i="148" s="1"/>
  <c r="K48" i="148" s="1"/>
  <c r="I46" i="148"/>
  <c r="J46" i="148" s="1"/>
  <c r="K46" i="148" s="1"/>
  <c r="I44" i="148"/>
  <c r="J44" i="148" s="1"/>
  <c r="I42" i="148"/>
  <c r="J42" i="148" s="1"/>
  <c r="K39" i="148"/>
  <c r="J39" i="148"/>
  <c r="I39" i="148"/>
  <c r="H39" i="148"/>
  <c r="G39" i="148"/>
  <c r="F39" i="148"/>
  <c r="E39" i="148"/>
  <c r="H36" i="148"/>
  <c r="G36" i="148"/>
  <c r="F36" i="148"/>
  <c r="E34" i="148"/>
  <c r="I34" i="148" s="1"/>
  <c r="J30" i="148"/>
  <c r="J177" i="148" s="1"/>
  <c r="H30" i="148"/>
  <c r="H148" i="148" s="1"/>
  <c r="G30" i="148"/>
  <c r="F30" i="148"/>
  <c r="J24" i="148"/>
  <c r="J176" i="148" s="1"/>
  <c r="H24" i="148"/>
  <c r="G24" i="148"/>
  <c r="F24" i="148"/>
  <c r="J19" i="148"/>
  <c r="J175" i="148" s="1"/>
  <c r="H19" i="148"/>
  <c r="G19" i="148"/>
  <c r="F19" i="148"/>
  <c r="J12" i="148"/>
  <c r="H12" i="148"/>
  <c r="G12" i="148"/>
  <c r="F12" i="148"/>
  <c r="K6" i="148"/>
  <c r="F176" i="149" l="1"/>
  <c r="F146" i="149"/>
  <c r="K97" i="148"/>
  <c r="K96" i="148"/>
  <c r="G146" i="149"/>
  <c r="G170" i="149" s="1"/>
  <c r="K101" i="149"/>
  <c r="K173" i="149" s="1"/>
  <c r="H83" i="148"/>
  <c r="H104" i="148" s="1"/>
  <c r="E209" i="148"/>
  <c r="K121" i="148"/>
  <c r="K182" i="148" s="1"/>
  <c r="K50" i="148"/>
  <c r="F144" i="148"/>
  <c r="J55" i="148"/>
  <c r="K55" i="148" s="1"/>
  <c r="I36" i="148"/>
  <c r="J36" i="148" s="1"/>
  <c r="K36" i="148" s="1"/>
  <c r="G148" i="148"/>
  <c r="G142" i="148"/>
  <c r="G144" i="148" s="1"/>
  <c r="E121" i="148"/>
  <c r="E182" i="148" s="1"/>
  <c r="J34" i="148"/>
  <c r="K34" i="148" s="1"/>
  <c r="G83" i="148"/>
  <c r="G104" i="148" s="1"/>
  <c r="F83" i="148"/>
  <c r="F104" i="148" s="1"/>
  <c r="H198" i="148"/>
  <c r="H199" i="148" s="1"/>
  <c r="K42" i="148"/>
  <c r="I173" i="148"/>
  <c r="J100" i="148"/>
  <c r="H144" i="148"/>
  <c r="I121" i="148"/>
  <c r="I182" i="148" s="1"/>
  <c r="G197" i="148"/>
  <c r="K44" i="148"/>
  <c r="J174" i="148"/>
  <c r="H197" i="148"/>
  <c r="J144" i="148"/>
  <c r="I92" i="147"/>
  <c r="E94" i="150" s="1"/>
  <c r="I94" i="150" s="1"/>
  <c r="I90" i="147"/>
  <c r="E92" i="150" s="1"/>
  <c r="I92" i="150" s="1"/>
  <c r="I91" i="147"/>
  <c r="E93" i="150" s="1"/>
  <c r="I93" i="150" s="1"/>
  <c r="G207" i="147"/>
  <c r="F207" i="147"/>
  <c r="E204" i="147"/>
  <c r="E203" i="147"/>
  <c r="H193" i="147"/>
  <c r="H192" i="147"/>
  <c r="G192" i="147"/>
  <c r="H191" i="147"/>
  <c r="G191" i="147"/>
  <c r="F183" i="147"/>
  <c r="F182" i="147"/>
  <c r="J181" i="147"/>
  <c r="F181" i="147"/>
  <c r="F179" i="147"/>
  <c r="F178" i="147"/>
  <c r="F177" i="147"/>
  <c r="F176" i="147"/>
  <c r="F173" i="147"/>
  <c r="F172" i="147"/>
  <c r="H171" i="147"/>
  <c r="F171" i="147"/>
  <c r="J140" i="147"/>
  <c r="J183" i="147" s="1"/>
  <c r="H140" i="147"/>
  <c r="F140" i="147"/>
  <c r="J130" i="147"/>
  <c r="J182" i="147" s="1"/>
  <c r="H130" i="147"/>
  <c r="G130" i="147"/>
  <c r="F130" i="147"/>
  <c r="H124" i="147"/>
  <c r="G124" i="147"/>
  <c r="L119" i="147"/>
  <c r="J119" i="147"/>
  <c r="J180" i="147" s="1"/>
  <c r="H119" i="147"/>
  <c r="G119" i="147"/>
  <c r="F119" i="147"/>
  <c r="E117" i="147"/>
  <c r="E119" i="147" s="1"/>
  <c r="E180" i="147" s="1"/>
  <c r="I116" i="147"/>
  <c r="J114" i="147"/>
  <c r="H114" i="147"/>
  <c r="F114" i="147"/>
  <c r="G193" i="147"/>
  <c r="I101" i="147"/>
  <c r="I100" i="147"/>
  <c r="J100" i="147" s="1"/>
  <c r="K100" i="147" s="1"/>
  <c r="J98" i="147"/>
  <c r="J177" i="147" s="1"/>
  <c r="H98" i="147"/>
  <c r="G98" i="147"/>
  <c r="F98" i="147"/>
  <c r="I95" i="147"/>
  <c r="I79" i="147"/>
  <c r="E79" i="150" s="1"/>
  <c r="I79" i="150" s="1"/>
  <c r="I64" i="147"/>
  <c r="K64" i="147" s="1"/>
  <c r="E61" i="147"/>
  <c r="I55" i="147"/>
  <c r="J55" i="147" s="1"/>
  <c r="I50" i="147"/>
  <c r="J50" i="147" s="1"/>
  <c r="I48" i="147"/>
  <c r="J48" i="147" s="1"/>
  <c r="I46" i="147"/>
  <c r="J46" i="147" s="1"/>
  <c r="K46" i="147" s="1"/>
  <c r="I44" i="147"/>
  <c r="J44" i="147" s="1"/>
  <c r="K44" i="147" s="1"/>
  <c r="I42" i="147"/>
  <c r="K39" i="147"/>
  <c r="J39" i="147"/>
  <c r="I39" i="147"/>
  <c r="H39" i="147"/>
  <c r="G39" i="147"/>
  <c r="F39" i="147"/>
  <c r="E39" i="147"/>
  <c r="H36" i="147"/>
  <c r="G36" i="147"/>
  <c r="F36" i="147"/>
  <c r="E34" i="147"/>
  <c r="I34" i="147" s="1"/>
  <c r="J30" i="147"/>
  <c r="J175" i="147" s="1"/>
  <c r="H30" i="147"/>
  <c r="H146" i="147" s="1"/>
  <c r="G30" i="147"/>
  <c r="F30" i="147"/>
  <c r="J24" i="147"/>
  <c r="J174" i="147" s="1"/>
  <c r="H24" i="147"/>
  <c r="G24" i="147"/>
  <c r="F24" i="147"/>
  <c r="J19" i="147"/>
  <c r="J173" i="147" s="1"/>
  <c r="H19" i="147"/>
  <c r="G19" i="147"/>
  <c r="F19" i="147"/>
  <c r="J12" i="147"/>
  <c r="J172" i="147" s="1"/>
  <c r="H12" i="147"/>
  <c r="G12" i="147"/>
  <c r="F12" i="147"/>
  <c r="K6" i="147"/>
  <c r="F142" i="147" l="1"/>
  <c r="E207" i="147"/>
  <c r="I36" i="147"/>
  <c r="E94" i="153"/>
  <c r="I94" i="153" s="1"/>
  <c r="K94" i="153" s="1"/>
  <c r="K92" i="150"/>
  <c r="E94" i="151"/>
  <c r="I94" i="151" s="1"/>
  <c r="E96" i="153"/>
  <c r="I96" i="153" s="1"/>
  <c r="K96" i="153" s="1"/>
  <c r="K94" i="150"/>
  <c r="E96" i="151"/>
  <c r="I96" i="151" s="1"/>
  <c r="G84" i="147"/>
  <c r="G104" i="147" s="1"/>
  <c r="E81" i="153"/>
  <c r="I81" i="153" s="1"/>
  <c r="K81" i="153" s="1"/>
  <c r="K79" i="150"/>
  <c r="E79" i="151"/>
  <c r="I79" i="151" s="1"/>
  <c r="K95" i="147"/>
  <c r="E97" i="150"/>
  <c r="I97" i="150" s="1"/>
  <c r="E95" i="153"/>
  <c r="I95" i="153" s="1"/>
  <c r="K95" i="153" s="1"/>
  <c r="K93" i="150"/>
  <c r="E95" i="151"/>
  <c r="I95" i="151" s="1"/>
  <c r="T146" i="149"/>
  <c r="V146" i="149" s="1"/>
  <c r="G149" i="149"/>
  <c r="J142" i="147"/>
  <c r="K55" i="147"/>
  <c r="K92" i="147"/>
  <c r="E93" i="148"/>
  <c r="I93" i="148" s="1"/>
  <c r="K79" i="147"/>
  <c r="E78" i="148"/>
  <c r="I78" i="148" s="1"/>
  <c r="J36" i="147"/>
  <c r="K36" i="147" s="1"/>
  <c r="J179" i="147"/>
  <c r="K91" i="147"/>
  <c r="E92" i="148"/>
  <c r="I92" i="148" s="1"/>
  <c r="K90" i="147"/>
  <c r="E91" i="148"/>
  <c r="I91" i="148" s="1"/>
  <c r="F177" i="148"/>
  <c r="F187" i="148" s="1"/>
  <c r="F176" i="148"/>
  <c r="G146" i="148"/>
  <c r="H146" i="148"/>
  <c r="F146" i="148"/>
  <c r="J173" i="148"/>
  <c r="K100" i="148"/>
  <c r="K173" i="148" s="1"/>
  <c r="I117" i="147"/>
  <c r="K117" i="147" s="1"/>
  <c r="H196" i="147"/>
  <c r="H197" i="147" s="1"/>
  <c r="J34" i="147"/>
  <c r="K34" i="147" s="1"/>
  <c r="G146" i="147"/>
  <c r="G140" i="147"/>
  <c r="I89" i="147"/>
  <c r="J101" i="147"/>
  <c r="J171" i="147" s="1"/>
  <c r="H84" i="147"/>
  <c r="H104" i="147" s="1"/>
  <c r="K50" i="147"/>
  <c r="H142" i="147"/>
  <c r="I171" i="147"/>
  <c r="G195" i="147"/>
  <c r="J42" i="147"/>
  <c r="K42" i="147" s="1"/>
  <c r="K48" i="147"/>
  <c r="F84" i="147"/>
  <c r="F104" i="147" s="1"/>
  <c r="G114" i="147"/>
  <c r="K116" i="147"/>
  <c r="H195" i="147"/>
  <c r="G105" i="146"/>
  <c r="G112" i="146" s="1"/>
  <c r="G131" i="146"/>
  <c r="G138" i="146" s="1"/>
  <c r="E61" i="146"/>
  <c r="G205" i="146"/>
  <c r="F205" i="146"/>
  <c r="E202" i="146"/>
  <c r="E201" i="146"/>
  <c r="H191" i="146"/>
  <c r="G191" i="146"/>
  <c r="H190" i="146"/>
  <c r="G190" i="146"/>
  <c r="H189" i="146"/>
  <c r="G189" i="146"/>
  <c r="F181" i="146"/>
  <c r="F180" i="146"/>
  <c r="J179" i="146"/>
  <c r="F179" i="146"/>
  <c r="F177" i="146"/>
  <c r="F176" i="146"/>
  <c r="F175" i="146"/>
  <c r="F174" i="146"/>
  <c r="F171" i="146"/>
  <c r="F170" i="146"/>
  <c r="H169" i="146"/>
  <c r="F169" i="146"/>
  <c r="J138" i="146"/>
  <c r="J181" i="146" s="1"/>
  <c r="H138" i="146"/>
  <c r="F138" i="146"/>
  <c r="J128" i="146"/>
  <c r="J180" i="146" s="1"/>
  <c r="H128" i="146"/>
  <c r="G128" i="146"/>
  <c r="F128" i="146"/>
  <c r="H122" i="146"/>
  <c r="G122" i="146"/>
  <c r="L117" i="146"/>
  <c r="J117" i="146"/>
  <c r="J178" i="146" s="1"/>
  <c r="H117" i="146"/>
  <c r="G117" i="146"/>
  <c r="F117" i="146"/>
  <c r="E115" i="146"/>
  <c r="I114" i="146"/>
  <c r="J112" i="146"/>
  <c r="H112" i="146"/>
  <c r="F112" i="146"/>
  <c r="I99" i="146"/>
  <c r="J99" i="146" s="1"/>
  <c r="K99" i="146" s="1"/>
  <c r="I98" i="146"/>
  <c r="H96" i="146"/>
  <c r="G96" i="146"/>
  <c r="F96" i="146"/>
  <c r="I64" i="146"/>
  <c r="K64" i="146" s="1"/>
  <c r="I55" i="146"/>
  <c r="J55" i="146" s="1"/>
  <c r="I50" i="146"/>
  <c r="J50" i="146" s="1"/>
  <c r="K50" i="146" s="1"/>
  <c r="I48" i="146"/>
  <c r="J48" i="146" s="1"/>
  <c r="I46" i="146"/>
  <c r="I44" i="146"/>
  <c r="J44" i="146" s="1"/>
  <c r="I42" i="146"/>
  <c r="J42" i="146" s="1"/>
  <c r="K42" i="146" s="1"/>
  <c r="K39" i="146"/>
  <c r="J39" i="146"/>
  <c r="I39" i="146"/>
  <c r="H39" i="146"/>
  <c r="G39" i="146"/>
  <c r="F39" i="146"/>
  <c r="E39" i="146"/>
  <c r="H36" i="146"/>
  <c r="G36" i="146"/>
  <c r="F36" i="146"/>
  <c r="E34" i="146"/>
  <c r="I34" i="146" s="1"/>
  <c r="J30" i="146"/>
  <c r="J173" i="146" s="1"/>
  <c r="H30" i="146"/>
  <c r="H144" i="146" s="1"/>
  <c r="G30" i="146"/>
  <c r="F30" i="146"/>
  <c r="J24" i="146"/>
  <c r="J172" i="146" s="1"/>
  <c r="H24" i="146"/>
  <c r="G24" i="146"/>
  <c r="F24" i="146"/>
  <c r="J19" i="146"/>
  <c r="J171" i="146" s="1"/>
  <c r="H19" i="146"/>
  <c r="G19" i="146"/>
  <c r="F19" i="146"/>
  <c r="J12" i="146"/>
  <c r="H12" i="146"/>
  <c r="G12" i="146"/>
  <c r="F12" i="146"/>
  <c r="K6" i="146"/>
  <c r="F144" i="147" l="1"/>
  <c r="H84" i="146"/>
  <c r="G84" i="146"/>
  <c r="K96" i="151"/>
  <c r="E96" i="152"/>
  <c r="I96" i="152" s="1"/>
  <c r="K96" i="152" s="1"/>
  <c r="E99" i="153"/>
  <c r="I99" i="153" s="1"/>
  <c r="K99" i="153" s="1"/>
  <c r="K97" i="150"/>
  <c r="E99" i="151"/>
  <c r="I99" i="151" s="1"/>
  <c r="E95" i="152"/>
  <c r="I95" i="152" s="1"/>
  <c r="K95" i="152" s="1"/>
  <c r="K95" i="151"/>
  <c r="K94" i="151"/>
  <c r="E94" i="152"/>
  <c r="I94" i="152" s="1"/>
  <c r="K94" i="152" s="1"/>
  <c r="E90" i="148"/>
  <c r="I90" i="148" s="1"/>
  <c r="E90" i="149" s="1"/>
  <c r="E91" i="150"/>
  <c r="K79" i="151"/>
  <c r="E79" i="152"/>
  <c r="I79" i="152" s="1"/>
  <c r="K79" i="152" s="1"/>
  <c r="K92" i="148"/>
  <c r="E92" i="149"/>
  <c r="I92" i="149" s="1"/>
  <c r="K92" i="149" s="1"/>
  <c r="K78" i="148"/>
  <c r="E78" i="149"/>
  <c r="I78" i="149" s="1"/>
  <c r="K78" i="149" s="1"/>
  <c r="K91" i="148"/>
  <c r="E91" i="149"/>
  <c r="I91" i="149" s="1"/>
  <c r="K91" i="149" s="1"/>
  <c r="K93" i="148"/>
  <c r="E93" i="149"/>
  <c r="I93" i="149" s="1"/>
  <c r="K93" i="149" s="1"/>
  <c r="I36" i="146"/>
  <c r="J36" i="146" s="1"/>
  <c r="G170" i="148"/>
  <c r="G149" i="148"/>
  <c r="T146" i="148"/>
  <c r="V146" i="148" s="1"/>
  <c r="K119" i="147"/>
  <c r="K180" i="147" s="1"/>
  <c r="I119" i="147"/>
  <c r="I180" i="147" s="1"/>
  <c r="G142" i="147"/>
  <c r="G144" i="147" s="1"/>
  <c r="K89" i="147"/>
  <c r="F175" i="147"/>
  <c r="F185" i="147" s="1"/>
  <c r="F174" i="147"/>
  <c r="H144" i="147"/>
  <c r="K101" i="147"/>
  <c r="K171" i="147" s="1"/>
  <c r="G140" i="146"/>
  <c r="G193" i="146"/>
  <c r="G144" i="146"/>
  <c r="E205" i="146"/>
  <c r="J46" i="146"/>
  <c r="K46" i="146" s="1"/>
  <c r="H194" i="146"/>
  <c r="H195" i="146" s="1"/>
  <c r="G102" i="146"/>
  <c r="I115" i="146"/>
  <c r="K115" i="146" s="1"/>
  <c r="E117" i="146"/>
  <c r="E178" i="146" s="1"/>
  <c r="J170" i="146"/>
  <c r="F84" i="146"/>
  <c r="F102" i="146" s="1"/>
  <c r="H140" i="146"/>
  <c r="J34" i="146"/>
  <c r="K34" i="146" s="1"/>
  <c r="J177" i="146"/>
  <c r="J140" i="146"/>
  <c r="H102" i="146"/>
  <c r="K44" i="146"/>
  <c r="K48" i="146"/>
  <c r="K55" i="146"/>
  <c r="J98" i="146"/>
  <c r="I169" i="146"/>
  <c r="F140" i="146"/>
  <c r="K114" i="146"/>
  <c r="H193" i="146"/>
  <c r="I90" i="145"/>
  <c r="I92" i="145"/>
  <c r="I89" i="145"/>
  <c r="E89" i="146" s="1"/>
  <c r="I89" i="146" s="1"/>
  <c r="J96" i="146" s="1"/>
  <c r="J175" i="146" s="1"/>
  <c r="I79" i="145"/>
  <c r="I93" i="145"/>
  <c r="I75" i="145"/>
  <c r="G205" i="145"/>
  <c r="F205" i="145"/>
  <c r="E202" i="145"/>
  <c r="E201" i="145"/>
  <c r="H191" i="145"/>
  <c r="G191" i="145"/>
  <c r="H190" i="145"/>
  <c r="G190" i="145"/>
  <c r="H189" i="145"/>
  <c r="G189" i="145"/>
  <c r="F181" i="145"/>
  <c r="F180" i="145"/>
  <c r="J179" i="145"/>
  <c r="F179" i="145"/>
  <c r="F177" i="145"/>
  <c r="F176" i="145"/>
  <c r="F175" i="145"/>
  <c r="F174" i="145"/>
  <c r="F171" i="145"/>
  <c r="F170" i="145"/>
  <c r="H169" i="145"/>
  <c r="F169" i="145"/>
  <c r="J138" i="145"/>
  <c r="J181" i="145" s="1"/>
  <c r="H138" i="145"/>
  <c r="G138" i="145"/>
  <c r="F138" i="145"/>
  <c r="J128" i="145"/>
  <c r="J180" i="145" s="1"/>
  <c r="H128" i="145"/>
  <c r="G128" i="145"/>
  <c r="F128" i="145"/>
  <c r="H122" i="145"/>
  <c r="G122" i="145"/>
  <c r="L117" i="145"/>
  <c r="J117" i="145"/>
  <c r="J178" i="145" s="1"/>
  <c r="H117" i="145"/>
  <c r="G117" i="145"/>
  <c r="F117" i="145"/>
  <c r="E115" i="145"/>
  <c r="I114" i="145"/>
  <c r="J112" i="145"/>
  <c r="H112" i="145"/>
  <c r="G112" i="145"/>
  <c r="F112" i="145"/>
  <c r="I99" i="145"/>
  <c r="J99" i="145" s="1"/>
  <c r="K99" i="145" s="1"/>
  <c r="I98" i="145"/>
  <c r="H96" i="145"/>
  <c r="G96" i="145"/>
  <c r="F96" i="145"/>
  <c r="I83" i="145"/>
  <c r="I64" i="145"/>
  <c r="K64" i="145" s="1"/>
  <c r="E61" i="145"/>
  <c r="I55" i="145"/>
  <c r="J55" i="145" s="1"/>
  <c r="I50" i="145"/>
  <c r="J50" i="145" s="1"/>
  <c r="K50" i="145" s="1"/>
  <c r="I48" i="145"/>
  <c r="J48" i="145" s="1"/>
  <c r="I46" i="145"/>
  <c r="J46" i="145" s="1"/>
  <c r="I44" i="145"/>
  <c r="J44" i="145" s="1"/>
  <c r="I42" i="145"/>
  <c r="J42" i="145" s="1"/>
  <c r="K42" i="145" s="1"/>
  <c r="K39" i="145"/>
  <c r="J39" i="145"/>
  <c r="I39" i="145"/>
  <c r="H39" i="145"/>
  <c r="G39" i="145"/>
  <c r="F39" i="145"/>
  <c r="E39" i="145"/>
  <c r="H36" i="145"/>
  <c r="G36" i="145"/>
  <c r="F36" i="145"/>
  <c r="E34" i="145"/>
  <c r="I34" i="145" s="1"/>
  <c r="J34" i="145" s="1"/>
  <c r="J30" i="145"/>
  <c r="J173" i="145" s="1"/>
  <c r="H30" i="145"/>
  <c r="H144" i="145" s="1"/>
  <c r="G30" i="145"/>
  <c r="G144" i="145" s="1"/>
  <c r="F30" i="145"/>
  <c r="J24" i="145"/>
  <c r="J172" i="145" s="1"/>
  <c r="H24" i="145"/>
  <c r="G24" i="145"/>
  <c r="F24" i="145"/>
  <c r="J19" i="145"/>
  <c r="J171" i="145" s="1"/>
  <c r="H19" i="145"/>
  <c r="G19" i="145"/>
  <c r="F19" i="145"/>
  <c r="J12" i="145"/>
  <c r="J170" i="145" s="1"/>
  <c r="H12" i="145"/>
  <c r="G12" i="145"/>
  <c r="F12" i="145"/>
  <c r="K6" i="145"/>
  <c r="F84" i="145" l="1"/>
  <c r="E205" i="145"/>
  <c r="K99" i="151"/>
  <c r="E99" i="152"/>
  <c r="I99" i="152" s="1"/>
  <c r="K99" i="152" s="1"/>
  <c r="G84" i="145"/>
  <c r="G102" i="145" s="1"/>
  <c r="I91" i="150"/>
  <c r="H84" i="145"/>
  <c r="H102" i="145" s="1"/>
  <c r="H142" i="145" s="1"/>
  <c r="I90" i="149"/>
  <c r="I117" i="146"/>
  <c r="I178" i="146" s="1"/>
  <c r="K92" i="145"/>
  <c r="E92" i="146"/>
  <c r="I92" i="146" s="1"/>
  <c r="K92" i="146" s="1"/>
  <c r="F140" i="145"/>
  <c r="K90" i="145"/>
  <c r="E90" i="146"/>
  <c r="I90" i="146" s="1"/>
  <c r="K90" i="146" s="1"/>
  <c r="K89" i="146"/>
  <c r="K90" i="148"/>
  <c r="K117" i="146"/>
  <c r="K178" i="146" s="1"/>
  <c r="G168" i="147"/>
  <c r="G147" i="147"/>
  <c r="T144" i="147"/>
  <c r="V144" i="147" s="1"/>
  <c r="K93" i="145"/>
  <c r="E93" i="146"/>
  <c r="G142" i="146"/>
  <c r="K75" i="145"/>
  <c r="E75" i="146"/>
  <c r="I75" i="146" s="1"/>
  <c r="K75" i="146" s="1"/>
  <c r="H140" i="145"/>
  <c r="K79" i="145"/>
  <c r="E79" i="146"/>
  <c r="I79" i="146" s="1"/>
  <c r="K79" i="146" s="1"/>
  <c r="K46" i="145"/>
  <c r="I36" i="145"/>
  <c r="J36" i="145" s="1"/>
  <c r="K36" i="145" s="1"/>
  <c r="K83" i="145"/>
  <c r="E83" i="146"/>
  <c r="I83" i="146" s="1"/>
  <c r="K83" i="146" s="1"/>
  <c r="H142" i="146"/>
  <c r="F173" i="146"/>
  <c r="F183" i="146" s="1"/>
  <c r="F172" i="146"/>
  <c r="J169" i="146"/>
  <c r="K98" i="146"/>
  <c r="K169" i="146" s="1"/>
  <c r="K36" i="146"/>
  <c r="F142" i="146"/>
  <c r="H194" i="145"/>
  <c r="H195" i="145" s="1"/>
  <c r="G193" i="145"/>
  <c r="G140" i="145"/>
  <c r="I169" i="145"/>
  <c r="J98" i="145"/>
  <c r="J169" i="145" s="1"/>
  <c r="K114" i="145"/>
  <c r="F102" i="145"/>
  <c r="K34" i="145"/>
  <c r="K44" i="145"/>
  <c r="K48" i="145"/>
  <c r="K55" i="145"/>
  <c r="K89" i="145"/>
  <c r="J96" i="145"/>
  <c r="J175" i="145" s="1"/>
  <c r="J177" i="145"/>
  <c r="J140" i="145"/>
  <c r="I91" i="145"/>
  <c r="E117" i="145"/>
  <c r="E178" i="145" s="1"/>
  <c r="I115" i="145"/>
  <c r="K115" i="145" s="1"/>
  <c r="H193" i="145"/>
  <c r="H121" i="144"/>
  <c r="E93" i="153" l="1"/>
  <c r="K91" i="150"/>
  <c r="E93" i="151"/>
  <c r="K98" i="145"/>
  <c r="K169" i="145" s="1"/>
  <c r="K90" i="149"/>
  <c r="K91" i="145"/>
  <c r="E91" i="146"/>
  <c r="I91" i="146" s="1"/>
  <c r="K91" i="146" s="1"/>
  <c r="I93" i="146"/>
  <c r="G166" i="146"/>
  <c r="G145" i="146"/>
  <c r="T142" i="146"/>
  <c r="V142" i="146" s="1"/>
  <c r="G142" i="145"/>
  <c r="G145" i="145" s="1"/>
  <c r="F173" i="145"/>
  <c r="F183" i="145" s="1"/>
  <c r="F172" i="145"/>
  <c r="K117" i="145"/>
  <c r="K178" i="145" s="1"/>
  <c r="I117" i="145"/>
  <c r="I178" i="145" s="1"/>
  <c r="F142" i="145"/>
  <c r="G95" i="144"/>
  <c r="G121" i="144"/>
  <c r="I120" i="144"/>
  <c r="E123" i="147" s="1"/>
  <c r="I123" i="147" s="1"/>
  <c r="E126" i="150" s="1"/>
  <c r="I126" i="150" s="1"/>
  <c r="E128" i="153" s="1"/>
  <c r="I128" i="153" s="1"/>
  <c r="K128" i="153" s="1"/>
  <c r="I92" i="144"/>
  <c r="K92" i="144" s="1"/>
  <c r="I75" i="144"/>
  <c r="I89" i="144"/>
  <c r="K89" i="144" s="1"/>
  <c r="E61" i="144"/>
  <c r="I93" i="151" l="1"/>
  <c r="I93" i="153"/>
  <c r="K126" i="150"/>
  <c r="E128" i="151"/>
  <c r="I128" i="151" s="1"/>
  <c r="K75" i="144"/>
  <c r="E75" i="147"/>
  <c r="I75" i="147" s="1"/>
  <c r="E75" i="150" s="1"/>
  <c r="I75" i="150" s="1"/>
  <c r="E77" i="153" s="1"/>
  <c r="I77" i="153" s="1"/>
  <c r="K77" i="153" s="1"/>
  <c r="E125" i="148"/>
  <c r="I125" i="148" s="1"/>
  <c r="K123" i="147"/>
  <c r="K93" i="146"/>
  <c r="K120" i="144"/>
  <c r="E121" i="145"/>
  <c r="G166" i="145"/>
  <c r="T142" i="145"/>
  <c r="V142" i="145" s="1"/>
  <c r="G204" i="144"/>
  <c r="F204" i="144"/>
  <c r="E201" i="144"/>
  <c r="E200" i="144"/>
  <c r="H190" i="144"/>
  <c r="H189" i="144"/>
  <c r="G189" i="144"/>
  <c r="H188" i="144"/>
  <c r="G188" i="144"/>
  <c r="F180" i="144"/>
  <c r="F179" i="144"/>
  <c r="J178" i="144"/>
  <c r="F178" i="144"/>
  <c r="F176" i="144"/>
  <c r="F175" i="144"/>
  <c r="F174" i="144"/>
  <c r="F173" i="144"/>
  <c r="F170" i="144"/>
  <c r="F169" i="144"/>
  <c r="H168" i="144"/>
  <c r="F168" i="144"/>
  <c r="J137" i="144"/>
  <c r="J180" i="144" s="1"/>
  <c r="H137" i="144"/>
  <c r="G137" i="144"/>
  <c r="F137" i="144"/>
  <c r="J127" i="144"/>
  <c r="J179" i="144" s="1"/>
  <c r="H127" i="144"/>
  <c r="G127" i="144"/>
  <c r="F127" i="144"/>
  <c r="L116" i="144"/>
  <c r="J116" i="144"/>
  <c r="J177" i="144" s="1"/>
  <c r="H116" i="144"/>
  <c r="G116" i="144"/>
  <c r="F116" i="144"/>
  <c r="E114" i="144"/>
  <c r="I113" i="144"/>
  <c r="J111" i="144"/>
  <c r="H111" i="144"/>
  <c r="F111" i="144"/>
  <c r="G111" i="144"/>
  <c r="I98" i="144"/>
  <c r="J98" i="144" s="1"/>
  <c r="I97" i="144"/>
  <c r="J97" i="144" s="1"/>
  <c r="H95" i="144"/>
  <c r="F95" i="144"/>
  <c r="I87" i="144"/>
  <c r="J87" i="144" s="1"/>
  <c r="J95" i="144" s="1"/>
  <c r="J174" i="144" s="1"/>
  <c r="I64" i="144"/>
  <c r="K64" i="144" s="1"/>
  <c r="I50" i="144"/>
  <c r="J50" i="144" s="1"/>
  <c r="I48" i="144"/>
  <c r="J48" i="144" s="1"/>
  <c r="I46" i="144"/>
  <c r="J46" i="144" s="1"/>
  <c r="I44" i="144"/>
  <c r="J44" i="144" s="1"/>
  <c r="K44" i="144" s="1"/>
  <c r="I42" i="144"/>
  <c r="J42" i="144" s="1"/>
  <c r="K39" i="144"/>
  <c r="J39" i="144"/>
  <c r="I39" i="144"/>
  <c r="H39" i="144"/>
  <c r="G39" i="144"/>
  <c r="F39" i="144"/>
  <c r="E39" i="144"/>
  <c r="H36" i="144"/>
  <c r="G36" i="144"/>
  <c r="F36" i="144"/>
  <c r="E34" i="144"/>
  <c r="I34" i="144" s="1"/>
  <c r="J30" i="144"/>
  <c r="J172" i="144" s="1"/>
  <c r="H30" i="144"/>
  <c r="H143" i="144" s="1"/>
  <c r="G30" i="144"/>
  <c r="G143" i="144" s="1"/>
  <c r="F30" i="144"/>
  <c r="J24" i="144"/>
  <c r="J171" i="144" s="1"/>
  <c r="H24" i="144"/>
  <c r="G24" i="144"/>
  <c r="F24" i="144"/>
  <c r="J19" i="144"/>
  <c r="J170" i="144" s="1"/>
  <c r="H19" i="144"/>
  <c r="G19" i="144"/>
  <c r="F19" i="144"/>
  <c r="J12" i="144"/>
  <c r="J169" i="144" s="1"/>
  <c r="H12" i="144"/>
  <c r="G12" i="144"/>
  <c r="F12" i="144"/>
  <c r="K6" i="144"/>
  <c r="G82" i="144" l="1"/>
  <c r="K50" i="144"/>
  <c r="H82" i="144"/>
  <c r="K93" i="153"/>
  <c r="K42" i="144"/>
  <c r="E93" i="152"/>
  <c r="K93" i="151"/>
  <c r="K128" i="151"/>
  <c r="E128" i="152"/>
  <c r="I128" i="152" s="1"/>
  <c r="K128" i="152" s="1"/>
  <c r="K75" i="150"/>
  <c r="E75" i="151"/>
  <c r="I75" i="151" s="1"/>
  <c r="K125" i="148"/>
  <c r="E125" i="149"/>
  <c r="I125" i="149" s="1"/>
  <c r="K125" i="149" s="1"/>
  <c r="J34" i="144"/>
  <c r="K34" i="144" s="1"/>
  <c r="K46" i="144"/>
  <c r="E204" i="144"/>
  <c r="H139" i="144"/>
  <c r="K75" i="147"/>
  <c r="E74" i="148"/>
  <c r="I74" i="148" s="1"/>
  <c r="I121" i="145"/>
  <c r="E121" i="146" s="1"/>
  <c r="I121" i="146" s="1"/>
  <c r="K121" i="146" s="1"/>
  <c r="G139" i="144"/>
  <c r="H101" i="144"/>
  <c r="H192" i="144"/>
  <c r="G101" i="144"/>
  <c r="I36" i="144"/>
  <c r="F139" i="144"/>
  <c r="I114" i="144"/>
  <c r="K114" i="144" s="1"/>
  <c r="E116" i="144"/>
  <c r="E177" i="144" s="1"/>
  <c r="F82" i="144"/>
  <c r="F101" i="144" s="1"/>
  <c r="J168" i="144"/>
  <c r="K97" i="144"/>
  <c r="J176" i="144"/>
  <c r="J139" i="144"/>
  <c r="K48" i="144"/>
  <c r="K87" i="144"/>
  <c r="K98" i="144"/>
  <c r="K113" i="144"/>
  <c r="I168" i="144"/>
  <c r="G190" i="144"/>
  <c r="G192" i="144" s="1"/>
  <c r="G99" i="143"/>
  <c r="I93" i="152" l="1"/>
  <c r="K75" i="151"/>
  <c r="E75" i="152"/>
  <c r="I75" i="152" s="1"/>
  <c r="K75" i="152" s="1"/>
  <c r="K74" i="148"/>
  <c r="E74" i="149"/>
  <c r="I74" i="149" s="1"/>
  <c r="K74" i="149" s="1"/>
  <c r="K121" i="145"/>
  <c r="K168" i="144"/>
  <c r="G141" i="144"/>
  <c r="H141" i="144"/>
  <c r="I116" i="144"/>
  <c r="I177" i="144" s="1"/>
  <c r="H193" i="144"/>
  <c r="H194" i="144" s="1"/>
  <c r="F172" i="144"/>
  <c r="F182" i="144" s="1"/>
  <c r="F171" i="144"/>
  <c r="J36" i="144"/>
  <c r="K116" i="144"/>
  <c r="K177" i="144" s="1"/>
  <c r="F141" i="144"/>
  <c r="E61" i="143"/>
  <c r="K93" i="152" l="1"/>
  <c r="G144" i="144"/>
  <c r="T141" i="144"/>
  <c r="V141" i="144" s="1"/>
  <c r="G165" i="144"/>
  <c r="K36" i="144"/>
  <c r="G198" i="143"/>
  <c r="F198" i="143"/>
  <c r="E195" i="143"/>
  <c r="E194" i="143"/>
  <c r="H184" i="143"/>
  <c r="H183" i="143"/>
  <c r="G183" i="143"/>
  <c r="H182" i="143"/>
  <c r="G182" i="143"/>
  <c r="F174" i="143"/>
  <c r="F173" i="143"/>
  <c r="J172" i="143"/>
  <c r="F172" i="143"/>
  <c r="F170" i="143"/>
  <c r="F169" i="143"/>
  <c r="F168" i="143"/>
  <c r="F167" i="143"/>
  <c r="F164" i="143"/>
  <c r="F163" i="143"/>
  <c r="H162" i="143"/>
  <c r="F162" i="143"/>
  <c r="J131" i="143"/>
  <c r="J174" i="143" s="1"/>
  <c r="H131" i="143"/>
  <c r="G131" i="143"/>
  <c r="F131" i="143"/>
  <c r="J121" i="143"/>
  <c r="J173" i="143" s="1"/>
  <c r="H121" i="143"/>
  <c r="G121" i="143"/>
  <c r="F121" i="143"/>
  <c r="L111" i="143"/>
  <c r="J111" i="143"/>
  <c r="J171" i="143" s="1"/>
  <c r="H111" i="143"/>
  <c r="G111" i="143"/>
  <c r="F111" i="143"/>
  <c r="E109" i="143"/>
  <c r="I109" i="143" s="1"/>
  <c r="K109" i="143" s="1"/>
  <c r="I108" i="143"/>
  <c r="K108" i="143" s="1"/>
  <c r="J106" i="143"/>
  <c r="H106" i="143"/>
  <c r="F106" i="143"/>
  <c r="G184" i="143"/>
  <c r="I93" i="143"/>
  <c r="J93" i="143" s="1"/>
  <c r="K93" i="143" s="1"/>
  <c r="I92" i="143"/>
  <c r="H90" i="143"/>
  <c r="G90" i="143"/>
  <c r="F90" i="143"/>
  <c r="I85" i="143"/>
  <c r="I64" i="143"/>
  <c r="K64" i="143" s="1"/>
  <c r="I50" i="143"/>
  <c r="I48" i="143"/>
  <c r="J48" i="143" s="1"/>
  <c r="I46" i="143"/>
  <c r="J46" i="143" s="1"/>
  <c r="K46" i="143" s="1"/>
  <c r="I44" i="143"/>
  <c r="J44" i="143" s="1"/>
  <c r="K44" i="143" s="1"/>
  <c r="I42" i="143"/>
  <c r="K39" i="143"/>
  <c r="J39" i="143"/>
  <c r="I39" i="143"/>
  <c r="H39" i="143"/>
  <c r="G39" i="143"/>
  <c r="F39" i="143"/>
  <c r="E39" i="143"/>
  <c r="H36" i="143"/>
  <c r="G36" i="143"/>
  <c r="F36" i="143"/>
  <c r="E34" i="143"/>
  <c r="I34" i="143" s="1"/>
  <c r="J30" i="143"/>
  <c r="J166" i="143" s="1"/>
  <c r="H30" i="143"/>
  <c r="H137" i="143" s="1"/>
  <c r="G30" i="143"/>
  <c r="G137" i="143" s="1"/>
  <c r="F30" i="143"/>
  <c r="J24" i="143"/>
  <c r="J165" i="143" s="1"/>
  <c r="H24" i="143"/>
  <c r="G24" i="143"/>
  <c r="F24" i="143"/>
  <c r="J19" i="143"/>
  <c r="J164" i="143" s="1"/>
  <c r="H19" i="143"/>
  <c r="G19" i="143"/>
  <c r="F19" i="143"/>
  <c r="J12" i="143"/>
  <c r="H12" i="143"/>
  <c r="G12" i="143"/>
  <c r="F12" i="143"/>
  <c r="K6" i="143"/>
  <c r="G80" i="143" l="1"/>
  <c r="G96" i="143" s="1"/>
  <c r="E198" i="143"/>
  <c r="H133" i="143"/>
  <c r="I36" i="143"/>
  <c r="I55" i="144"/>
  <c r="I81" i="144"/>
  <c r="G186" i="143"/>
  <c r="H187" i="143"/>
  <c r="H188" i="143" s="1"/>
  <c r="J34" i="143"/>
  <c r="K34" i="143" s="1"/>
  <c r="J85" i="143"/>
  <c r="J90" i="143" s="1"/>
  <c r="J168" i="143" s="1"/>
  <c r="J42" i="143"/>
  <c r="K42" i="143" s="1"/>
  <c r="K48" i="143"/>
  <c r="I162" i="143"/>
  <c r="J133" i="143"/>
  <c r="J170" i="143"/>
  <c r="E111" i="143"/>
  <c r="E171" i="143" s="1"/>
  <c r="I111" i="143"/>
  <c r="I171" i="143" s="1"/>
  <c r="J163" i="143"/>
  <c r="H80" i="143"/>
  <c r="H96" i="143" s="1"/>
  <c r="H135" i="143" s="1"/>
  <c r="F80" i="143"/>
  <c r="F96" i="143" s="1"/>
  <c r="J92" i="143"/>
  <c r="J162" i="143" s="1"/>
  <c r="F133" i="143"/>
  <c r="H186" i="143"/>
  <c r="J36" i="143"/>
  <c r="K36" i="143" s="1"/>
  <c r="J50" i="143"/>
  <c r="K50" i="143" s="1"/>
  <c r="K111" i="143"/>
  <c r="K171" i="143" s="1"/>
  <c r="G106" i="143"/>
  <c r="G133" i="143" s="1"/>
  <c r="H103" i="142"/>
  <c r="K81" i="144" l="1"/>
  <c r="E83" i="147"/>
  <c r="I83" i="147" s="1"/>
  <c r="E83" i="150" s="1"/>
  <c r="I83" i="150" s="1"/>
  <c r="E85" i="153" s="1"/>
  <c r="I85" i="153" s="1"/>
  <c r="K85" i="153" s="1"/>
  <c r="J55" i="144"/>
  <c r="K55" i="144" s="1"/>
  <c r="G135" i="143"/>
  <c r="G159" i="143" s="1"/>
  <c r="K85" i="143"/>
  <c r="F166" i="143"/>
  <c r="F176" i="143" s="1"/>
  <c r="F165" i="143"/>
  <c r="K92" i="143"/>
  <c r="K162" i="143" s="1"/>
  <c r="F135" i="143"/>
  <c r="E109" i="142"/>
  <c r="I109" i="142" s="1"/>
  <c r="K109" i="142" s="1"/>
  <c r="G198" i="142"/>
  <c r="F198" i="142"/>
  <c r="E195" i="142"/>
  <c r="E194" i="142"/>
  <c r="H184" i="142"/>
  <c r="H183" i="142"/>
  <c r="G183" i="142"/>
  <c r="H182" i="142"/>
  <c r="G182" i="142"/>
  <c r="F174" i="142"/>
  <c r="F173" i="142"/>
  <c r="J172" i="142"/>
  <c r="F172" i="142"/>
  <c r="F170" i="142"/>
  <c r="F169" i="142"/>
  <c r="F168" i="142"/>
  <c r="F167" i="142"/>
  <c r="F164" i="142"/>
  <c r="F163" i="142"/>
  <c r="H162" i="142"/>
  <c r="F162" i="142"/>
  <c r="J131" i="142"/>
  <c r="J174" i="142" s="1"/>
  <c r="H131" i="142"/>
  <c r="G131" i="142"/>
  <c r="F131" i="142"/>
  <c r="J121" i="142"/>
  <c r="J173" i="142" s="1"/>
  <c r="H121" i="142"/>
  <c r="G121" i="142"/>
  <c r="F121" i="142"/>
  <c r="L111" i="142"/>
  <c r="J111" i="142"/>
  <c r="J171" i="142" s="1"/>
  <c r="H111" i="142"/>
  <c r="G111" i="142"/>
  <c r="F111" i="142"/>
  <c r="I108" i="142"/>
  <c r="K108" i="142" s="1"/>
  <c r="J106" i="142"/>
  <c r="H106" i="142"/>
  <c r="F106" i="142"/>
  <c r="G184" i="142"/>
  <c r="I93" i="142"/>
  <c r="J93" i="142" s="1"/>
  <c r="K93" i="142" s="1"/>
  <c r="I92" i="142"/>
  <c r="H90" i="142"/>
  <c r="G90" i="142"/>
  <c r="F90" i="142"/>
  <c r="I85" i="142"/>
  <c r="J85" i="142" s="1"/>
  <c r="J90" i="142" s="1"/>
  <c r="J168" i="142" s="1"/>
  <c r="I79" i="142"/>
  <c r="I65" i="142"/>
  <c r="E65" i="143" s="1"/>
  <c r="I65" i="143" s="1"/>
  <c r="J65" i="143" s="1"/>
  <c r="K65" i="143" s="1"/>
  <c r="I64" i="142"/>
  <c r="K64" i="142" s="1"/>
  <c r="I57" i="142"/>
  <c r="E57" i="143" s="1"/>
  <c r="I57" i="143" s="1"/>
  <c r="K57" i="143" s="1"/>
  <c r="I55" i="142"/>
  <c r="I50" i="142"/>
  <c r="J50" i="142" s="1"/>
  <c r="I48" i="142"/>
  <c r="J48" i="142" s="1"/>
  <c r="I46" i="142"/>
  <c r="J46" i="142" s="1"/>
  <c r="K46" i="142" s="1"/>
  <c r="I44" i="142"/>
  <c r="J44" i="142" s="1"/>
  <c r="I42" i="142"/>
  <c r="J42" i="142" s="1"/>
  <c r="K39" i="142"/>
  <c r="J39" i="142"/>
  <c r="I39" i="142"/>
  <c r="H39" i="142"/>
  <c r="G39" i="142"/>
  <c r="F39" i="142"/>
  <c r="E39" i="142"/>
  <c r="H36" i="142"/>
  <c r="G36" i="142"/>
  <c r="F36" i="142"/>
  <c r="E34" i="142"/>
  <c r="I34" i="142" s="1"/>
  <c r="J34" i="142" s="1"/>
  <c r="J30" i="142"/>
  <c r="J166" i="142" s="1"/>
  <c r="H30" i="142"/>
  <c r="H137" i="142" s="1"/>
  <c r="G30" i="142"/>
  <c r="G137" i="142" s="1"/>
  <c r="F30" i="142"/>
  <c r="J24" i="142"/>
  <c r="J165" i="142" s="1"/>
  <c r="H24" i="142"/>
  <c r="G24" i="142"/>
  <c r="F24" i="142"/>
  <c r="J19" i="142"/>
  <c r="J164" i="142" s="1"/>
  <c r="H19" i="142"/>
  <c r="G19" i="142"/>
  <c r="F19" i="142"/>
  <c r="I17" i="142"/>
  <c r="J12" i="142"/>
  <c r="H12" i="142"/>
  <c r="G12" i="142"/>
  <c r="F12" i="142"/>
  <c r="K6" i="142"/>
  <c r="E198" i="142" l="1"/>
  <c r="H80" i="142"/>
  <c r="J133" i="142"/>
  <c r="I36" i="142"/>
  <c r="J36" i="142" s="1"/>
  <c r="K83" i="150"/>
  <c r="E85" i="151"/>
  <c r="I85" i="151" s="1"/>
  <c r="J170" i="142"/>
  <c r="F133" i="142"/>
  <c r="E82" i="148"/>
  <c r="I82" i="148" s="1"/>
  <c r="K83" i="147"/>
  <c r="G80" i="142"/>
  <c r="K79" i="142"/>
  <c r="E79" i="143"/>
  <c r="I79" i="143" s="1"/>
  <c r="K79" i="143" s="1"/>
  <c r="K17" i="142"/>
  <c r="E17" i="143"/>
  <c r="I17" i="143" s="1"/>
  <c r="K17" i="143" s="1"/>
  <c r="J55" i="142"/>
  <c r="K55" i="142" s="1"/>
  <c r="E55" i="143"/>
  <c r="I55" i="143" s="1"/>
  <c r="J55" i="143" s="1"/>
  <c r="K57" i="142"/>
  <c r="J65" i="142"/>
  <c r="K65" i="142" s="1"/>
  <c r="H133" i="142"/>
  <c r="G138" i="143"/>
  <c r="T135" i="143"/>
  <c r="V135" i="143" s="1"/>
  <c r="H186" i="142"/>
  <c r="H187" i="142"/>
  <c r="H188" i="142" s="1"/>
  <c r="G96" i="142"/>
  <c r="K111" i="142"/>
  <c r="K171" i="142" s="1"/>
  <c r="E111" i="142"/>
  <c r="E171" i="142" s="1"/>
  <c r="I111" i="142"/>
  <c r="I171" i="142" s="1"/>
  <c r="J163" i="142"/>
  <c r="K44" i="142"/>
  <c r="H96" i="142"/>
  <c r="K42" i="142"/>
  <c r="K50" i="142"/>
  <c r="F80" i="142"/>
  <c r="F96" i="142" s="1"/>
  <c r="I162" i="142"/>
  <c r="J92" i="142"/>
  <c r="J162" i="142" s="1"/>
  <c r="K34" i="142"/>
  <c r="K48" i="142"/>
  <c r="G106" i="142"/>
  <c r="G133" i="142" s="1"/>
  <c r="G186" i="142"/>
  <c r="K85" i="142"/>
  <c r="G99" i="141"/>
  <c r="E109" i="141"/>
  <c r="I109" i="141" s="1"/>
  <c r="K109" i="141" s="1"/>
  <c r="G198" i="141"/>
  <c r="F198" i="141"/>
  <c r="E195" i="141"/>
  <c r="E194" i="141"/>
  <c r="H184" i="141"/>
  <c r="H183" i="141"/>
  <c r="G183" i="141"/>
  <c r="H182" i="141"/>
  <c r="G182" i="141"/>
  <c r="F174" i="141"/>
  <c r="F173" i="141"/>
  <c r="J172" i="141"/>
  <c r="F172" i="141"/>
  <c r="F170" i="141"/>
  <c r="F169" i="141"/>
  <c r="F168" i="141"/>
  <c r="F167" i="141"/>
  <c r="F164" i="141"/>
  <c r="F163" i="141"/>
  <c r="H162" i="141"/>
  <c r="F162" i="141"/>
  <c r="J131" i="141"/>
  <c r="J174" i="141" s="1"/>
  <c r="H131" i="141"/>
  <c r="G131" i="141"/>
  <c r="F131" i="141"/>
  <c r="J121" i="141"/>
  <c r="J173" i="141" s="1"/>
  <c r="H121" i="141"/>
  <c r="G121" i="141"/>
  <c r="F121" i="141"/>
  <c r="L111" i="141"/>
  <c r="J111" i="141"/>
  <c r="J171" i="141" s="1"/>
  <c r="H111" i="141"/>
  <c r="G111" i="141"/>
  <c r="F111" i="141"/>
  <c r="I108" i="141"/>
  <c r="J106" i="141"/>
  <c r="J170" i="141" s="1"/>
  <c r="H106" i="141"/>
  <c r="F106" i="141"/>
  <c r="G106" i="141"/>
  <c r="I93" i="141"/>
  <c r="I92" i="141"/>
  <c r="J92" i="141" s="1"/>
  <c r="H90" i="141"/>
  <c r="G90" i="141"/>
  <c r="F90" i="141"/>
  <c r="I85" i="141"/>
  <c r="J85" i="141" s="1"/>
  <c r="J90" i="141" s="1"/>
  <c r="J168" i="141" s="1"/>
  <c r="I65" i="141"/>
  <c r="J65" i="141" s="1"/>
  <c r="K65" i="141" s="1"/>
  <c r="I64" i="141"/>
  <c r="K64" i="141" s="1"/>
  <c r="I57" i="141"/>
  <c r="K57" i="141" s="1"/>
  <c r="I55" i="141"/>
  <c r="I50" i="141"/>
  <c r="J50" i="141" s="1"/>
  <c r="K50" i="141" s="1"/>
  <c r="I48" i="141"/>
  <c r="J48" i="141" s="1"/>
  <c r="I46" i="141"/>
  <c r="I44" i="141"/>
  <c r="J44" i="141" s="1"/>
  <c r="I42" i="141"/>
  <c r="J42" i="141" s="1"/>
  <c r="K42" i="141" s="1"/>
  <c r="K39" i="141"/>
  <c r="J39" i="141"/>
  <c r="I39" i="141"/>
  <c r="H39" i="141"/>
  <c r="G39" i="141"/>
  <c r="F39" i="141"/>
  <c r="E39" i="141"/>
  <c r="H36" i="141"/>
  <c r="G36" i="141"/>
  <c r="F36" i="141"/>
  <c r="E34" i="141"/>
  <c r="I34" i="141" s="1"/>
  <c r="J34" i="141" s="1"/>
  <c r="J30" i="141"/>
  <c r="J166" i="141" s="1"/>
  <c r="H30" i="141"/>
  <c r="H137" i="141" s="1"/>
  <c r="G30" i="141"/>
  <c r="G137" i="141" s="1"/>
  <c r="F30" i="141"/>
  <c r="J24" i="141"/>
  <c r="J165" i="141" s="1"/>
  <c r="H24" i="141"/>
  <c r="G24" i="141"/>
  <c r="F24" i="141"/>
  <c r="J19" i="141"/>
  <c r="J164" i="141" s="1"/>
  <c r="H19" i="141"/>
  <c r="G19" i="141"/>
  <c r="F19" i="141"/>
  <c r="I17" i="141"/>
  <c r="K17" i="141" s="1"/>
  <c r="J12" i="141"/>
  <c r="J163" i="141" s="1"/>
  <c r="H12" i="141"/>
  <c r="G12" i="141"/>
  <c r="F12" i="141"/>
  <c r="K6" i="141"/>
  <c r="J80" i="142" l="1"/>
  <c r="J167" i="142" s="1"/>
  <c r="H135" i="142"/>
  <c r="E198" i="141"/>
  <c r="H80" i="141"/>
  <c r="H96" i="141" s="1"/>
  <c r="K85" i="151"/>
  <c r="E85" i="152"/>
  <c r="I85" i="152" s="1"/>
  <c r="K85" i="152" s="1"/>
  <c r="K82" i="148"/>
  <c r="E82" i="149"/>
  <c r="I82" i="149" s="1"/>
  <c r="K82" i="149" s="1"/>
  <c r="F133" i="141"/>
  <c r="K55" i="143"/>
  <c r="J80" i="143"/>
  <c r="G133" i="141"/>
  <c r="G80" i="141"/>
  <c r="G96" i="141" s="1"/>
  <c r="J46" i="141"/>
  <c r="K46" i="141" s="1"/>
  <c r="K85" i="141"/>
  <c r="H133" i="141"/>
  <c r="J176" i="142"/>
  <c r="G135" i="142"/>
  <c r="G138" i="142" s="1"/>
  <c r="F166" i="142"/>
  <c r="F176" i="142" s="1"/>
  <c r="F165" i="142"/>
  <c r="F135" i="142"/>
  <c r="J96" i="142"/>
  <c r="J135" i="142" s="1"/>
  <c r="K36" i="142"/>
  <c r="K92" i="142"/>
  <c r="K162" i="142" s="1"/>
  <c r="J55" i="141"/>
  <c r="K55" i="141" s="1"/>
  <c r="I162" i="141"/>
  <c r="I111" i="141"/>
  <c r="I171" i="141" s="1"/>
  <c r="K108" i="141"/>
  <c r="K111" i="141" s="1"/>
  <c r="K171" i="141" s="1"/>
  <c r="K34" i="141"/>
  <c r="K44" i="141"/>
  <c r="K48" i="141"/>
  <c r="J93" i="141"/>
  <c r="J162" i="141" s="1"/>
  <c r="F80" i="141"/>
  <c r="F96" i="141" s="1"/>
  <c r="I36" i="141"/>
  <c r="H186" i="141"/>
  <c r="E111" i="141"/>
  <c r="E171" i="141" s="1"/>
  <c r="J133" i="141"/>
  <c r="G184" i="141"/>
  <c r="H187" i="141" s="1"/>
  <c r="H188" i="141" s="1"/>
  <c r="K92" i="141"/>
  <c r="G99" i="140"/>
  <c r="G184" i="140" s="1"/>
  <c r="I79" i="140"/>
  <c r="G198" i="140"/>
  <c r="F198" i="140"/>
  <c r="E195" i="140"/>
  <c r="E194" i="140"/>
  <c r="H184" i="140"/>
  <c r="H183" i="140"/>
  <c r="G183" i="140"/>
  <c r="H182" i="140"/>
  <c r="G182" i="140"/>
  <c r="F174" i="140"/>
  <c r="F173" i="140"/>
  <c r="J172" i="140"/>
  <c r="F172" i="140"/>
  <c r="F170" i="140"/>
  <c r="F169" i="140"/>
  <c r="F168" i="140"/>
  <c r="F167" i="140"/>
  <c r="F164" i="140"/>
  <c r="F163" i="140"/>
  <c r="H162" i="140"/>
  <c r="F162" i="140"/>
  <c r="J131" i="140"/>
  <c r="J174" i="140" s="1"/>
  <c r="H131" i="140"/>
  <c r="G131" i="140"/>
  <c r="F131" i="140"/>
  <c r="J121" i="140"/>
  <c r="J173" i="140" s="1"/>
  <c r="H121" i="140"/>
  <c r="G121" i="140"/>
  <c r="F121" i="140"/>
  <c r="L111" i="140"/>
  <c r="J111" i="140"/>
  <c r="J171" i="140" s="1"/>
  <c r="H111" i="140"/>
  <c r="G111" i="140"/>
  <c r="F111" i="140"/>
  <c r="E109" i="140"/>
  <c r="I109" i="140" s="1"/>
  <c r="K109" i="140" s="1"/>
  <c r="I108" i="140"/>
  <c r="J106" i="140"/>
  <c r="J170" i="140" s="1"/>
  <c r="H106" i="140"/>
  <c r="F106" i="140"/>
  <c r="I93" i="140"/>
  <c r="J93" i="140" s="1"/>
  <c r="I92" i="140"/>
  <c r="H90" i="140"/>
  <c r="G90" i="140"/>
  <c r="F90" i="140"/>
  <c r="I85" i="140"/>
  <c r="J85" i="140" s="1"/>
  <c r="J90" i="140" s="1"/>
  <c r="J168" i="140" s="1"/>
  <c r="I65" i="140"/>
  <c r="J65" i="140" s="1"/>
  <c r="I64" i="140"/>
  <c r="K64" i="140" s="1"/>
  <c r="I57" i="140"/>
  <c r="K57" i="140" s="1"/>
  <c r="I55" i="140"/>
  <c r="I50" i="140"/>
  <c r="J50" i="140" s="1"/>
  <c r="K50" i="140" s="1"/>
  <c r="I48" i="140"/>
  <c r="I46" i="140"/>
  <c r="J46" i="140" s="1"/>
  <c r="I44" i="140"/>
  <c r="I42" i="140"/>
  <c r="J42" i="140" s="1"/>
  <c r="K42" i="140" s="1"/>
  <c r="K39" i="140"/>
  <c r="J39" i="140"/>
  <c r="I39" i="140"/>
  <c r="H39" i="140"/>
  <c r="G39" i="140"/>
  <c r="F39" i="140"/>
  <c r="E39" i="140"/>
  <c r="H36" i="140"/>
  <c r="G36" i="140"/>
  <c r="F36" i="140"/>
  <c r="E34" i="140"/>
  <c r="I34" i="140" s="1"/>
  <c r="J34" i="140" s="1"/>
  <c r="J30" i="140"/>
  <c r="J166" i="140" s="1"/>
  <c r="H30" i="140"/>
  <c r="H137" i="140" s="1"/>
  <c r="G30" i="140"/>
  <c r="G137" i="140" s="1"/>
  <c r="F30" i="140"/>
  <c r="J24" i="140"/>
  <c r="J165" i="140" s="1"/>
  <c r="H24" i="140"/>
  <c r="G24" i="140"/>
  <c r="F24" i="140"/>
  <c r="J19" i="140"/>
  <c r="J164" i="140" s="1"/>
  <c r="H19" i="140"/>
  <c r="G19" i="140"/>
  <c r="F19" i="140"/>
  <c r="I17" i="140"/>
  <c r="K17" i="140" s="1"/>
  <c r="J12" i="140"/>
  <c r="H12" i="140"/>
  <c r="G12" i="140"/>
  <c r="F12" i="140"/>
  <c r="K6" i="140"/>
  <c r="G135" i="141" l="1"/>
  <c r="G106" i="140"/>
  <c r="H135" i="141"/>
  <c r="K93" i="141"/>
  <c r="K162" i="141" s="1"/>
  <c r="G80" i="140"/>
  <c r="G96" i="140" s="1"/>
  <c r="H80" i="140"/>
  <c r="H96" i="140" s="1"/>
  <c r="F133" i="140"/>
  <c r="J133" i="140"/>
  <c r="E198" i="140"/>
  <c r="J178" i="142"/>
  <c r="J167" i="143"/>
  <c r="J176" i="143" s="1"/>
  <c r="J96" i="143"/>
  <c r="J135" i="143" s="1"/>
  <c r="K79" i="140"/>
  <c r="E79" i="141"/>
  <c r="I79" i="141" s="1"/>
  <c r="K79" i="141" s="1"/>
  <c r="K85" i="140"/>
  <c r="K34" i="140"/>
  <c r="J48" i="140"/>
  <c r="K48" i="140" s="1"/>
  <c r="J55" i="140"/>
  <c r="K55" i="140" s="1"/>
  <c r="I36" i="140"/>
  <c r="J36" i="140" s="1"/>
  <c r="G159" i="142"/>
  <c r="T135" i="142"/>
  <c r="V135" i="142" s="1"/>
  <c r="E111" i="140"/>
  <c r="E171" i="140" s="1"/>
  <c r="G186" i="141"/>
  <c r="F166" i="141"/>
  <c r="F176" i="141" s="1"/>
  <c r="F165" i="141"/>
  <c r="F135" i="141"/>
  <c r="J36" i="141"/>
  <c r="I111" i="140"/>
  <c r="I171" i="140" s="1"/>
  <c r="G186" i="140"/>
  <c r="H187" i="140"/>
  <c r="H188" i="140" s="1"/>
  <c r="G133" i="140"/>
  <c r="F80" i="140"/>
  <c r="F96" i="140" s="1"/>
  <c r="K108" i="140"/>
  <c r="K111" i="140" s="1"/>
  <c r="K171" i="140" s="1"/>
  <c r="J163" i="140"/>
  <c r="J44" i="140"/>
  <c r="K44" i="140" s="1"/>
  <c r="I162" i="140"/>
  <c r="J92" i="140"/>
  <c r="J162" i="140" s="1"/>
  <c r="H133" i="140"/>
  <c r="K46" i="140"/>
  <c r="K65" i="140"/>
  <c r="K93" i="140"/>
  <c r="H186" i="140"/>
  <c r="G124" i="139"/>
  <c r="G123" i="139"/>
  <c r="G131" i="139" s="1"/>
  <c r="G198" i="139"/>
  <c r="F198" i="139"/>
  <c r="E195" i="139"/>
  <c r="E194" i="139"/>
  <c r="H184" i="139"/>
  <c r="G184" i="139"/>
  <c r="H183" i="139"/>
  <c r="G183" i="139"/>
  <c r="H182" i="139"/>
  <c r="G182" i="139"/>
  <c r="F174" i="139"/>
  <c r="F173" i="139"/>
  <c r="J172" i="139"/>
  <c r="F172" i="139"/>
  <c r="F170" i="139"/>
  <c r="F169" i="139"/>
  <c r="F168" i="139"/>
  <c r="F167" i="139"/>
  <c r="F164" i="139"/>
  <c r="F163" i="139"/>
  <c r="H162" i="139"/>
  <c r="F162" i="139"/>
  <c r="J131" i="139"/>
  <c r="J174" i="139" s="1"/>
  <c r="H131" i="139"/>
  <c r="F131" i="139"/>
  <c r="J121" i="139"/>
  <c r="J173" i="139" s="1"/>
  <c r="H121" i="139"/>
  <c r="G121" i="139"/>
  <c r="F121" i="139"/>
  <c r="L111" i="139"/>
  <c r="J111" i="139"/>
  <c r="J171" i="139" s="1"/>
  <c r="H111" i="139"/>
  <c r="G111" i="139"/>
  <c r="F111" i="139"/>
  <c r="E109" i="139"/>
  <c r="I109" i="139" s="1"/>
  <c r="K109" i="139" s="1"/>
  <c r="I108" i="139"/>
  <c r="J106" i="139"/>
  <c r="J170" i="139" s="1"/>
  <c r="H106" i="139"/>
  <c r="F106" i="139"/>
  <c r="G106" i="139"/>
  <c r="I93" i="139"/>
  <c r="J93" i="139" s="1"/>
  <c r="I92" i="139"/>
  <c r="H90" i="139"/>
  <c r="G90" i="139"/>
  <c r="F90" i="139"/>
  <c r="I85" i="139"/>
  <c r="J85" i="139" s="1"/>
  <c r="J90" i="139" s="1"/>
  <c r="J168" i="139" s="1"/>
  <c r="I65" i="139"/>
  <c r="J65" i="139" s="1"/>
  <c r="I64" i="139"/>
  <c r="K64" i="139" s="1"/>
  <c r="I57" i="139"/>
  <c r="K57" i="139" s="1"/>
  <c r="I55" i="139"/>
  <c r="J55" i="139" s="1"/>
  <c r="K55" i="139" s="1"/>
  <c r="I50" i="139"/>
  <c r="J50" i="139" s="1"/>
  <c r="K50" i="139" s="1"/>
  <c r="I48" i="139"/>
  <c r="J48" i="139" s="1"/>
  <c r="K48" i="139" s="1"/>
  <c r="I46" i="139"/>
  <c r="J46" i="139" s="1"/>
  <c r="I44" i="139"/>
  <c r="I42" i="139"/>
  <c r="J42" i="139" s="1"/>
  <c r="K42" i="139" s="1"/>
  <c r="K39" i="139"/>
  <c r="J39" i="139"/>
  <c r="I39" i="139"/>
  <c r="H39" i="139"/>
  <c r="G39" i="139"/>
  <c r="F39" i="139"/>
  <c r="E39" i="139"/>
  <c r="H36" i="139"/>
  <c r="G36" i="139"/>
  <c r="F36" i="139"/>
  <c r="E34" i="139"/>
  <c r="I34" i="139" s="1"/>
  <c r="J34" i="139" s="1"/>
  <c r="J30" i="139"/>
  <c r="J166" i="139" s="1"/>
  <c r="H30" i="139"/>
  <c r="H137" i="139" s="1"/>
  <c r="G30" i="139"/>
  <c r="F30" i="139"/>
  <c r="J24" i="139"/>
  <c r="J165" i="139" s="1"/>
  <c r="H24" i="139"/>
  <c r="G24" i="139"/>
  <c r="F24" i="139"/>
  <c r="J19" i="139"/>
  <c r="J164" i="139" s="1"/>
  <c r="H19" i="139"/>
  <c r="G19" i="139"/>
  <c r="F19" i="139"/>
  <c r="I17" i="139"/>
  <c r="K17" i="139" s="1"/>
  <c r="J12" i="139"/>
  <c r="H12" i="139"/>
  <c r="G12" i="139"/>
  <c r="F12" i="139"/>
  <c r="K6" i="139"/>
  <c r="F80" i="139" l="1"/>
  <c r="G159" i="141"/>
  <c r="G138" i="141"/>
  <c r="T135" i="141"/>
  <c r="V135" i="141" s="1"/>
  <c r="H135" i="140"/>
  <c r="H80" i="139"/>
  <c r="H96" i="139" s="1"/>
  <c r="F133" i="139"/>
  <c r="K92" i="140"/>
  <c r="K162" i="140" s="1"/>
  <c r="J133" i="139"/>
  <c r="J178" i="143"/>
  <c r="J80" i="140"/>
  <c r="J167" i="140" s="1"/>
  <c r="J176" i="140" s="1"/>
  <c r="K36" i="140"/>
  <c r="H133" i="139"/>
  <c r="I36" i="139"/>
  <c r="J36" i="139" s="1"/>
  <c r="E198" i="139"/>
  <c r="J80" i="141"/>
  <c r="K36" i="141"/>
  <c r="G135" i="140"/>
  <c r="F166" i="140"/>
  <c r="F176" i="140" s="1"/>
  <c r="F135" i="140"/>
  <c r="F165" i="140"/>
  <c r="E111" i="139"/>
  <c r="E171" i="139" s="1"/>
  <c r="H187" i="139"/>
  <c r="H188" i="139" s="1"/>
  <c r="G186" i="139"/>
  <c r="G133" i="139"/>
  <c r="F96" i="139"/>
  <c r="I162" i="139"/>
  <c r="J92" i="139"/>
  <c r="J162" i="139" s="1"/>
  <c r="I111" i="139"/>
  <c r="I171" i="139" s="1"/>
  <c r="K108" i="139"/>
  <c r="K111" i="139" s="1"/>
  <c r="K171" i="139" s="1"/>
  <c r="G137" i="139"/>
  <c r="J163" i="139"/>
  <c r="J44" i="139"/>
  <c r="K44" i="139" s="1"/>
  <c r="K34" i="139"/>
  <c r="K46" i="139"/>
  <c r="K65" i="139"/>
  <c r="K85" i="139"/>
  <c r="K93" i="139"/>
  <c r="H186" i="139"/>
  <c r="G80" i="139"/>
  <c r="G96" i="139" s="1"/>
  <c r="G99" i="138"/>
  <c r="G184" i="138" s="1"/>
  <c r="G198" i="138"/>
  <c r="F198" i="138"/>
  <c r="E195" i="138"/>
  <c r="E194" i="138"/>
  <c r="H184" i="138"/>
  <c r="H183" i="138"/>
  <c r="G183" i="138"/>
  <c r="H182" i="138"/>
  <c r="G182" i="138"/>
  <c r="F174" i="138"/>
  <c r="F173" i="138"/>
  <c r="J172" i="138"/>
  <c r="F172" i="138"/>
  <c r="F170" i="138"/>
  <c r="F169" i="138"/>
  <c r="F168" i="138"/>
  <c r="F167" i="138"/>
  <c r="F164" i="138"/>
  <c r="F163" i="138"/>
  <c r="H162" i="138"/>
  <c r="F162" i="138"/>
  <c r="J131" i="138"/>
  <c r="J174" i="138" s="1"/>
  <c r="H131" i="138"/>
  <c r="G131" i="138"/>
  <c r="F131" i="138"/>
  <c r="J121" i="138"/>
  <c r="J173" i="138" s="1"/>
  <c r="H121" i="138"/>
  <c r="G121" i="138"/>
  <c r="F121" i="138"/>
  <c r="L111" i="138"/>
  <c r="J111" i="138"/>
  <c r="J171" i="138" s="1"/>
  <c r="H111" i="138"/>
  <c r="G111" i="138"/>
  <c r="F111" i="138"/>
  <c r="E109" i="138"/>
  <c r="E111" i="138" s="1"/>
  <c r="E171" i="138" s="1"/>
  <c r="I108" i="138"/>
  <c r="J106" i="138"/>
  <c r="J170" i="138" s="1"/>
  <c r="H106" i="138"/>
  <c r="F106" i="138"/>
  <c r="I93" i="138"/>
  <c r="I92" i="138"/>
  <c r="H90" i="138"/>
  <c r="G90" i="138"/>
  <c r="F90" i="138"/>
  <c r="I85" i="138"/>
  <c r="J85" i="138" s="1"/>
  <c r="I65" i="138"/>
  <c r="I64" i="138"/>
  <c r="K64" i="138" s="1"/>
  <c r="I57" i="138"/>
  <c r="K57" i="138" s="1"/>
  <c r="I55" i="138"/>
  <c r="I50" i="138"/>
  <c r="J50" i="138" s="1"/>
  <c r="K50" i="138" s="1"/>
  <c r="I48" i="138"/>
  <c r="J48" i="138" s="1"/>
  <c r="K48" i="138" s="1"/>
  <c r="I46" i="138"/>
  <c r="J46" i="138" s="1"/>
  <c r="I44" i="138"/>
  <c r="J44" i="138" s="1"/>
  <c r="I42" i="138"/>
  <c r="J42" i="138" s="1"/>
  <c r="K42" i="138" s="1"/>
  <c r="K39" i="138"/>
  <c r="J39" i="138"/>
  <c r="I39" i="138"/>
  <c r="H39" i="138"/>
  <c r="G39" i="138"/>
  <c r="F39" i="138"/>
  <c r="E39" i="138"/>
  <c r="H36" i="138"/>
  <c r="G36" i="138"/>
  <c r="F36" i="138"/>
  <c r="E34" i="138"/>
  <c r="I34" i="138" s="1"/>
  <c r="J34" i="138" s="1"/>
  <c r="J30" i="138"/>
  <c r="J166" i="138" s="1"/>
  <c r="H30" i="138"/>
  <c r="H137" i="138" s="1"/>
  <c r="G30" i="138"/>
  <c r="G137" i="138" s="1"/>
  <c r="F30" i="138"/>
  <c r="J24" i="138"/>
  <c r="J165" i="138" s="1"/>
  <c r="H24" i="138"/>
  <c r="G24" i="138"/>
  <c r="F24" i="138"/>
  <c r="J19" i="138"/>
  <c r="J164" i="138" s="1"/>
  <c r="H19" i="138"/>
  <c r="G19" i="138"/>
  <c r="F19" i="138"/>
  <c r="I17" i="138"/>
  <c r="K17" i="138" s="1"/>
  <c r="J12" i="138"/>
  <c r="H12" i="138"/>
  <c r="G12" i="138"/>
  <c r="F12" i="138"/>
  <c r="K6" i="138"/>
  <c r="G159" i="140" l="1"/>
  <c r="G80" i="138"/>
  <c r="G106" i="138"/>
  <c r="G133" i="138" s="1"/>
  <c r="F133" i="138"/>
  <c r="E198" i="138"/>
  <c r="H135" i="139"/>
  <c r="J96" i="140"/>
  <c r="J135" i="140" s="1"/>
  <c r="J178" i="140" s="1"/>
  <c r="J133" i="138"/>
  <c r="K36" i="139"/>
  <c r="F80" i="138"/>
  <c r="F96" i="138" s="1"/>
  <c r="H133" i="138"/>
  <c r="J167" i="141"/>
  <c r="J176" i="141" s="1"/>
  <c r="J96" i="141"/>
  <c r="J135" i="141" s="1"/>
  <c r="T135" i="140"/>
  <c r="V135" i="140" s="1"/>
  <c r="G138" i="140"/>
  <c r="I109" i="138"/>
  <c r="K109" i="138" s="1"/>
  <c r="G135" i="139"/>
  <c r="K92" i="139"/>
  <c r="K162" i="139" s="1"/>
  <c r="F166" i="139"/>
  <c r="F176" i="139" s="1"/>
  <c r="F165" i="139"/>
  <c r="F135" i="139"/>
  <c r="J80" i="139"/>
  <c r="G186" i="138"/>
  <c r="G96" i="138"/>
  <c r="J163" i="138"/>
  <c r="J55" i="138"/>
  <c r="K55" i="138" s="1"/>
  <c r="K85" i="138"/>
  <c r="J90" i="138"/>
  <c r="J168" i="138" s="1"/>
  <c r="H187" i="138"/>
  <c r="H188" i="138" s="1"/>
  <c r="H186" i="138"/>
  <c r="K34" i="138"/>
  <c r="H80" i="138"/>
  <c r="H96" i="138" s="1"/>
  <c r="I36" i="138"/>
  <c r="K46" i="138"/>
  <c r="J65" i="138"/>
  <c r="K65" i="138" s="1"/>
  <c r="K108" i="138"/>
  <c r="J93" i="138"/>
  <c r="K93" i="138" s="1"/>
  <c r="K44" i="138"/>
  <c r="I162" i="138"/>
  <c r="J92" i="138"/>
  <c r="G99" i="137"/>
  <c r="G106" i="137" s="1"/>
  <c r="G198" i="137"/>
  <c r="F198" i="137"/>
  <c r="E195" i="137"/>
  <c r="E194" i="137"/>
  <c r="H184" i="137"/>
  <c r="H183" i="137"/>
  <c r="G183" i="137"/>
  <c r="H182" i="137"/>
  <c r="G182" i="137"/>
  <c r="F174" i="137"/>
  <c r="F173" i="137"/>
  <c r="J172" i="137"/>
  <c r="F172" i="137"/>
  <c r="F170" i="137"/>
  <c r="F169" i="137"/>
  <c r="F168" i="137"/>
  <c r="F167" i="137"/>
  <c r="F164" i="137"/>
  <c r="F163" i="137"/>
  <c r="H162" i="137"/>
  <c r="F162" i="137"/>
  <c r="J131" i="137"/>
  <c r="J174" i="137" s="1"/>
  <c r="H131" i="137"/>
  <c r="G131" i="137"/>
  <c r="F131" i="137"/>
  <c r="J121" i="137"/>
  <c r="J173" i="137" s="1"/>
  <c r="H121" i="137"/>
  <c r="G121" i="137"/>
  <c r="F121" i="137"/>
  <c r="L111" i="137"/>
  <c r="J111" i="137"/>
  <c r="J171" i="137" s="1"/>
  <c r="H111" i="137"/>
  <c r="G111" i="137"/>
  <c r="F111" i="137"/>
  <c r="E109" i="137"/>
  <c r="I108" i="137"/>
  <c r="J106" i="137"/>
  <c r="H106" i="137"/>
  <c r="F106" i="137"/>
  <c r="I93" i="137"/>
  <c r="J93" i="137" s="1"/>
  <c r="I92" i="137"/>
  <c r="J92" i="137" s="1"/>
  <c r="H90" i="137"/>
  <c r="G90" i="137"/>
  <c r="F90" i="137"/>
  <c r="I85" i="137"/>
  <c r="J85" i="137" s="1"/>
  <c r="J90" i="137" s="1"/>
  <c r="J168" i="137" s="1"/>
  <c r="I65" i="137"/>
  <c r="J65" i="137" s="1"/>
  <c r="I64" i="137"/>
  <c r="K64" i="137" s="1"/>
  <c r="I57" i="137"/>
  <c r="K57" i="137" s="1"/>
  <c r="I55" i="137"/>
  <c r="J55" i="137" s="1"/>
  <c r="I50" i="137"/>
  <c r="J50" i="137" s="1"/>
  <c r="I48" i="137"/>
  <c r="J48" i="137" s="1"/>
  <c r="I46" i="137"/>
  <c r="J46" i="137" s="1"/>
  <c r="I44" i="137"/>
  <c r="J44" i="137" s="1"/>
  <c r="K44" i="137" s="1"/>
  <c r="I42" i="137"/>
  <c r="J42" i="137" s="1"/>
  <c r="K39" i="137"/>
  <c r="J39" i="137"/>
  <c r="I39" i="137"/>
  <c r="H39" i="137"/>
  <c r="G39" i="137"/>
  <c r="F39" i="137"/>
  <c r="E39" i="137"/>
  <c r="H36" i="137"/>
  <c r="G36" i="137"/>
  <c r="F36" i="137"/>
  <c r="E34" i="137"/>
  <c r="I34" i="137" s="1"/>
  <c r="J30" i="137"/>
  <c r="J166" i="137" s="1"/>
  <c r="H30" i="137"/>
  <c r="H137" i="137" s="1"/>
  <c r="G30" i="137"/>
  <c r="G137" i="137" s="1"/>
  <c r="F30" i="137"/>
  <c r="J24" i="137"/>
  <c r="H24" i="137"/>
  <c r="G24" i="137"/>
  <c r="F24" i="137"/>
  <c r="J19" i="137"/>
  <c r="J164" i="137" s="1"/>
  <c r="H19" i="137"/>
  <c r="G19" i="137"/>
  <c r="F19" i="137"/>
  <c r="I17" i="137"/>
  <c r="K17" i="137" s="1"/>
  <c r="J12" i="137"/>
  <c r="J163" i="137" s="1"/>
  <c r="H12" i="137"/>
  <c r="G12" i="137"/>
  <c r="F12" i="137"/>
  <c r="K6" i="137"/>
  <c r="G138" i="139" l="1"/>
  <c r="I36" i="137"/>
  <c r="J178" i="141"/>
  <c r="G159" i="139"/>
  <c r="F80" i="137"/>
  <c r="F96" i="137" s="1"/>
  <c r="F165" i="137" s="1"/>
  <c r="K93" i="137"/>
  <c r="F165" i="138"/>
  <c r="F135" i="138"/>
  <c r="F166" i="138"/>
  <c r="F176" i="138" s="1"/>
  <c r="H135" i="138"/>
  <c r="J34" i="137"/>
  <c r="K34" i="137" s="1"/>
  <c r="K42" i="137"/>
  <c r="K46" i="137"/>
  <c r="K85" i="137"/>
  <c r="I162" i="137"/>
  <c r="K50" i="137"/>
  <c r="H133" i="137"/>
  <c r="K65" i="137"/>
  <c r="E198" i="137"/>
  <c r="I111" i="138"/>
  <c r="I171" i="138" s="1"/>
  <c r="K111" i="138"/>
  <c r="K171" i="138" s="1"/>
  <c r="T135" i="139"/>
  <c r="V135" i="139" s="1"/>
  <c r="J167" i="139"/>
  <c r="J176" i="139" s="1"/>
  <c r="J96" i="139"/>
  <c r="J135" i="139" s="1"/>
  <c r="G135" i="138"/>
  <c r="J162" i="138"/>
  <c r="K92" i="138"/>
  <c r="K162" i="138" s="1"/>
  <c r="J36" i="138"/>
  <c r="H186" i="137"/>
  <c r="G133" i="137"/>
  <c r="K108" i="137"/>
  <c r="J165" i="137"/>
  <c r="H80" i="137"/>
  <c r="H96" i="137" s="1"/>
  <c r="H135" i="137" s="1"/>
  <c r="K48" i="137"/>
  <c r="K55" i="137"/>
  <c r="F133" i="137"/>
  <c r="I109" i="137"/>
  <c r="K109" i="137" s="1"/>
  <c r="E111" i="137"/>
  <c r="E171" i="137" s="1"/>
  <c r="G80" i="137"/>
  <c r="G96" i="137" s="1"/>
  <c r="J162" i="137"/>
  <c r="K92" i="137"/>
  <c r="J170" i="137"/>
  <c r="J133" i="137"/>
  <c r="J36" i="137"/>
  <c r="J80" i="137" s="1"/>
  <c r="J167" i="137" s="1"/>
  <c r="G184" i="137"/>
  <c r="G186" i="137" s="1"/>
  <c r="G99" i="136"/>
  <c r="G198" i="136"/>
  <c r="F198" i="136"/>
  <c r="E195" i="136"/>
  <c r="E194" i="136"/>
  <c r="H184" i="136"/>
  <c r="H183" i="136"/>
  <c r="G183" i="136"/>
  <c r="H182" i="136"/>
  <c r="G182" i="136"/>
  <c r="F174" i="136"/>
  <c r="F173" i="136"/>
  <c r="J172" i="136"/>
  <c r="F172" i="136"/>
  <c r="F170" i="136"/>
  <c r="F169" i="136"/>
  <c r="F168" i="136"/>
  <c r="F167" i="136"/>
  <c r="F164" i="136"/>
  <c r="F163" i="136"/>
  <c r="H162" i="136"/>
  <c r="F162" i="136"/>
  <c r="J131" i="136"/>
  <c r="J174" i="136" s="1"/>
  <c r="H131" i="136"/>
  <c r="G131" i="136"/>
  <c r="F131" i="136"/>
  <c r="J121" i="136"/>
  <c r="J173" i="136" s="1"/>
  <c r="H121" i="136"/>
  <c r="G121" i="136"/>
  <c r="F121" i="136"/>
  <c r="L111" i="136"/>
  <c r="J111" i="136"/>
  <c r="J171" i="136" s="1"/>
  <c r="H111" i="136"/>
  <c r="G111" i="136"/>
  <c r="F111" i="136"/>
  <c r="E109" i="136"/>
  <c r="I108" i="136"/>
  <c r="J106" i="136"/>
  <c r="H106" i="136"/>
  <c r="F106" i="136"/>
  <c r="I93" i="136"/>
  <c r="J93" i="136" s="1"/>
  <c r="I92" i="136"/>
  <c r="J92" i="136" s="1"/>
  <c r="H90" i="136"/>
  <c r="G90" i="136"/>
  <c r="F90" i="136"/>
  <c r="I85" i="136"/>
  <c r="J85" i="136" s="1"/>
  <c r="J90" i="136" s="1"/>
  <c r="J168" i="136" s="1"/>
  <c r="I65" i="136"/>
  <c r="J65" i="136" s="1"/>
  <c r="I64" i="136"/>
  <c r="K64" i="136" s="1"/>
  <c r="I57" i="136"/>
  <c r="K57" i="136" s="1"/>
  <c r="I55" i="136"/>
  <c r="J55" i="136" s="1"/>
  <c r="I50" i="136"/>
  <c r="J50" i="136" s="1"/>
  <c r="K50" i="136" s="1"/>
  <c r="I48" i="136"/>
  <c r="J48" i="136" s="1"/>
  <c r="I46" i="136"/>
  <c r="J46" i="136" s="1"/>
  <c r="I44" i="136"/>
  <c r="J44" i="136" s="1"/>
  <c r="I42" i="136"/>
  <c r="K39" i="136"/>
  <c r="J39" i="136"/>
  <c r="I39" i="136"/>
  <c r="H39" i="136"/>
  <c r="G39" i="136"/>
  <c r="F39" i="136"/>
  <c r="E39" i="136"/>
  <c r="H36" i="136"/>
  <c r="G36" i="136"/>
  <c r="F36" i="136"/>
  <c r="E34" i="136"/>
  <c r="I34" i="136" s="1"/>
  <c r="J34" i="136" s="1"/>
  <c r="K34" i="136" s="1"/>
  <c r="J30" i="136"/>
  <c r="J166" i="136" s="1"/>
  <c r="H30" i="136"/>
  <c r="H137" i="136" s="1"/>
  <c r="G30" i="136"/>
  <c r="G137" i="136" s="1"/>
  <c r="F30" i="136"/>
  <c r="J24" i="136"/>
  <c r="J165" i="136" s="1"/>
  <c r="H24" i="136"/>
  <c r="G24" i="136"/>
  <c r="F24" i="136"/>
  <c r="J19" i="136"/>
  <c r="J164" i="136" s="1"/>
  <c r="H19" i="136"/>
  <c r="G19" i="136"/>
  <c r="F19" i="136"/>
  <c r="I17" i="136"/>
  <c r="K17" i="136" s="1"/>
  <c r="J12" i="136"/>
  <c r="J163" i="136" s="1"/>
  <c r="H12" i="136"/>
  <c r="G12" i="136"/>
  <c r="F12" i="136"/>
  <c r="K6" i="136"/>
  <c r="K162" i="137" l="1"/>
  <c r="K46" i="136"/>
  <c r="F166" i="137"/>
  <c r="F176" i="137" s="1"/>
  <c r="I36" i="136"/>
  <c r="J36" i="136" s="1"/>
  <c r="K65" i="136"/>
  <c r="E198" i="136"/>
  <c r="G138" i="138"/>
  <c r="F135" i="137"/>
  <c r="J96" i="137"/>
  <c r="J135" i="137" s="1"/>
  <c r="K44" i="136"/>
  <c r="F80" i="136"/>
  <c r="F96" i="136" s="1"/>
  <c r="J42" i="136"/>
  <c r="K42" i="136" s="1"/>
  <c r="H80" i="136"/>
  <c r="H96" i="136" s="1"/>
  <c r="J178" i="139"/>
  <c r="G159" i="138"/>
  <c r="T135" i="138"/>
  <c r="V135" i="138" s="1"/>
  <c r="J80" i="138"/>
  <c r="K36" i="138"/>
  <c r="G135" i="137"/>
  <c r="G138" i="137" s="1"/>
  <c r="H187" i="137"/>
  <c r="H188" i="137" s="1"/>
  <c r="K36" i="137"/>
  <c r="K111" i="137"/>
  <c r="K171" i="137" s="1"/>
  <c r="J176" i="137"/>
  <c r="I111" i="137"/>
  <c r="I171" i="137" s="1"/>
  <c r="G80" i="136"/>
  <c r="G96" i="136" s="1"/>
  <c r="K85" i="136"/>
  <c r="J162" i="136"/>
  <c r="F133" i="136"/>
  <c r="I109" i="136"/>
  <c r="K109" i="136" s="1"/>
  <c r="E111" i="136"/>
  <c r="E171" i="136" s="1"/>
  <c r="K55" i="136"/>
  <c r="K92" i="136"/>
  <c r="H133" i="136"/>
  <c r="I162" i="136"/>
  <c r="G106" i="136"/>
  <c r="G133" i="136" s="1"/>
  <c r="G184" i="136"/>
  <c r="G186" i="136" s="1"/>
  <c r="J170" i="136"/>
  <c r="J133" i="136"/>
  <c r="K48" i="136"/>
  <c r="K93" i="136"/>
  <c r="K108" i="136"/>
  <c r="H186" i="136"/>
  <c r="G198" i="135"/>
  <c r="F198" i="135"/>
  <c r="E195" i="135"/>
  <c r="E194" i="135"/>
  <c r="H184" i="135"/>
  <c r="G184" i="135"/>
  <c r="H183" i="135"/>
  <c r="G183" i="135"/>
  <c r="H182" i="135"/>
  <c r="G182" i="135"/>
  <c r="F174" i="135"/>
  <c r="F173" i="135"/>
  <c r="J172" i="135"/>
  <c r="F172" i="135"/>
  <c r="F170" i="135"/>
  <c r="F169" i="135"/>
  <c r="F168" i="135"/>
  <c r="F167" i="135"/>
  <c r="F164" i="135"/>
  <c r="F163" i="135"/>
  <c r="H162" i="135"/>
  <c r="F162" i="135"/>
  <c r="J131" i="135"/>
  <c r="J174" i="135" s="1"/>
  <c r="H131" i="135"/>
  <c r="G131" i="135"/>
  <c r="F131" i="135"/>
  <c r="I129" i="135"/>
  <c r="K129" i="135" s="1"/>
  <c r="J121" i="135"/>
  <c r="J173" i="135" s="1"/>
  <c r="H121" i="135"/>
  <c r="G121" i="135"/>
  <c r="F121" i="135"/>
  <c r="L111" i="135"/>
  <c r="J111" i="135"/>
  <c r="J171" i="135" s="1"/>
  <c r="H111" i="135"/>
  <c r="G111" i="135"/>
  <c r="F111" i="135"/>
  <c r="E109" i="135"/>
  <c r="I109" i="135" s="1"/>
  <c r="I108" i="135"/>
  <c r="K108" i="135" s="1"/>
  <c r="J106" i="135"/>
  <c r="J170" i="135" s="1"/>
  <c r="H106" i="135"/>
  <c r="F106" i="135"/>
  <c r="G106" i="135"/>
  <c r="I93" i="135"/>
  <c r="J93" i="135" s="1"/>
  <c r="K93" i="135" s="1"/>
  <c r="I92" i="135"/>
  <c r="H90" i="135"/>
  <c r="G90" i="135"/>
  <c r="F90" i="135"/>
  <c r="I85" i="135"/>
  <c r="J85" i="135" s="1"/>
  <c r="J90" i="135" s="1"/>
  <c r="J168" i="135" s="1"/>
  <c r="I65" i="135"/>
  <c r="J65" i="135" s="1"/>
  <c r="K65" i="135" s="1"/>
  <c r="I64" i="135"/>
  <c r="K64" i="135" s="1"/>
  <c r="I57" i="135"/>
  <c r="K57" i="135" s="1"/>
  <c r="I55" i="135"/>
  <c r="J55" i="135" s="1"/>
  <c r="K55" i="135" s="1"/>
  <c r="I50" i="135"/>
  <c r="J50" i="135" s="1"/>
  <c r="I48" i="135"/>
  <c r="J48" i="135" s="1"/>
  <c r="K48" i="135" s="1"/>
  <c r="I46" i="135"/>
  <c r="J46" i="135" s="1"/>
  <c r="K46" i="135" s="1"/>
  <c r="I44" i="135"/>
  <c r="I42" i="135"/>
  <c r="J42" i="135" s="1"/>
  <c r="K39" i="135"/>
  <c r="J39" i="135"/>
  <c r="I39" i="135"/>
  <c r="H39" i="135"/>
  <c r="G39" i="135"/>
  <c r="F39" i="135"/>
  <c r="E39" i="135"/>
  <c r="H36" i="135"/>
  <c r="G36" i="135"/>
  <c r="F36" i="135"/>
  <c r="E34" i="135"/>
  <c r="I34" i="135" s="1"/>
  <c r="J30" i="135"/>
  <c r="J166" i="135" s="1"/>
  <c r="H30" i="135"/>
  <c r="G30" i="135"/>
  <c r="G137" i="135" s="1"/>
  <c r="F30" i="135"/>
  <c r="J24" i="135"/>
  <c r="J165" i="135" s="1"/>
  <c r="H24" i="135"/>
  <c r="G24" i="135"/>
  <c r="F24" i="135"/>
  <c r="J19" i="135"/>
  <c r="J164" i="135" s="1"/>
  <c r="H19" i="135"/>
  <c r="G19" i="135"/>
  <c r="F19" i="135"/>
  <c r="J12" i="135"/>
  <c r="J163" i="135" s="1"/>
  <c r="H12" i="135"/>
  <c r="G12" i="135"/>
  <c r="F12" i="135"/>
  <c r="K6" i="135"/>
  <c r="G99" i="134"/>
  <c r="G184" i="134" s="1"/>
  <c r="G198" i="134"/>
  <c r="F198" i="134"/>
  <c r="E195" i="134"/>
  <c r="E194" i="134"/>
  <c r="H184" i="134"/>
  <c r="H183" i="134"/>
  <c r="G183" i="134"/>
  <c r="H182" i="134"/>
  <c r="G182" i="134"/>
  <c r="F174" i="134"/>
  <c r="F173" i="134"/>
  <c r="J172" i="134"/>
  <c r="F172" i="134"/>
  <c r="F170" i="134"/>
  <c r="F169" i="134"/>
  <c r="F168" i="134"/>
  <c r="F167" i="134"/>
  <c r="F164" i="134"/>
  <c r="F163" i="134"/>
  <c r="H162" i="134"/>
  <c r="F162" i="134"/>
  <c r="J131" i="134"/>
  <c r="J174" i="134" s="1"/>
  <c r="H131" i="134"/>
  <c r="G131" i="134"/>
  <c r="F131" i="134"/>
  <c r="J121" i="134"/>
  <c r="J173" i="134" s="1"/>
  <c r="H121" i="134"/>
  <c r="G121" i="134"/>
  <c r="F121" i="134"/>
  <c r="L111" i="134"/>
  <c r="J111" i="134"/>
  <c r="J171" i="134" s="1"/>
  <c r="H111" i="134"/>
  <c r="G111" i="134"/>
  <c r="F111" i="134"/>
  <c r="E109" i="134"/>
  <c r="I109" i="134" s="1"/>
  <c r="K109" i="134" s="1"/>
  <c r="I108" i="134"/>
  <c r="K108" i="134" s="1"/>
  <c r="J106" i="134"/>
  <c r="J170" i="134" s="1"/>
  <c r="H106" i="134"/>
  <c r="F106" i="134"/>
  <c r="I93" i="134"/>
  <c r="I92" i="134"/>
  <c r="J92" i="134" s="1"/>
  <c r="H90" i="134"/>
  <c r="G90" i="134"/>
  <c r="F90" i="134"/>
  <c r="I85" i="134"/>
  <c r="J85" i="134" s="1"/>
  <c r="K85" i="134" s="1"/>
  <c r="I65" i="134"/>
  <c r="I64" i="134"/>
  <c r="K64" i="134" s="1"/>
  <c r="I57" i="134"/>
  <c r="K57" i="134" s="1"/>
  <c r="I55" i="134"/>
  <c r="J55" i="134" s="1"/>
  <c r="I50" i="134"/>
  <c r="J50" i="134" s="1"/>
  <c r="K50" i="134" s="1"/>
  <c r="I48" i="134"/>
  <c r="J48" i="134" s="1"/>
  <c r="I46" i="134"/>
  <c r="I44" i="134"/>
  <c r="J44" i="134" s="1"/>
  <c r="K44" i="134" s="1"/>
  <c r="I42" i="134"/>
  <c r="J42" i="134" s="1"/>
  <c r="K42" i="134" s="1"/>
  <c r="K39" i="134"/>
  <c r="J39" i="134"/>
  <c r="I39" i="134"/>
  <c r="H39" i="134"/>
  <c r="G39" i="134"/>
  <c r="F39" i="134"/>
  <c r="E39" i="134"/>
  <c r="H36" i="134"/>
  <c r="G36" i="134"/>
  <c r="F36" i="134"/>
  <c r="E34" i="134"/>
  <c r="I34" i="134" s="1"/>
  <c r="J34" i="134" s="1"/>
  <c r="K34" i="134" s="1"/>
  <c r="J30" i="134"/>
  <c r="J166" i="134" s="1"/>
  <c r="H30" i="134"/>
  <c r="H137" i="134" s="1"/>
  <c r="G30" i="134"/>
  <c r="G137" i="134" s="1"/>
  <c r="F30" i="134"/>
  <c r="J24" i="134"/>
  <c r="J165" i="134" s="1"/>
  <c r="H24" i="134"/>
  <c r="G24" i="134"/>
  <c r="F24" i="134"/>
  <c r="J19" i="134"/>
  <c r="J164" i="134" s="1"/>
  <c r="H19" i="134"/>
  <c r="G19" i="134"/>
  <c r="F19" i="134"/>
  <c r="I17" i="134"/>
  <c r="K17" i="134" s="1"/>
  <c r="J12" i="134"/>
  <c r="J163" i="134" s="1"/>
  <c r="H12" i="134"/>
  <c r="G12" i="134"/>
  <c r="F12" i="134"/>
  <c r="K6" i="134"/>
  <c r="G106" i="134" l="1"/>
  <c r="J80" i="136"/>
  <c r="J167" i="136" s="1"/>
  <c r="J176" i="136" s="1"/>
  <c r="E198" i="135"/>
  <c r="F80" i="135"/>
  <c r="F96" i="135" s="1"/>
  <c r="F165" i="135" s="1"/>
  <c r="E198" i="134"/>
  <c r="H80" i="134"/>
  <c r="H96" i="134" s="1"/>
  <c r="G80" i="135"/>
  <c r="G96" i="135" s="1"/>
  <c r="H80" i="135"/>
  <c r="H96" i="135" s="1"/>
  <c r="F80" i="134"/>
  <c r="F96" i="134" s="1"/>
  <c r="F165" i="134" s="1"/>
  <c r="G186" i="134"/>
  <c r="F133" i="135"/>
  <c r="H186" i="135"/>
  <c r="G80" i="134"/>
  <c r="G96" i="134" s="1"/>
  <c r="F166" i="136"/>
  <c r="F176" i="136" s="1"/>
  <c r="F165" i="136"/>
  <c r="F135" i="136"/>
  <c r="H133" i="135"/>
  <c r="F133" i="134"/>
  <c r="J178" i="137"/>
  <c r="H135" i="136"/>
  <c r="J133" i="135"/>
  <c r="J90" i="134"/>
  <c r="J168" i="134" s="1"/>
  <c r="J133" i="134"/>
  <c r="H186" i="134"/>
  <c r="H133" i="134"/>
  <c r="J167" i="138"/>
  <c r="J176" i="138" s="1"/>
  <c r="J96" i="138"/>
  <c r="J135" i="138" s="1"/>
  <c r="G159" i="137"/>
  <c r="T135" i="137"/>
  <c r="V135" i="137" s="1"/>
  <c r="E111" i="134"/>
  <c r="E171" i="134" s="1"/>
  <c r="E111" i="135"/>
  <c r="E171" i="135" s="1"/>
  <c r="K111" i="134"/>
  <c r="K171" i="134" s="1"/>
  <c r="H187" i="136"/>
  <c r="H188" i="136" s="1"/>
  <c r="K111" i="136"/>
  <c r="K171" i="136" s="1"/>
  <c r="K162" i="136"/>
  <c r="I111" i="136"/>
  <c r="I171" i="136" s="1"/>
  <c r="G135" i="136"/>
  <c r="J96" i="136"/>
  <c r="J135" i="136" s="1"/>
  <c r="K36" i="136"/>
  <c r="G186" i="135"/>
  <c r="G133" i="135"/>
  <c r="J34" i="135"/>
  <c r="K34" i="135" s="1"/>
  <c r="I111" i="135"/>
  <c r="I171" i="135" s="1"/>
  <c r="K109" i="135"/>
  <c r="K111" i="135" s="1"/>
  <c r="K171" i="135" s="1"/>
  <c r="I36" i="135"/>
  <c r="J36" i="135" s="1"/>
  <c r="K42" i="135"/>
  <c r="K50" i="135"/>
  <c r="K85" i="135"/>
  <c r="H137" i="135"/>
  <c r="H187" i="135"/>
  <c r="H188" i="135" s="1"/>
  <c r="J44" i="135"/>
  <c r="K44" i="135" s="1"/>
  <c r="J92" i="135"/>
  <c r="J162" i="135" s="1"/>
  <c r="I162" i="135"/>
  <c r="H187" i="134"/>
  <c r="H188" i="134" s="1"/>
  <c r="G133" i="134"/>
  <c r="J65" i="134"/>
  <c r="K65" i="134" s="1"/>
  <c r="J93" i="134"/>
  <c r="J162" i="134" s="1"/>
  <c r="I111" i="134"/>
  <c r="I171" i="134" s="1"/>
  <c r="I36" i="134"/>
  <c r="J36" i="134" s="1"/>
  <c r="K48" i="134"/>
  <c r="K55" i="134"/>
  <c r="K92" i="134"/>
  <c r="J46" i="134"/>
  <c r="K46" i="134" s="1"/>
  <c r="I162" i="134"/>
  <c r="E34" i="133"/>
  <c r="I34" i="133" s="1"/>
  <c r="E39" i="133"/>
  <c r="E109" i="133"/>
  <c r="I109" i="133" s="1"/>
  <c r="K109" i="133" s="1"/>
  <c r="E194" i="133"/>
  <c r="E195" i="133"/>
  <c r="G198" i="133"/>
  <c r="F198" i="133"/>
  <c r="H184" i="133"/>
  <c r="H183" i="133"/>
  <c r="G183" i="133"/>
  <c r="H182" i="133"/>
  <c r="G182" i="133"/>
  <c r="F174" i="133"/>
  <c r="F173" i="133"/>
  <c r="J172" i="133"/>
  <c r="F172" i="133"/>
  <c r="F170" i="133"/>
  <c r="F169" i="133"/>
  <c r="F168" i="133"/>
  <c r="F167" i="133"/>
  <c r="F164" i="133"/>
  <c r="F163" i="133"/>
  <c r="H162" i="133"/>
  <c r="F162" i="133"/>
  <c r="J131" i="133"/>
  <c r="J174" i="133" s="1"/>
  <c r="H131" i="133"/>
  <c r="G131" i="133"/>
  <c r="F131" i="133"/>
  <c r="J121" i="133"/>
  <c r="J173" i="133" s="1"/>
  <c r="H121" i="133"/>
  <c r="G121" i="133"/>
  <c r="F121" i="133"/>
  <c r="L111" i="133"/>
  <c r="J111" i="133"/>
  <c r="J171" i="133" s="1"/>
  <c r="H111" i="133"/>
  <c r="G111" i="133"/>
  <c r="F111" i="133"/>
  <c r="I108" i="133"/>
  <c r="J106" i="133"/>
  <c r="J170" i="133" s="1"/>
  <c r="H106" i="133"/>
  <c r="F106" i="133"/>
  <c r="I93" i="133"/>
  <c r="J93" i="133" s="1"/>
  <c r="I92" i="133"/>
  <c r="H90" i="133"/>
  <c r="G90" i="133"/>
  <c r="F90" i="133"/>
  <c r="I85" i="133"/>
  <c r="I65" i="133"/>
  <c r="I64" i="133"/>
  <c r="K64" i="133" s="1"/>
  <c r="I57" i="133"/>
  <c r="K57" i="133" s="1"/>
  <c r="I55" i="133"/>
  <c r="J55" i="133" s="1"/>
  <c r="I50" i="133"/>
  <c r="I48" i="133"/>
  <c r="J48" i="133" s="1"/>
  <c r="K48" i="133" s="1"/>
  <c r="I46" i="133"/>
  <c r="I44" i="133"/>
  <c r="J44" i="133" s="1"/>
  <c r="I42" i="133"/>
  <c r="J42" i="133" s="1"/>
  <c r="K42" i="133" s="1"/>
  <c r="K39" i="133"/>
  <c r="J39" i="133"/>
  <c r="I39" i="133"/>
  <c r="H39" i="133"/>
  <c r="G39" i="133"/>
  <c r="F39" i="133"/>
  <c r="H36" i="133"/>
  <c r="G36" i="133"/>
  <c r="F36" i="133"/>
  <c r="J30" i="133"/>
  <c r="J166" i="133" s="1"/>
  <c r="H30" i="133"/>
  <c r="H137" i="133" s="1"/>
  <c r="G30" i="133"/>
  <c r="G137" i="133" s="1"/>
  <c r="F30" i="133"/>
  <c r="J24" i="133"/>
  <c r="H24" i="133"/>
  <c r="G24" i="133"/>
  <c r="F24" i="133"/>
  <c r="J19" i="133"/>
  <c r="J164" i="133" s="1"/>
  <c r="H19" i="133"/>
  <c r="G19" i="133"/>
  <c r="F19" i="133"/>
  <c r="I17" i="133"/>
  <c r="K17" i="133" s="1"/>
  <c r="J12" i="133"/>
  <c r="J163" i="133" s="1"/>
  <c r="H12" i="133"/>
  <c r="G12" i="133"/>
  <c r="F12" i="133"/>
  <c r="K6" i="133"/>
  <c r="J80" i="135" l="1"/>
  <c r="J167" i="135" s="1"/>
  <c r="J176" i="135" s="1"/>
  <c r="E198" i="133"/>
  <c r="J178" i="136"/>
  <c r="K44" i="133"/>
  <c r="G80" i="133"/>
  <c r="F135" i="135"/>
  <c r="H135" i="135"/>
  <c r="J80" i="134"/>
  <c r="J167" i="134" s="1"/>
  <c r="J176" i="134" s="1"/>
  <c r="F166" i="134"/>
  <c r="F176" i="134" s="1"/>
  <c r="H80" i="133"/>
  <c r="H96" i="133" s="1"/>
  <c r="F133" i="133"/>
  <c r="F166" i="135"/>
  <c r="F176" i="135" s="1"/>
  <c r="H135" i="134"/>
  <c r="F135" i="134"/>
  <c r="F80" i="133"/>
  <c r="F96" i="133" s="1"/>
  <c r="H133" i="133"/>
  <c r="H186" i="133"/>
  <c r="J133" i="133"/>
  <c r="J178" i="138"/>
  <c r="G159" i="136"/>
  <c r="G138" i="136"/>
  <c r="T135" i="136"/>
  <c r="V135" i="136" s="1"/>
  <c r="G135" i="135"/>
  <c r="K92" i="135"/>
  <c r="K162" i="135" s="1"/>
  <c r="K36" i="135"/>
  <c r="G135" i="134"/>
  <c r="K93" i="134"/>
  <c r="K162" i="134" s="1"/>
  <c r="K36" i="134"/>
  <c r="E111" i="133"/>
  <c r="E171" i="133" s="1"/>
  <c r="J85" i="133"/>
  <c r="K85" i="133" s="1"/>
  <c r="I111" i="133"/>
  <c r="I171" i="133" s="1"/>
  <c r="J50" i="133"/>
  <c r="K50" i="133" s="1"/>
  <c r="I162" i="133"/>
  <c r="J92" i="133"/>
  <c r="K92" i="133" s="1"/>
  <c r="J165" i="133"/>
  <c r="J34" i="133"/>
  <c r="K34" i="133" s="1"/>
  <c r="J46" i="133"/>
  <c r="K46" i="133" s="1"/>
  <c r="K93" i="133"/>
  <c r="K108" i="133"/>
  <c r="K111" i="133" s="1"/>
  <c r="K171" i="133" s="1"/>
  <c r="I36" i="133"/>
  <c r="J65" i="133"/>
  <c r="K65" i="133" s="1"/>
  <c r="G106" i="133"/>
  <c r="G133" i="133" s="1"/>
  <c r="G184" i="133"/>
  <c r="G186" i="133" s="1"/>
  <c r="K55" i="133"/>
  <c r="G96" i="133"/>
  <c r="F162" i="132"/>
  <c r="H162" i="132"/>
  <c r="F163" i="132"/>
  <c r="F164" i="132"/>
  <c r="F167" i="132"/>
  <c r="F168" i="132"/>
  <c r="F169" i="132"/>
  <c r="F170" i="132"/>
  <c r="E172" i="132"/>
  <c r="F172" i="132"/>
  <c r="J172" i="132"/>
  <c r="F173" i="132"/>
  <c r="F174" i="132"/>
  <c r="G182" i="132"/>
  <c r="H182" i="132"/>
  <c r="G183" i="132"/>
  <c r="H183" i="132"/>
  <c r="H184" i="132"/>
  <c r="E194" i="132"/>
  <c r="E195" i="132"/>
  <c r="F198" i="132"/>
  <c r="G198" i="132"/>
  <c r="G103" i="132"/>
  <c r="I103" i="132" s="1"/>
  <c r="I129" i="132"/>
  <c r="I82" i="132"/>
  <c r="I73" i="132"/>
  <c r="I71" i="132"/>
  <c r="I128" i="132"/>
  <c r="I127" i="132"/>
  <c r="I126" i="132"/>
  <c r="I123" i="132"/>
  <c r="I119" i="132"/>
  <c r="I118" i="132"/>
  <c r="I114" i="132"/>
  <c r="I104" i="132"/>
  <c r="I102" i="132"/>
  <c r="I101" i="132"/>
  <c r="I100" i="132"/>
  <c r="I88" i="132"/>
  <c r="I87" i="132"/>
  <c r="I79" i="132"/>
  <c r="I75" i="132"/>
  <c r="I69" i="132"/>
  <c r="I67" i="132"/>
  <c r="I63" i="132"/>
  <c r="I59" i="132"/>
  <c r="I53" i="132"/>
  <c r="I52" i="132"/>
  <c r="E30" i="132"/>
  <c r="E166" i="132" s="1"/>
  <c r="I22" i="132"/>
  <c r="I17" i="132"/>
  <c r="K17" i="132" s="1"/>
  <c r="I16" i="132"/>
  <c r="I10" i="132"/>
  <c r="I9" i="132"/>
  <c r="E9" i="133" s="1"/>
  <c r="I9" i="133" s="1"/>
  <c r="J131" i="132"/>
  <c r="J174" i="132" s="1"/>
  <c r="H131" i="132"/>
  <c r="G131" i="132"/>
  <c r="F131" i="132"/>
  <c r="I125" i="132"/>
  <c r="J121" i="132"/>
  <c r="J173" i="132" s="1"/>
  <c r="H121" i="132"/>
  <c r="G121" i="132"/>
  <c r="F121" i="132"/>
  <c r="L111" i="132"/>
  <c r="J111" i="132"/>
  <c r="J171" i="132" s="1"/>
  <c r="H111" i="132"/>
  <c r="G111" i="132"/>
  <c r="F111" i="132"/>
  <c r="E109" i="132"/>
  <c r="E111" i="132" s="1"/>
  <c r="E171" i="132" s="1"/>
  <c r="I108" i="132"/>
  <c r="J106" i="132"/>
  <c r="J170" i="132" s="1"/>
  <c r="H106" i="132"/>
  <c r="F106" i="132"/>
  <c r="I93" i="132"/>
  <c r="I92" i="132"/>
  <c r="J92" i="132" s="1"/>
  <c r="H90" i="132"/>
  <c r="G90" i="132"/>
  <c r="F90" i="132"/>
  <c r="I85" i="132"/>
  <c r="J85" i="132" s="1"/>
  <c r="J90" i="132" s="1"/>
  <c r="J168" i="132" s="1"/>
  <c r="I77" i="132"/>
  <c r="I65" i="132"/>
  <c r="I64" i="132"/>
  <c r="K64" i="132" s="1"/>
  <c r="I57" i="132"/>
  <c r="K57" i="132" s="1"/>
  <c r="I55" i="132"/>
  <c r="J55" i="132" s="1"/>
  <c r="K55" i="132" s="1"/>
  <c r="I50" i="132"/>
  <c r="I48" i="132"/>
  <c r="J48" i="132" s="1"/>
  <c r="K48" i="132" s="1"/>
  <c r="I46" i="132"/>
  <c r="J46" i="132" s="1"/>
  <c r="K46" i="132" s="1"/>
  <c r="I44" i="132"/>
  <c r="J44" i="132" s="1"/>
  <c r="I42" i="132"/>
  <c r="K39" i="132"/>
  <c r="J39" i="132"/>
  <c r="I39" i="132"/>
  <c r="H39" i="132"/>
  <c r="G39" i="132"/>
  <c r="F39" i="132"/>
  <c r="E39" i="132"/>
  <c r="H36" i="132"/>
  <c r="G36" i="132"/>
  <c r="F36" i="132"/>
  <c r="E34" i="132"/>
  <c r="I34" i="132" s="1"/>
  <c r="J30" i="132"/>
  <c r="J166" i="132" s="1"/>
  <c r="H30" i="132"/>
  <c r="H137" i="132" s="1"/>
  <c r="G30" i="132"/>
  <c r="G137" i="132" s="1"/>
  <c r="F30" i="132"/>
  <c r="I28" i="132"/>
  <c r="J24" i="132"/>
  <c r="J165" i="132" s="1"/>
  <c r="H24" i="132"/>
  <c r="G24" i="132"/>
  <c r="F24" i="132"/>
  <c r="J19" i="132"/>
  <c r="J164" i="132" s="1"/>
  <c r="H19" i="132"/>
  <c r="G19" i="132"/>
  <c r="F19" i="132"/>
  <c r="J12" i="132"/>
  <c r="J163" i="132" s="1"/>
  <c r="H12" i="132"/>
  <c r="G12" i="132"/>
  <c r="F12" i="132"/>
  <c r="K6" i="132"/>
  <c r="J96" i="135" l="1"/>
  <c r="J135" i="135" s="1"/>
  <c r="J90" i="133"/>
  <c r="J168" i="133" s="1"/>
  <c r="G138" i="135"/>
  <c r="J96" i="134"/>
  <c r="J135" i="134" s="1"/>
  <c r="G106" i="132"/>
  <c r="J178" i="135"/>
  <c r="G159" i="134"/>
  <c r="H135" i="133"/>
  <c r="K28" i="132"/>
  <c r="E28" i="133"/>
  <c r="I28" i="133" s="1"/>
  <c r="K22" i="132"/>
  <c r="K24" i="132" s="1"/>
  <c r="K165" i="132" s="1"/>
  <c r="E22" i="133"/>
  <c r="K75" i="132"/>
  <c r="E75" i="133"/>
  <c r="I75" i="133" s="1"/>
  <c r="K114" i="132"/>
  <c r="K172" i="132" s="1"/>
  <c r="E114" i="133"/>
  <c r="K73" i="132"/>
  <c r="E73" i="133"/>
  <c r="I73" i="133" s="1"/>
  <c r="K10" i="132"/>
  <c r="E10" i="133"/>
  <c r="I10" i="133" s="1"/>
  <c r="K79" i="132"/>
  <c r="E79" i="133"/>
  <c r="I79" i="133" s="1"/>
  <c r="K118" i="132"/>
  <c r="E118" i="133"/>
  <c r="I118" i="133" s="1"/>
  <c r="E118" i="134" s="1"/>
  <c r="I118" i="134" s="1"/>
  <c r="E118" i="139" s="1"/>
  <c r="I118" i="139" s="1"/>
  <c r="K118" i="139" s="1"/>
  <c r="K82" i="132"/>
  <c r="E82" i="133"/>
  <c r="I82" i="133" s="1"/>
  <c r="K52" i="132"/>
  <c r="E52" i="133"/>
  <c r="K119" i="132"/>
  <c r="E119" i="133"/>
  <c r="I119" i="133" s="1"/>
  <c r="K59" i="132"/>
  <c r="E59" i="133"/>
  <c r="I59" i="133" s="1"/>
  <c r="K100" i="132"/>
  <c r="E100" i="133"/>
  <c r="I100" i="133" s="1"/>
  <c r="K126" i="132"/>
  <c r="E126" i="133"/>
  <c r="I126" i="133" s="1"/>
  <c r="E9" i="134"/>
  <c r="I9" i="134" s="1"/>
  <c r="E9" i="139" s="1"/>
  <c r="K77" i="132"/>
  <c r="E77" i="133"/>
  <c r="I77" i="133" s="1"/>
  <c r="K63" i="132"/>
  <c r="E63" i="133"/>
  <c r="I63" i="133" s="1"/>
  <c r="K101" i="132"/>
  <c r="E101" i="133"/>
  <c r="I101" i="133" s="1"/>
  <c r="K127" i="132"/>
  <c r="E127" i="133"/>
  <c r="I127" i="133" s="1"/>
  <c r="K9" i="133"/>
  <c r="K16" i="132"/>
  <c r="E16" i="133"/>
  <c r="I16" i="133" s="1"/>
  <c r="K67" i="132"/>
  <c r="E67" i="133"/>
  <c r="I67" i="133" s="1"/>
  <c r="K87" i="132"/>
  <c r="E87" i="133"/>
  <c r="I87" i="133" s="1"/>
  <c r="K102" i="132"/>
  <c r="E102" i="133"/>
  <c r="I102" i="133" s="1"/>
  <c r="K128" i="132"/>
  <c r="E128" i="133"/>
  <c r="I128" i="133" s="1"/>
  <c r="K129" i="132"/>
  <c r="E129" i="133"/>
  <c r="I129" i="133" s="1"/>
  <c r="G80" i="132"/>
  <c r="G96" i="132" s="1"/>
  <c r="I162" i="132"/>
  <c r="K125" i="132"/>
  <c r="E125" i="133"/>
  <c r="I125" i="133" s="1"/>
  <c r="K53" i="132"/>
  <c r="E53" i="133"/>
  <c r="I53" i="133" s="1"/>
  <c r="K69" i="132"/>
  <c r="E69" i="133"/>
  <c r="I69" i="133" s="1"/>
  <c r="K88" i="132"/>
  <c r="E88" i="133"/>
  <c r="I88" i="133" s="1"/>
  <c r="K104" i="132"/>
  <c r="E104" i="133"/>
  <c r="I104" i="133" s="1"/>
  <c r="K123" i="132"/>
  <c r="E123" i="133"/>
  <c r="K71" i="132"/>
  <c r="E71" i="133"/>
  <c r="I71" i="133" s="1"/>
  <c r="K103" i="132"/>
  <c r="E103" i="133"/>
  <c r="I103" i="133" s="1"/>
  <c r="E103" i="134" s="1"/>
  <c r="I103" i="134" s="1"/>
  <c r="E103" i="139" s="1"/>
  <c r="I103" i="139" s="1"/>
  <c r="K103" i="139" s="1"/>
  <c r="E198" i="132"/>
  <c r="G159" i="135"/>
  <c r="T135" i="135"/>
  <c r="V135" i="135" s="1"/>
  <c r="J178" i="134"/>
  <c r="T135" i="134"/>
  <c r="V135" i="134" s="1"/>
  <c r="G138" i="134"/>
  <c r="H187" i="133"/>
  <c r="H188" i="133" s="1"/>
  <c r="J36" i="133"/>
  <c r="K36" i="133" s="1"/>
  <c r="J162" i="133"/>
  <c r="K162" i="133"/>
  <c r="F166" i="133"/>
  <c r="F176" i="133" s="1"/>
  <c r="F165" i="133"/>
  <c r="G135" i="133"/>
  <c r="F135" i="133"/>
  <c r="G184" i="132"/>
  <c r="K85" i="132"/>
  <c r="I172" i="132"/>
  <c r="H80" i="132"/>
  <c r="H96" i="132" s="1"/>
  <c r="F133" i="132"/>
  <c r="G133" i="132"/>
  <c r="H133" i="132"/>
  <c r="K92" i="132"/>
  <c r="I109" i="132"/>
  <c r="K109" i="132" s="1"/>
  <c r="I27" i="132"/>
  <c r="E12" i="132"/>
  <c r="E163" i="132" s="1"/>
  <c r="E131" i="132"/>
  <c r="E174" i="132" s="1"/>
  <c r="J34" i="132"/>
  <c r="K34" i="132" s="1"/>
  <c r="I12" i="132"/>
  <c r="I163" i="132" s="1"/>
  <c r="K9" i="132"/>
  <c r="J42" i="132"/>
  <c r="K42" i="132" s="1"/>
  <c r="J50" i="132"/>
  <c r="K50" i="132" s="1"/>
  <c r="J133" i="132"/>
  <c r="E90" i="132"/>
  <c r="E168" i="132" s="1"/>
  <c r="J93" i="132"/>
  <c r="K93" i="132" s="1"/>
  <c r="I124" i="132"/>
  <c r="E124" i="133" s="1"/>
  <c r="I124" i="133" s="1"/>
  <c r="F80" i="132"/>
  <c r="F96" i="132" s="1"/>
  <c r="I36" i="132"/>
  <c r="E19" i="132"/>
  <c r="E164" i="132" s="1"/>
  <c r="I15" i="132"/>
  <c r="E15" i="133" s="1"/>
  <c r="E24" i="132"/>
  <c r="E165" i="132" s="1"/>
  <c r="I24" i="132"/>
  <c r="I165" i="132" s="1"/>
  <c r="K44" i="132"/>
  <c r="E80" i="132"/>
  <c r="E167" i="132" s="1"/>
  <c r="J65" i="132"/>
  <c r="K65" i="132" s="1"/>
  <c r="E106" i="132"/>
  <c r="E170" i="132" s="1"/>
  <c r="K108" i="132"/>
  <c r="I86" i="132"/>
  <c r="I99" i="132"/>
  <c r="E99" i="133" s="1"/>
  <c r="E121" i="132"/>
  <c r="E173" i="132" s="1"/>
  <c r="I117" i="132"/>
  <c r="E117" i="133" s="1"/>
  <c r="K12" i="132" l="1"/>
  <c r="K163" i="132" s="1"/>
  <c r="K103" i="133"/>
  <c r="J80" i="133"/>
  <c r="K101" i="133"/>
  <c r="E101" i="134"/>
  <c r="I101" i="134" s="1"/>
  <c r="K10" i="133"/>
  <c r="K12" i="133" s="1"/>
  <c r="E10" i="134"/>
  <c r="E24" i="133"/>
  <c r="E165" i="133" s="1"/>
  <c r="I22" i="133"/>
  <c r="I117" i="133"/>
  <c r="I121" i="133" s="1"/>
  <c r="I173" i="133" s="1"/>
  <c r="E121" i="133"/>
  <c r="E173" i="133" s="1"/>
  <c r="K118" i="133"/>
  <c r="K71" i="133"/>
  <c r="E71" i="134"/>
  <c r="I71" i="134" s="1"/>
  <c r="K104" i="133"/>
  <c r="E104" i="134"/>
  <c r="I104" i="134" s="1"/>
  <c r="K69" i="133"/>
  <c r="E69" i="134"/>
  <c r="I69" i="134" s="1"/>
  <c r="E125" i="134"/>
  <c r="I125" i="134" s="1"/>
  <c r="K125" i="133"/>
  <c r="K129" i="133"/>
  <c r="E129" i="134"/>
  <c r="I129" i="134" s="1"/>
  <c r="K102" i="133"/>
  <c r="E102" i="134"/>
  <c r="I102" i="134" s="1"/>
  <c r="K67" i="133"/>
  <c r="E67" i="134"/>
  <c r="I67" i="134" s="1"/>
  <c r="K100" i="133"/>
  <c r="E100" i="134"/>
  <c r="I100" i="134" s="1"/>
  <c r="E12" i="133"/>
  <c r="J162" i="132"/>
  <c r="K127" i="133"/>
  <c r="E127" i="134"/>
  <c r="I127" i="134" s="1"/>
  <c r="K63" i="133"/>
  <c r="E63" i="134"/>
  <c r="I63" i="134" s="1"/>
  <c r="E119" i="134"/>
  <c r="I119" i="134" s="1"/>
  <c r="K119" i="133"/>
  <c r="K82" i="133"/>
  <c r="E82" i="134"/>
  <c r="I82" i="134" s="1"/>
  <c r="K79" i="133"/>
  <c r="E79" i="134"/>
  <c r="I79" i="134" s="1"/>
  <c r="K73" i="133"/>
  <c r="E73" i="134"/>
  <c r="I73" i="134" s="1"/>
  <c r="K75" i="133"/>
  <c r="E75" i="134"/>
  <c r="I75" i="134" s="1"/>
  <c r="E28" i="134"/>
  <c r="I28" i="134" s="1"/>
  <c r="K28" i="133"/>
  <c r="K86" i="132"/>
  <c r="K90" i="132" s="1"/>
  <c r="K168" i="132" s="1"/>
  <c r="E86" i="133"/>
  <c r="I15" i="133"/>
  <c r="E19" i="133"/>
  <c r="E164" i="133" s="1"/>
  <c r="K27" i="132"/>
  <c r="K30" i="132" s="1"/>
  <c r="K166" i="132" s="1"/>
  <c r="E27" i="133"/>
  <c r="E77" i="134"/>
  <c r="I77" i="134" s="1"/>
  <c r="K77" i="133"/>
  <c r="E80" i="133"/>
  <c r="E167" i="133" s="1"/>
  <c r="I52" i="133"/>
  <c r="I114" i="133"/>
  <c r="E172" i="133"/>
  <c r="I12" i="133"/>
  <c r="I163" i="133" s="1"/>
  <c r="K124" i="133"/>
  <c r="E124" i="134"/>
  <c r="I124" i="134" s="1"/>
  <c r="I99" i="133"/>
  <c r="E106" i="133"/>
  <c r="E131" i="133"/>
  <c r="E174" i="133" s="1"/>
  <c r="I123" i="133"/>
  <c r="E88" i="134"/>
  <c r="I88" i="134" s="1"/>
  <c r="K88" i="133"/>
  <c r="K53" i="133"/>
  <c r="E53" i="134"/>
  <c r="I53" i="134" s="1"/>
  <c r="K128" i="133"/>
  <c r="E128" i="134"/>
  <c r="I128" i="134" s="1"/>
  <c r="K87" i="133"/>
  <c r="E87" i="134"/>
  <c r="I87" i="134" s="1"/>
  <c r="K16" i="133"/>
  <c r="E16" i="134"/>
  <c r="I16" i="134" s="1"/>
  <c r="E16" i="139" s="1"/>
  <c r="I16" i="139" s="1"/>
  <c r="K126" i="133"/>
  <c r="E126" i="134"/>
  <c r="I126" i="134" s="1"/>
  <c r="K59" i="133"/>
  <c r="E59" i="134"/>
  <c r="I59" i="134" s="1"/>
  <c r="I9" i="139"/>
  <c r="K103" i="134"/>
  <c r="E103" i="136"/>
  <c r="I103" i="136" s="1"/>
  <c r="K9" i="134"/>
  <c r="E9" i="136"/>
  <c r="K118" i="134"/>
  <c r="E118" i="136"/>
  <c r="I118" i="136" s="1"/>
  <c r="G138" i="133"/>
  <c r="T135" i="133"/>
  <c r="V135" i="133" s="1"/>
  <c r="G159" i="133"/>
  <c r="J167" i="133"/>
  <c r="J176" i="133" s="1"/>
  <c r="J96" i="133"/>
  <c r="J135" i="133" s="1"/>
  <c r="F165" i="132"/>
  <c r="F166" i="132"/>
  <c r="F176" i="132" s="1"/>
  <c r="G135" i="132"/>
  <c r="K162" i="132"/>
  <c r="H187" i="132"/>
  <c r="E176" i="132"/>
  <c r="I111" i="132"/>
  <c r="I171" i="132" s="1"/>
  <c r="H135" i="132"/>
  <c r="H186" i="132" s="1"/>
  <c r="K111" i="132"/>
  <c r="K171" i="132" s="1"/>
  <c r="I30" i="132"/>
  <c r="I166" i="132" s="1"/>
  <c r="F135" i="132"/>
  <c r="I121" i="132"/>
  <c r="I173" i="132" s="1"/>
  <c r="K117" i="132"/>
  <c r="K121" i="132" s="1"/>
  <c r="K173" i="132" s="1"/>
  <c r="G186" i="132"/>
  <c r="E96" i="132"/>
  <c r="I80" i="132"/>
  <c r="I167" i="132" s="1"/>
  <c r="I90" i="132"/>
  <c r="I168" i="132" s="1"/>
  <c r="I106" i="132"/>
  <c r="I170" i="132" s="1"/>
  <c r="K99" i="132"/>
  <c r="K106" i="132" s="1"/>
  <c r="K170" i="132" s="1"/>
  <c r="E133" i="132"/>
  <c r="K15" i="132"/>
  <c r="K19" i="132" s="1"/>
  <c r="K164" i="132" s="1"/>
  <c r="I19" i="132"/>
  <c r="I164" i="132" s="1"/>
  <c r="K124" i="132"/>
  <c r="K131" i="132" s="1"/>
  <c r="K174" i="132" s="1"/>
  <c r="I131" i="132"/>
  <c r="I174" i="132" s="1"/>
  <c r="J36" i="132"/>
  <c r="J80" i="132" s="1"/>
  <c r="J167" i="132" s="1"/>
  <c r="G88" i="131"/>
  <c r="G89" i="131"/>
  <c r="G90" i="131"/>
  <c r="G116" i="131"/>
  <c r="K16" i="134" l="1"/>
  <c r="E16" i="136"/>
  <c r="I16" i="136" s="1"/>
  <c r="E16" i="137" s="1"/>
  <c r="G159" i="132"/>
  <c r="K163" i="133"/>
  <c r="E99" i="134"/>
  <c r="K99" i="133"/>
  <c r="K106" i="133" s="1"/>
  <c r="I106" i="133"/>
  <c r="E73" i="139"/>
  <c r="I73" i="139" s="1"/>
  <c r="K73" i="139" s="1"/>
  <c r="E73" i="136"/>
  <c r="I73" i="136" s="1"/>
  <c r="K73" i="134"/>
  <c r="E63" i="139"/>
  <c r="I63" i="139" s="1"/>
  <c r="K63" i="139" s="1"/>
  <c r="K63" i="134"/>
  <c r="E63" i="136"/>
  <c r="I63" i="136" s="1"/>
  <c r="E67" i="139"/>
  <c r="I67" i="139" s="1"/>
  <c r="K67" i="139" s="1"/>
  <c r="E67" i="136"/>
  <c r="I67" i="136" s="1"/>
  <c r="K67" i="134"/>
  <c r="E69" i="139"/>
  <c r="I69" i="139" s="1"/>
  <c r="K69" i="139" s="1"/>
  <c r="K69" i="134"/>
  <c r="E69" i="136"/>
  <c r="I69" i="136" s="1"/>
  <c r="J176" i="132"/>
  <c r="E126" i="139"/>
  <c r="I126" i="139" s="1"/>
  <c r="K126" i="139" s="1"/>
  <c r="E126" i="136"/>
  <c r="I126" i="136" s="1"/>
  <c r="K126" i="134"/>
  <c r="E53" i="139"/>
  <c r="I53" i="139" s="1"/>
  <c r="K53" i="139" s="1"/>
  <c r="E53" i="136"/>
  <c r="I53" i="136" s="1"/>
  <c r="K53" i="134"/>
  <c r="E123" i="134"/>
  <c r="K123" i="133"/>
  <c r="K131" i="133" s="1"/>
  <c r="K174" i="133" s="1"/>
  <c r="I131" i="133"/>
  <c r="I174" i="133" s="1"/>
  <c r="E77" i="139"/>
  <c r="I77" i="139" s="1"/>
  <c r="K77" i="139" s="1"/>
  <c r="E77" i="136"/>
  <c r="I77" i="136" s="1"/>
  <c r="K77" i="134"/>
  <c r="E15" i="134"/>
  <c r="K15" i="133"/>
  <c r="K19" i="133" s="1"/>
  <c r="K164" i="133" s="1"/>
  <c r="I19" i="133"/>
  <c r="I164" i="133" s="1"/>
  <c r="E28" i="139"/>
  <c r="I28" i="139" s="1"/>
  <c r="K28" i="139" s="1"/>
  <c r="E28" i="136"/>
  <c r="I28" i="136" s="1"/>
  <c r="K28" i="134"/>
  <c r="E163" i="133"/>
  <c r="I24" i="133"/>
  <c r="K22" i="133"/>
  <c r="K24" i="133" s="1"/>
  <c r="K165" i="133" s="1"/>
  <c r="E22" i="134"/>
  <c r="E52" i="134"/>
  <c r="I80" i="133"/>
  <c r="I167" i="133" s="1"/>
  <c r="K52" i="133"/>
  <c r="K80" i="133" s="1"/>
  <c r="K167" i="133" s="1"/>
  <c r="I27" i="133"/>
  <c r="E30" i="133"/>
  <c r="E166" i="133" s="1"/>
  <c r="E90" i="133"/>
  <c r="E168" i="133" s="1"/>
  <c r="I86" i="133"/>
  <c r="E75" i="139"/>
  <c r="I75" i="139" s="1"/>
  <c r="K75" i="139" s="1"/>
  <c r="E75" i="136"/>
  <c r="I75" i="136" s="1"/>
  <c r="K75" i="134"/>
  <c r="E79" i="139"/>
  <c r="I79" i="139" s="1"/>
  <c r="K79" i="139" s="1"/>
  <c r="K79" i="134"/>
  <c r="E79" i="136"/>
  <c r="I79" i="136" s="1"/>
  <c r="E127" i="139"/>
  <c r="I127" i="139" s="1"/>
  <c r="K127" i="139" s="1"/>
  <c r="K127" i="134"/>
  <c r="E127" i="136"/>
  <c r="I127" i="136" s="1"/>
  <c r="E100" i="139"/>
  <c r="I100" i="139" s="1"/>
  <c r="K100" i="139" s="1"/>
  <c r="K100" i="134"/>
  <c r="E100" i="136"/>
  <c r="I100" i="136" s="1"/>
  <c r="E102" i="139"/>
  <c r="I102" i="139" s="1"/>
  <c r="K102" i="139" s="1"/>
  <c r="K102" i="134"/>
  <c r="E102" i="136"/>
  <c r="I102" i="136" s="1"/>
  <c r="E104" i="139"/>
  <c r="I104" i="139" s="1"/>
  <c r="K104" i="139" s="1"/>
  <c r="E104" i="136"/>
  <c r="I104" i="136" s="1"/>
  <c r="K104" i="134"/>
  <c r="E101" i="139"/>
  <c r="I101" i="139" s="1"/>
  <c r="K101" i="139" s="1"/>
  <c r="E101" i="136"/>
  <c r="I101" i="136" s="1"/>
  <c r="K101" i="134"/>
  <c r="E88" i="139"/>
  <c r="I88" i="139" s="1"/>
  <c r="K88" i="139" s="1"/>
  <c r="E88" i="136"/>
  <c r="I88" i="136" s="1"/>
  <c r="K88" i="134"/>
  <c r="E82" i="139"/>
  <c r="I82" i="139" s="1"/>
  <c r="K82" i="139" s="1"/>
  <c r="E82" i="136"/>
  <c r="I82" i="136" s="1"/>
  <c r="K82" i="134"/>
  <c r="E129" i="139"/>
  <c r="I129" i="139" s="1"/>
  <c r="K129" i="139" s="1"/>
  <c r="E129" i="136"/>
  <c r="I129" i="136" s="1"/>
  <c r="K129" i="134"/>
  <c r="E71" i="139"/>
  <c r="I71" i="139" s="1"/>
  <c r="K71" i="139" s="1"/>
  <c r="K71" i="134"/>
  <c r="E71" i="136"/>
  <c r="I71" i="136" s="1"/>
  <c r="K117" i="133"/>
  <c r="K121" i="133" s="1"/>
  <c r="K173" i="133" s="1"/>
  <c r="E117" i="134"/>
  <c r="E87" i="139"/>
  <c r="I87" i="139" s="1"/>
  <c r="K87" i="139" s="1"/>
  <c r="E87" i="136"/>
  <c r="I87" i="136" s="1"/>
  <c r="K87" i="134"/>
  <c r="E124" i="139"/>
  <c r="I124" i="139" s="1"/>
  <c r="K124" i="139" s="1"/>
  <c r="K124" i="134"/>
  <c r="E124" i="136"/>
  <c r="I124" i="136" s="1"/>
  <c r="K114" i="133"/>
  <c r="K172" i="133" s="1"/>
  <c r="I172" i="133"/>
  <c r="E114" i="134"/>
  <c r="E59" i="139"/>
  <c r="I59" i="139" s="1"/>
  <c r="K59" i="139" s="1"/>
  <c r="K59" i="134"/>
  <c r="E59" i="136"/>
  <c r="I59" i="136" s="1"/>
  <c r="E128" i="139"/>
  <c r="I128" i="139" s="1"/>
  <c r="K128" i="139" s="1"/>
  <c r="K128" i="134"/>
  <c r="E128" i="136"/>
  <c r="I128" i="136" s="1"/>
  <c r="E170" i="133"/>
  <c r="E133" i="133"/>
  <c r="E119" i="139"/>
  <c r="I119" i="139" s="1"/>
  <c r="K119" i="139" s="1"/>
  <c r="K119" i="134"/>
  <c r="E119" i="136"/>
  <c r="I119" i="136" s="1"/>
  <c r="E125" i="139"/>
  <c r="I125" i="139" s="1"/>
  <c r="K125" i="139" s="1"/>
  <c r="E125" i="136"/>
  <c r="I125" i="136" s="1"/>
  <c r="K125" i="134"/>
  <c r="I10" i="134"/>
  <c r="E12" i="134"/>
  <c r="E163" i="134" s="1"/>
  <c r="K9" i="139"/>
  <c r="K16" i="139"/>
  <c r="K118" i="136"/>
  <c r="E118" i="137"/>
  <c r="I118" i="137" s="1"/>
  <c r="K103" i="136"/>
  <c r="E103" i="137"/>
  <c r="I103" i="137" s="1"/>
  <c r="I9" i="136"/>
  <c r="E9" i="137" s="1"/>
  <c r="J178" i="133"/>
  <c r="I176" i="132"/>
  <c r="H188" i="132"/>
  <c r="G138" i="132"/>
  <c r="T135" i="132"/>
  <c r="V135" i="132" s="1"/>
  <c r="K133" i="132"/>
  <c r="K36" i="132"/>
  <c r="K80" i="132" s="1"/>
  <c r="K167" i="132" s="1"/>
  <c r="K176" i="132" s="1"/>
  <c r="I133" i="132"/>
  <c r="J96" i="132"/>
  <c r="J135" i="132" s="1"/>
  <c r="J178" i="132" s="1"/>
  <c r="E135" i="132"/>
  <c r="E178" i="132" s="1"/>
  <c r="I96" i="132"/>
  <c r="I82" i="131"/>
  <c r="K82" i="131" s="1"/>
  <c r="I82" i="130"/>
  <c r="K82" i="130" s="1"/>
  <c r="I82" i="129"/>
  <c r="E100" i="137" l="1"/>
  <c r="I100" i="137" s="1"/>
  <c r="K100" i="136"/>
  <c r="E125" i="137"/>
  <c r="I125" i="137" s="1"/>
  <c r="K125" i="136"/>
  <c r="E82" i="137"/>
  <c r="I82" i="137" s="1"/>
  <c r="K82" i="136"/>
  <c r="I165" i="133"/>
  <c r="I15" i="134"/>
  <c r="E19" i="134"/>
  <c r="E164" i="134" s="1"/>
  <c r="E53" i="137"/>
  <c r="I53" i="137" s="1"/>
  <c r="K53" i="136"/>
  <c r="I99" i="134"/>
  <c r="E106" i="134"/>
  <c r="K124" i="136"/>
  <c r="E124" i="137"/>
  <c r="I124" i="137" s="1"/>
  <c r="K87" i="136"/>
  <c r="E87" i="137"/>
  <c r="I87" i="137" s="1"/>
  <c r="K71" i="136"/>
  <c r="E71" i="137"/>
  <c r="I71" i="137" s="1"/>
  <c r="E129" i="137"/>
  <c r="I129" i="137" s="1"/>
  <c r="K129" i="136"/>
  <c r="K79" i="136"/>
  <c r="E79" i="137"/>
  <c r="I79" i="137" s="1"/>
  <c r="E75" i="137"/>
  <c r="I75" i="137" s="1"/>
  <c r="K75" i="136"/>
  <c r="I52" i="134"/>
  <c r="E80" i="134"/>
  <c r="E167" i="134" s="1"/>
  <c r="E96" i="133"/>
  <c r="E135" i="133" s="1"/>
  <c r="K128" i="136"/>
  <c r="E128" i="137"/>
  <c r="I128" i="137" s="1"/>
  <c r="I117" i="134"/>
  <c r="E121" i="134"/>
  <c r="E173" i="134" s="1"/>
  <c r="E88" i="137"/>
  <c r="I88" i="137" s="1"/>
  <c r="K88" i="136"/>
  <c r="K86" i="133"/>
  <c r="K90" i="133" s="1"/>
  <c r="K168" i="133" s="1"/>
  <c r="E86" i="134"/>
  <c r="I90" i="133"/>
  <c r="I168" i="133" s="1"/>
  <c r="E126" i="137"/>
  <c r="I126" i="137" s="1"/>
  <c r="K126" i="136"/>
  <c r="K170" i="133"/>
  <c r="K133" i="133"/>
  <c r="K102" i="136"/>
  <c r="E102" i="137"/>
  <c r="I102" i="137" s="1"/>
  <c r="K28" i="136"/>
  <c r="E28" i="137"/>
  <c r="I28" i="137" s="1"/>
  <c r="K63" i="136"/>
  <c r="E63" i="137"/>
  <c r="I63" i="137" s="1"/>
  <c r="E73" i="137"/>
  <c r="I73" i="137" s="1"/>
  <c r="K73" i="136"/>
  <c r="E10" i="139"/>
  <c r="E10" i="136"/>
  <c r="K10" i="134"/>
  <c r="K12" i="134" s="1"/>
  <c r="K163" i="134" s="1"/>
  <c r="I12" i="134"/>
  <c r="I163" i="134" s="1"/>
  <c r="K119" i="136"/>
  <c r="E119" i="137"/>
  <c r="I119" i="137" s="1"/>
  <c r="K59" i="136"/>
  <c r="E59" i="137"/>
  <c r="I59" i="137" s="1"/>
  <c r="E172" i="134"/>
  <c r="I114" i="134"/>
  <c r="E101" i="137"/>
  <c r="I101" i="137" s="1"/>
  <c r="K101" i="136"/>
  <c r="K104" i="136"/>
  <c r="E104" i="137"/>
  <c r="I104" i="137" s="1"/>
  <c r="K127" i="136"/>
  <c r="E127" i="137"/>
  <c r="I127" i="137" s="1"/>
  <c r="I30" i="133"/>
  <c r="I166" i="133" s="1"/>
  <c r="E27" i="134"/>
  <c r="K27" i="133"/>
  <c r="K30" i="133" s="1"/>
  <c r="K166" i="133" s="1"/>
  <c r="I22" i="134"/>
  <c r="E24" i="134"/>
  <c r="E176" i="133"/>
  <c r="K77" i="136"/>
  <c r="E77" i="137"/>
  <c r="I77" i="137" s="1"/>
  <c r="I123" i="134"/>
  <c r="E131" i="134"/>
  <c r="E174" i="134" s="1"/>
  <c r="E69" i="137"/>
  <c r="I69" i="137" s="1"/>
  <c r="K69" i="136"/>
  <c r="K67" i="136"/>
  <c r="E67" i="137"/>
  <c r="I67" i="137" s="1"/>
  <c r="I170" i="133"/>
  <c r="I133" i="133"/>
  <c r="K82" i="129"/>
  <c r="E84" i="144"/>
  <c r="E82" i="135"/>
  <c r="I82" i="135" s="1"/>
  <c r="K82" i="135" s="1"/>
  <c r="K103" i="137"/>
  <c r="E103" i="138"/>
  <c r="I103" i="138" s="1"/>
  <c r="E103" i="142" s="1"/>
  <c r="I103" i="142" s="1"/>
  <c r="K118" i="137"/>
  <c r="E118" i="138"/>
  <c r="I118" i="138" s="1"/>
  <c r="E118" i="142" s="1"/>
  <c r="I118" i="142" s="1"/>
  <c r="I16" i="137"/>
  <c r="E16" i="138" s="1"/>
  <c r="I9" i="137"/>
  <c r="E9" i="138" s="1"/>
  <c r="I9" i="138" s="1"/>
  <c r="K9" i="136"/>
  <c r="K16" i="136"/>
  <c r="I135" i="132"/>
  <c r="I178" i="132" s="1"/>
  <c r="K96" i="132"/>
  <c r="K135" i="132" s="1"/>
  <c r="K178" i="132" s="1"/>
  <c r="G130" i="131"/>
  <c r="G129" i="131"/>
  <c r="G128" i="131"/>
  <c r="G127" i="131"/>
  <c r="I176" i="133" l="1"/>
  <c r="E178" i="133"/>
  <c r="I96" i="133"/>
  <c r="I135" i="133" s="1"/>
  <c r="K77" i="137"/>
  <c r="E77" i="138"/>
  <c r="I77" i="138" s="1"/>
  <c r="E22" i="139"/>
  <c r="I24" i="134"/>
  <c r="E22" i="136"/>
  <c r="K22" i="134"/>
  <c r="K24" i="134" s="1"/>
  <c r="K165" i="134" s="1"/>
  <c r="K59" i="137"/>
  <c r="E59" i="138"/>
  <c r="I59" i="138" s="1"/>
  <c r="K126" i="137"/>
  <c r="E126" i="138"/>
  <c r="I126" i="138" s="1"/>
  <c r="E52" i="139"/>
  <c r="K52" i="134"/>
  <c r="K80" i="134" s="1"/>
  <c r="K167" i="134" s="1"/>
  <c r="E52" i="136"/>
  <c r="I80" i="134"/>
  <c r="I167" i="134" s="1"/>
  <c r="K69" i="137"/>
  <c r="E69" i="138"/>
  <c r="I69" i="138" s="1"/>
  <c r="E28" i="138"/>
  <c r="I28" i="138" s="1"/>
  <c r="K28" i="137"/>
  <c r="K87" i="137"/>
  <c r="E87" i="138"/>
  <c r="I87" i="138" s="1"/>
  <c r="K125" i="137"/>
  <c r="E125" i="138"/>
  <c r="I125" i="138" s="1"/>
  <c r="K67" i="137"/>
  <c r="E67" i="138"/>
  <c r="I67" i="138" s="1"/>
  <c r="E30" i="134"/>
  <c r="E166" i="134" s="1"/>
  <c r="I27" i="134"/>
  <c r="K104" i="137"/>
  <c r="E104" i="138"/>
  <c r="I104" i="138" s="1"/>
  <c r="E114" i="139"/>
  <c r="E114" i="136"/>
  <c r="I172" i="134"/>
  <c r="K114" i="134"/>
  <c r="K172" i="134" s="1"/>
  <c r="E119" i="138"/>
  <c r="I119" i="138" s="1"/>
  <c r="K119" i="137"/>
  <c r="I10" i="136"/>
  <c r="E12" i="136"/>
  <c r="E163" i="136" s="1"/>
  <c r="K73" i="137"/>
  <c r="E73" i="138"/>
  <c r="I73" i="138" s="1"/>
  <c r="K176" i="133"/>
  <c r="E90" i="134"/>
  <c r="E168" i="134" s="1"/>
  <c r="I86" i="134"/>
  <c r="K75" i="137"/>
  <c r="E75" i="138"/>
  <c r="I75" i="138" s="1"/>
  <c r="K129" i="137"/>
  <c r="E129" i="138"/>
  <c r="I129" i="138" s="1"/>
  <c r="E170" i="134"/>
  <c r="E133" i="134"/>
  <c r="K127" i="137"/>
  <c r="E127" i="138"/>
  <c r="I127" i="138" s="1"/>
  <c r="K128" i="137"/>
  <c r="E128" i="138"/>
  <c r="I128" i="138" s="1"/>
  <c r="K101" i="137"/>
  <c r="E101" i="138"/>
  <c r="I101" i="138" s="1"/>
  <c r="K88" i="137"/>
  <c r="E88" i="138"/>
  <c r="I88" i="138" s="1"/>
  <c r="K53" i="137"/>
  <c r="E53" i="138"/>
  <c r="I53" i="138" s="1"/>
  <c r="K96" i="133"/>
  <c r="K135" i="133" s="1"/>
  <c r="E123" i="139"/>
  <c r="E123" i="136"/>
  <c r="K123" i="134"/>
  <c r="K131" i="134" s="1"/>
  <c r="K174" i="134" s="1"/>
  <c r="I131" i="134"/>
  <c r="I174" i="134" s="1"/>
  <c r="E165" i="134"/>
  <c r="I10" i="139"/>
  <c r="E12" i="139"/>
  <c r="K63" i="137"/>
  <c r="E63" i="138"/>
  <c r="I63" i="138" s="1"/>
  <c r="K102" i="137"/>
  <c r="E102" i="138"/>
  <c r="I102" i="138" s="1"/>
  <c r="E117" i="139"/>
  <c r="K117" i="134"/>
  <c r="K121" i="134" s="1"/>
  <c r="K173" i="134" s="1"/>
  <c r="E117" i="136"/>
  <c r="I121" i="134"/>
  <c r="I173" i="134" s="1"/>
  <c r="K79" i="137"/>
  <c r="E79" i="138"/>
  <c r="I79" i="138" s="1"/>
  <c r="K79" i="138" s="1"/>
  <c r="K71" i="137"/>
  <c r="E71" i="138"/>
  <c r="I71" i="138" s="1"/>
  <c r="K124" i="137"/>
  <c r="E124" i="138"/>
  <c r="I124" i="138" s="1"/>
  <c r="E99" i="139"/>
  <c r="E99" i="136"/>
  <c r="K99" i="134"/>
  <c r="K106" i="134" s="1"/>
  <c r="I106" i="134"/>
  <c r="E15" i="139"/>
  <c r="E15" i="136"/>
  <c r="K15" i="134"/>
  <c r="K19" i="134" s="1"/>
  <c r="K164" i="134" s="1"/>
  <c r="I19" i="134"/>
  <c r="I164" i="134" s="1"/>
  <c r="K82" i="137"/>
  <c r="E82" i="138"/>
  <c r="I82" i="138" s="1"/>
  <c r="K100" i="137"/>
  <c r="E100" i="138"/>
  <c r="I100" i="138" s="1"/>
  <c r="I84" i="144"/>
  <c r="E86" i="147" s="1"/>
  <c r="I86" i="147" s="1"/>
  <c r="E87" i="150" s="1"/>
  <c r="I87" i="150" s="1"/>
  <c r="E89" i="153" s="1"/>
  <c r="I89" i="153" s="1"/>
  <c r="K89" i="153" s="1"/>
  <c r="I135" i="144"/>
  <c r="K118" i="142"/>
  <c r="E118" i="143"/>
  <c r="I118" i="143" s="1"/>
  <c r="E125" i="145" s="1"/>
  <c r="I125" i="145" s="1"/>
  <c r="K103" i="142"/>
  <c r="E103" i="143"/>
  <c r="I103" i="143" s="1"/>
  <c r="E9" i="140"/>
  <c r="I9" i="140" s="1"/>
  <c r="E9" i="141" s="1"/>
  <c r="E9" i="142"/>
  <c r="K118" i="138"/>
  <c r="E118" i="140"/>
  <c r="I118" i="140" s="1"/>
  <c r="K103" i="138"/>
  <c r="E103" i="140"/>
  <c r="I103" i="140" s="1"/>
  <c r="I16" i="138"/>
  <c r="K9" i="138"/>
  <c r="K9" i="137"/>
  <c r="K16" i="137"/>
  <c r="G126" i="131"/>
  <c r="G125" i="131"/>
  <c r="G121" i="131"/>
  <c r="G120" i="131"/>
  <c r="G119" i="131"/>
  <c r="H106" i="131"/>
  <c r="G106" i="131"/>
  <c r="H105" i="131"/>
  <c r="G105" i="131"/>
  <c r="H104" i="131"/>
  <c r="G104" i="131"/>
  <c r="G103" i="131"/>
  <c r="H102" i="131"/>
  <c r="G102" i="131"/>
  <c r="H101" i="131"/>
  <c r="G101" i="131"/>
  <c r="G79" i="131"/>
  <c r="G77" i="131"/>
  <c r="G75" i="131"/>
  <c r="G73" i="131"/>
  <c r="G71" i="131"/>
  <c r="G69" i="131"/>
  <c r="G67" i="131"/>
  <c r="G63" i="131"/>
  <c r="G59" i="131"/>
  <c r="G53" i="131"/>
  <c r="G52" i="131"/>
  <c r="G28" i="131"/>
  <c r="H27" i="131"/>
  <c r="G27" i="131"/>
  <c r="H22" i="131"/>
  <c r="G22" i="131"/>
  <c r="G17" i="131"/>
  <c r="G16" i="131"/>
  <c r="G15" i="131"/>
  <c r="G10" i="131"/>
  <c r="G9" i="131"/>
  <c r="E130" i="131"/>
  <c r="E129" i="131"/>
  <c r="E128" i="131"/>
  <c r="E127" i="131"/>
  <c r="E126" i="131"/>
  <c r="E125" i="131"/>
  <c r="E121" i="131"/>
  <c r="E120" i="131"/>
  <c r="E119" i="131"/>
  <c r="E116" i="131"/>
  <c r="E106" i="131"/>
  <c r="E105" i="131"/>
  <c r="E104" i="131"/>
  <c r="E103" i="131"/>
  <c r="E102" i="131"/>
  <c r="E101" i="131"/>
  <c r="E90" i="131"/>
  <c r="E89" i="131"/>
  <c r="E88" i="131"/>
  <c r="E67" i="131"/>
  <c r="E63" i="131"/>
  <c r="E59" i="131"/>
  <c r="E53" i="131"/>
  <c r="E52" i="131"/>
  <c r="E28" i="131"/>
  <c r="E27" i="131"/>
  <c r="E22" i="131"/>
  <c r="E17" i="131"/>
  <c r="E16" i="131"/>
  <c r="K87" i="150" l="1"/>
  <c r="E89" i="151"/>
  <c r="I89" i="151" s="1"/>
  <c r="I178" i="133"/>
  <c r="K178" i="133"/>
  <c r="K135" i="144"/>
  <c r="E138" i="147"/>
  <c r="I138" i="147" s="1"/>
  <c r="E141" i="150" s="1"/>
  <c r="I141" i="150" s="1"/>
  <c r="E143" i="153" s="1"/>
  <c r="I143" i="153" s="1"/>
  <c r="K143" i="153" s="1"/>
  <c r="E136" i="145"/>
  <c r="I136" i="145" s="1"/>
  <c r="E100" i="142"/>
  <c r="I100" i="142" s="1"/>
  <c r="E100" i="140"/>
  <c r="I100" i="140" s="1"/>
  <c r="K100" i="138"/>
  <c r="I170" i="134"/>
  <c r="I133" i="134"/>
  <c r="E124" i="142"/>
  <c r="I124" i="142" s="1"/>
  <c r="K124" i="138"/>
  <c r="E124" i="140"/>
  <c r="I124" i="140" s="1"/>
  <c r="E63" i="142"/>
  <c r="I63" i="142" s="1"/>
  <c r="E63" i="140"/>
  <c r="I63" i="140" s="1"/>
  <c r="K63" i="138"/>
  <c r="E96" i="134"/>
  <c r="E135" i="134" s="1"/>
  <c r="E131" i="136"/>
  <c r="E174" i="136" s="1"/>
  <c r="I123" i="136"/>
  <c r="E176" i="134"/>
  <c r="E73" i="142"/>
  <c r="I73" i="142" s="1"/>
  <c r="E73" i="140"/>
  <c r="I73" i="140" s="1"/>
  <c r="K73" i="138"/>
  <c r="I114" i="136"/>
  <c r="E172" i="136"/>
  <c r="E27" i="139"/>
  <c r="K27" i="134"/>
  <c r="K30" i="134" s="1"/>
  <c r="E27" i="136"/>
  <c r="I30" i="134"/>
  <c r="I166" i="134" s="1"/>
  <c r="E59" i="142"/>
  <c r="I59" i="142" s="1"/>
  <c r="E59" i="140"/>
  <c r="I59" i="140" s="1"/>
  <c r="K59" i="138"/>
  <c r="I165" i="134"/>
  <c r="K170" i="134"/>
  <c r="K133" i="134"/>
  <c r="E121" i="139"/>
  <c r="E173" i="139" s="1"/>
  <c r="I117" i="139"/>
  <c r="E131" i="139"/>
  <c r="E174" i="139" s="1"/>
  <c r="I123" i="139"/>
  <c r="E88" i="142"/>
  <c r="I88" i="142" s="1"/>
  <c r="E88" i="140"/>
  <c r="I88" i="140" s="1"/>
  <c r="K88" i="138"/>
  <c r="E127" i="142"/>
  <c r="I127" i="142" s="1"/>
  <c r="E127" i="140"/>
  <c r="I127" i="140" s="1"/>
  <c r="K127" i="138"/>
  <c r="E129" i="142"/>
  <c r="I129" i="142" s="1"/>
  <c r="E129" i="140"/>
  <c r="I129" i="140" s="1"/>
  <c r="K129" i="138"/>
  <c r="E86" i="139"/>
  <c r="K86" i="134"/>
  <c r="K90" i="134" s="1"/>
  <c r="K168" i="134" s="1"/>
  <c r="E86" i="136"/>
  <c r="I90" i="134"/>
  <c r="I168" i="134" s="1"/>
  <c r="E119" i="142"/>
  <c r="I119" i="142" s="1"/>
  <c r="E119" i="140"/>
  <c r="I119" i="140" s="1"/>
  <c r="K119" i="138"/>
  <c r="I114" i="139"/>
  <c r="E172" i="139"/>
  <c r="E125" i="142"/>
  <c r="I125" i="142" s="1"/>
  <c r="E125" i="140"/>
  <c r="I125" i="140" s="1"/>
  <c r="K125" i="138"/>
  <c r="E80" i="139"/>
  <c r="E167" i="139" s="1"/>
  <c r="I52" i="139"/>
  <c r="E24" i="139"/>
  <c r="E165" i="139" s="1"/>
  <c r="I22" i="139"/>
  <c r="E82" i="142"/>
  <c r="I82" i="142" s="1"/>
  <c r="K82" i="138"/>
  <c r="E82" i="140"/>
  <c r="I82" i="140" s="1"/>
  <c r="I15" i="136"/>
  <c r="E19" i="136"/>
  <c r="E164" i="136" s="1"/>
  <c r="E106" i="136"/>
  <c r="I99" i="136"/>
  <c r="E71" i="142"/>
  <c r="I71" i="142" s="1"/>
  <c r="K71" i="138"/>
  <c r="E71" i="140"/>
  <c r="I71" i="140" s="1"/>
  <c r="E102" i="142"/>
  <c r="I102" i="142" s="1"/>
  <c r="E102" i="140"/>
  <c r="I102" i="140" s="1"/>
  <c r="K102" i="138"/>
  <c r="E163" i="139"/>
  <c r="E104" i="142"/>
  <c r="I104" i="142" s="1"/>
  <c r="K104" i="138"/>
  <c r="E104" i="140"/>
  <c r="I104" i="140" s="1"/>
  <c r="E67" i="142"/>
  <c r="I67" i="142" s="1"/>
  <c r="K67" i="138"/>
  <c r="E67" i="140"/>
  <c r="I67" i="140" s="1"/>
  <c r="E28" i="142"/>
  <c r="I28" i="142" s="1"/>
  <c r="E28" i="140"/>
  <c r="I28" i="140" s="1"/>
  <c r="K28" i="138"/>
  <c r="E126" i="142"/>
  <c r="I126" i="142" s="1"/>
  <c r="E126" i="140"/>
  <c r="I126" i="140" s="1"/>
  <c r="K126" i="138"/>
  <c r="E77" i="142"/>
  <c r="I77" i="142" s="1"/>
  <c r="K77" i="138"/>
  <c r="E77" i="140"/>
  <c r="I77" i="140" s="1"/>
  <c r="I15" i="139"/>
  <c r="E19" i="139"/>
  <c r="E164" i="139" s="1"/>
  <c r="E106" i="139"/>
  <c r="I99" i="139"/>
  <c r="I117" i="136"/>
  <c r="E121" i="136"/>
  <c r="E173" i="136" s="1"/>
  <c r="K10" i="139"/>
  <c r="K12" i="139" s="1"/>
  <c r="I12" i="139"/>
  <c r="E53" i="142"/>
  <c r="I53" i="142" s="1"/>
  <c r="E53" i="140"/>
  <c r="I53" i="140" s="1"/>
  <c r="K53" i="138"/>
  <c r="E101" i="142"/>
  <c r="I101" i="142" s="1"/>
  <c r="E101" i="140"/>
  <c r="I101" i="140" s="1"/>
  <c r="K101" i="138"/>
  <c r="E128" i="142"/>
  <c r="I128" i="142" s="1"/>
  <c r="E128" i="140"/>
  <c r="I128" i="140" s="1"/>
  <c r="K128" i="138"/>
  <c r="E75" i="142"/>
  <c r="I75" i="142" s="1"/>
  <c r="E75" i="140"/>
  <c r="I75" i="140" s="1"/>
  <c r="K75" i="138"/>
  <c r="K10" i="136"/>
  <c r="K12" i="136" s="1"/>
  <c r="K163" i="136" s="1"/>
  <c r="E10" i="137"/>
  <c r="I12" i="136"/>
  <c r="I163" i="136" s="1"/>
  <c r="E87" i="142"/>
  <c r="I87" i="142" s="1"/>
  <c r="E87" i="140"/>
  <c r="I87" i="140" s="1"/>
  <c r="K87" i="138"/>
  <c r="E69" i="142"/>
  <c r="I69" i="142" s="1"/>
  <c r="K69" i="138"/>
  <c r="E69" i="140"/>
  <c r="I69" i="140" s="1"/>
  <c r="I52" i="136"/>
  <c r="E80" i="136"/>
  <c r="E167" i="136" s="1"/>
  <c r="E24" i="136"/>
  <c r="I22" i="136"/>
  <c r="K86" i="147"/>
  <c r="E86" i="148"/>
  <c r="I86" i="148" s="1"/>
  <c r="K125" i="145"/>
  <c r="E125" i="146"/>
  <c r="I125" i="146" s="1"/>
  <c r="K125" i="146" s="1"/>
  <c r="K84" i="144"/>
  <c r="E86" i="145"/>
  <c r="I86" i="145" s="1"/>
  <c r="K103" i="143"/>
  <c r="K118" i="143"/>
  <c r="E124" i="144"/>
  <c r="I124" i="144" s="1"/>
  <c r="E16" i="140"/>
  <c r="I16" i="140" s="1"/>
  <c r="E16" i="141" s="1"/>
  <c r="E16" i="142"/>
  <c r="I9" i="142"/>
  <c r="E9" i="143" s="1"/>
  <c r="K103" i="140"/>
  <c r="E103" i="141"/>
  <c r="I103" i="141" s="1"/>
  <c r="K103" i="141" s="1"/>
  <c r="I9" i="141"/>
  <c r="K118" i="140"/>
  <c r="E118" i="141"/>
  <c r="I118" i="141" s="1"/>
  <c r="K118" i="141" s="1"/>
  <c r="K9" i="140"/>
  <c r="K16" i="138"/>
  <c r="E15" i="131"/>
  <c r="I15" i="131" s="1"/>
  <c r="E10" i="131"/>
  <c r="I10" i="131" s="1"/>
  <c r="K10" i="131" s="1"/>
  <c r="E9" i="131"/>
  <c r="I9" i="131" s="1"/>
  <c r="G181" i="131"/>
  <c r="F181" i="131"/>
  <c r="E178" i="131"/>
  <c r="E177" i="131"/>
  <c r="H167" i="131"/>
  <c r="G167" i="131"/>
  <c r="H166" i="131"/>
  <c r="G166" i="131"/>
  <c r="H165" i="131"/>
  <c r="G165" i="131"/>
  <c r="F157" i="131"/>
  <c r="F156" i="131"/>
  <c r="J155" i="131"/>
  <c r="F155" i="131"/>
  <c r="F153" i="131"/>
  <c r="F152" i="131"/>
  <c r="F151" i="131"/>
  <c r="F150" i="131"/>
  <c r="F147" i="131"/>
  <c r="F146" i="131"/>
  <c r="H145" i="131"/>
  <c r="F145" i="131"/>
  <c r="J132" i="131"/>
  <c r="J157" i="131" s="1"/>
  <c r="H132" i="131"/>
  <c r="G132" i="131"/>
  <c r="F132" i="131"/>
  <c r="I130" i="131"/>
  <c r="K130" i="131" s="1"/>
  <c r="I129" i="131"/>
  <c r="K129" i="131" s="1"/>
  <c r="I128" i="131"/>
  <c r="K128" i="131" s="1"/>
  <c r="I127" i="131"/>
  <c r="K127" i="131" s="1"/>
  <c r="I126" i="131"/>
  <c r="K126" i="131" s="1"/>
  <c r="I125" i="131"/>
  <c r="J123" i="131"/>
  <c r="J156" i="131" s="1"/>
  <c r="H123" i="131"/>
  <c r="G123" i="131"/>
  <c r="F123" i="131"/>
  <c r="E123" i="131"/>
  <c r="E156" i="131" s="1"/>
  <c r="I121" i="131"/>
  <c r="K121" i="131" s="1"/>
  <c r="I120" i="131"/>
  <c r="K120" i="131" s="1"/>
  <c r="I119" i="131"/>
  <c r="K119" i="131" s="1"/>
  <c r="L113" i="131"/>
  <c r="J113" i="131"/>
  <c r="J154" i="131" s="1"/>
  <c r="H113" i="131"/>
  <c r="G113" i="131"/>
  <c r="F113" i="131"/>
  <c r="E111" i="131"/>
  <c r="I111" i="131" s="1"/>
  <c r="K111" i="131" s="1"/>
  <c r="I110" i="131"/>
  <c r="K110" i="131" s="1"/>
  <c r="J108" i="131"/>
  <c r="J153" i="131" s="1"/>
  <c r="H108" i="131"/>
  <c r="G108" i="131"/>
  <c r="F108" i="131"/>
  <c r="I106" i="131"/>
  <c r="K106" i="131" s="1"/>
  <c r="I105" i="131"/>
  <c r="K105" i="131" s="1"/>
  <c r="I104" i="131"/>
  <c r="K104" i="131" s="1"/>
  <c r="I103" i="131"/>
  <c r="K103" i="131" s="1"/>
  <c r="I102" i="131"/>
  <c r="K102" i="131" s="1"/>
  <c r="I101" i="131"/>
  <c r="I95" i="131"/>
  <c r="I94" i="131"/>
  <c r="H92" i="131"/>
  <c r="G92" i="131"/>
  <c r="F92" i="131"/>
  <c r="I90" i="131"/>
  <c r="K90" i="131" s="1"/>
  <c r="I89" i="131"/>
  <c r="K89" i="131" s="1"/>
  <c r="I87" i="131"/>
  <c r="J87" i="131" s="1"/>
  <c r="J92" i="131" s="1"/>
  <c r="J151" i="131" s="1"/>
  <c r="I79" i="131"/>
  <c r="K79" i="131" s="1"/>
  <c r="I75" i="131"/>
  <c r="K75" i="131" s="1"/>
  <c r="I73" i="131"/>
  <c r="K73" i="131" s="1"/>
  <c r="I71" i="131"/>
  <c r="K71" i="131" s="1"/>
  <c r="I69" i="131"/>
  <c r="K69" i="131" s="1"/>
  <c r="I67" i="131"/>
  <c r="K67" i="131" s="1"/>
  <c r="I64" i="131"/>
  <c r="K64" i="131" s="1"/>
  <c r="I63" i="131"/>
  <c r="K63" i="131" s="1"/>
  <c r="I59" i="131"/>
  <c r="K59" i="131" s="1"/>
  <c r="I57" i="131"/>
  <c r="K57" i="131" s="1"/>
  <c r="I55" i="131"/>
  <c r="I53" i="131"/>
  <c r="K53" i="131" s="1"/>
  <c r="I50" i="131"/>
  <c r="J50" i="131" s="1"/>
  <c r="K50" i="131" s="1"/>
  <c r="I48" i="131"/>
  <c r="I46" i="131"/>
  <c r="I44" i="131"/>
  <c r="J44" i="131" s="1"/>
  <c r="K44" i="131" s="1"/>
  <c r="I42" i="131"/>
  <c r="J42" i="131" s="1"/>
  <c r="K39" i="131"/>
  <c r="J39" i="131"/>
  <c r="I39" i="131"/>
  <c r="H39" i="131"/>
  <c r="G39" i="131"/>
  <c r="F39" i="131"/>
  <c r="E39" i="131"/>
  <c r="H36" i="131"/>
  <c r="G36" i="131"/>
  <c r="F36" i="131"/>
  <c r="E34" i="131"/>
  <c r="I34" i="131" s="1"/>
  <c r="J30" i="131"/>
  <c r="J149" i="131" s="1"/>
  <c r="H30" i="131"/>
  <c r="H138" i="131" s="1"/>
  <c r="G30" i="131"/>
  <c r="G138" i="131" s="1"/>
  <c r="F30" i="131"/>
  <c r="I28" i="131"/>
  <c r="K28" i="131" s="1"/>
  <c r="J24" i="131"/>
  <c r="J148" i="131" s="1"/>
  <c r="H24" i="131"/>
  <c r="G24" i="131"/>
  <c r="F24" i="131"/>
  <c r="I22" i="131"/>
  <c r="I24" i="131" s="1"/>
  <c r="I148" i="131" s="1"/>
  <c r="E24" i="131"/>
  <c r="E148" i="131" s="1"/>
  <c r="J19" i="131"/>
  <c r="J147" i="131" s="1"/>
  <c r="H19" i="131"/>
  <c r="G19" i="131"/>
  <c r="F19" i="131"/>
  <c r="I17" i="131"/>
  <c r="K17" i="131" s="1"/>
  <c r="I16" i="131"/>
  <c r="K16" i="131" s="1"/>
  <c r="J12" i="131"/>
  <c r="J146" i="131" s="1"/>
  <c r="H12" i="131"/>
  <c r="G12" i="131"/>
  <c r="F12" i="131"/>
  <c r="K6" i="131"/>
  <c r="G181" i="130"/>
  <c r="F181" i="130"/>
  <c r="E178" i="130"/>
  <c r="E177" i="130"/>
  <c r="H167" i="130"/>
  <c r="G167" i="130"/>
  <c r="H166" i="130"/>
  <c r="G166" i="130"/>
  <c r="H165" i="130"/>
  <c r="G165" i="130"/>
  <c r="F157" i="130"/>
  <c r="F156" i="130"/>
  <c r="J155" i="130"/>
  <c r="F155" i="130"/>
  <c r="F153" i="130"/>
  <c r="F152" i="130"/>
  <c r="F151" i="130"/>
  <c r="F150" i="130"/>
  <c r="F147" i="130"/>
  <c r="F146" i="130"/>
  <c r="H145" i="130"/>
  <c r="F145" i="130"/>
  <c r="J132" i="130"/>
  <c r="J157" i="130" s="1"/>
  <c r="H132" i="130"/>
  <c r="G132" i="130"/>
  <c r="F132" i="130"/>
  <c r="J123" i="130"/>
  <c r="J156" i="130" s="1"/>
  <c r="H123" i="130"/>
  <c r="G123" i="130"/>
  <c r="F123" i="130"/>
  <c r="L113" i="130"/>
  <c r="J113" i="130"/>
  <c r="J154" i="130" s="1"/>
  <c r="H113" i="130"/>
  <c r="G113" i="130"/>
  <c r="F113" i="130"/>
  <c r="E111" i="130"/>
  <c r="I111" i="130" s="1"/>
  <c r="K111" i="130" s="1"/>
  <c r="I110" i="130"/>
  <c r="K110" i="130" s="1"/>
  <c r="J108" i="130"/>
  <c r="J153" i="130" s="1"/>
  <c r="H108" i="130"/>
  <c r="G108" i="130"/>
  <c r="F108" i="130"/>
  <c r="I95" i="130"/>
  <c r="I94" i="130"/>
  <c r="H92" i="130"/>
  <c r="G92" i="130"/>
  <c r="F92" i="130"/>
  <c r="I87" i="130"/>
  <c r="J87" i="130" s="1"/>
  <c r="J92" i="130" s="1"/>
  <c r="J151" i="130" s="1"/>
  <c r="I79" i="130"/>
  <c r="K79" i="130" s="1"/>
  <c r="I73" i="130"/>
  <c r="K73" i="130" s="1"/>
  <c r="I71" i="130"/>
  <c r="K71" i="130" s="1"/>
  <c r="I64" i="130"/>
  <c r="K64" i="130" s="1"/>
  <c r="I57" i="130"/>
  <c r="K57" i="130" s="1"/>
  <c r="I55" i="130"/>
  <c r="J55" i="130" s="1"/>
  <c r="K55" i="130" s="1"/>
  <c r="I50" i="130"/>
  <c r="J50" i="130" s="1"/>
  <c r="K50" i="130" s="1"/>
  <c r="I48" i="130"/>
  <c r="J48" i="130" s="1"/>
  <c r="K48" i="130" s="1"/>
  <c r="I46" i="130"/>
  <c r="J46" i="130" s="1"/>
  <c r="I44" i="130"/>
  <c r="I42" i="130"/>
  <c r="J42" i="130" s="1"/>
  <c r="K39" i="130"/>
  <c r="J39" i="130"/>
  <c r="I39" i="130"/>
  <c r="H39" i="130"/>
  <c r="G39" i="130"/>
  <c r="F39" i="130"/>
  <c r="E39" i="130"/>
  <c r="H36" i="130"/>
  <c r="G36" i="130"/>
  <c r="F36" i="130"/>
  <c r="E34" i="130"/>
  <c r="I34" i="130" s="1"/>
  <c r="J34" i="130" s="1"/>
  <c r="J30" i="130"/>
  <c r="J149" i="130" s="1"/>
  <c r="H30" i="130"/>
  <c r="H138" i="130" s="1"/>
  <c r="G30" i="130"/>
  <c r="G138" i="130" s="1"/>
  <c r="F30" i="130"/>
  <c r="J24" i="130"/>
  <c r="J148" i="130" s="1"/>
  <c r="H24" i="130"/>
  <c r="G24" i="130"/>
  <c r="F24" i="130"/>
  <c r="J19" i="130"/>
  <c r="J147" i="130" s="1"/>
  <c r="H19" i="130"/>
  <c r="G19" i="130"/>
  <c r="F19" i="130"/>
  <c r="J12" i="130"/>
  <c r="H12" i="130"/>
  <c r="G12" i="130"/>
  <c r="F12" i="130"/>
  <c r="K6" i="130"/>
  <c r="I73" i="129"/>
  <c r="I71" i="129"/>
  <c r="G179" i="129"/>
  <c r="F179" i="129"/>
  <c r="E176" i="129"/>
  <c r="E175" i="129"/>
  <c r="H165" i="129"/>
  <c r="G165" i="129"/>
  <c r="H164" i="129"/>
  <c r="G164" i="129"/>
  <c r="H163" i="129"/>
  <c r="G163" i="129"/>
  <c r="F155" i="129"/>
  <c r="F154" i="129"/>
  <c r="J153" i="129"/>
  <c r="F153" i="129"/>
  <c r="F151" i="129"/>
  <c r="F150" i="129"/>
  <c r="F149" i="129"/>
  <c r="F148" i="129"/>
  <c r="F145" i="129"/>
  <c r="F144" i="129"/>
  <c r="H143" i="129"/>
  <c r="F143" i="129"/>
  <c r="J130" i="129"/>
  <c r="J155" i="129" s="1"/>
  <c r="H130" i="129"/>
  <c r="G130" i="129"/>
  <c r="F130" i="129"/>
  <c r="J121" i="129"/>
  <c r="J154" i="129" s="1"/>
  <c r="H121" i="129"/>
  <c r="G121" i="129"/>
  <c r="F121" i="129"/>
  <c r="L111" i="129"/>
  <c r="J111" i="129"/>
  <c r="J152" i="129" s="1"/>
  <c r="H111" i="129"/>
  <c r="G111" i="129"/>
  <c r="F111" i="129"/>
  <c r="E109" i="129"/>
  <c r="E111" i="129" s="1"/>
  <c r="E152" i="129" s="1"/>
  <c r="I108" i="129"/>
  <c r="J106" i="129"/>
  <c r="H106" i="129"/>
  <c r="G106" i="129"/>
  <c r="F106" i="129"/>
  <c r="I93" i="129"/>
  <c r="I92" i="129"/>
  <c r="H90" i="129"/>
  <c r="G90" i="129"/>
  <c r="F90" i="129"/>
  <c r="I85" i="129"/>
  <c r="J85" i="129" s="1"/>
  <c r="K85" i="129" s="1"/>
  <c r="I64" i="129"/>
  <c r="K64" i="129" s="1"/>
  <c r="I57" i="129"/>
  <c r="I55" i="129"/>
  <c r="J55" i="129" s="1"/>
  <c r="I50" i="129"/>
  <c r="J50" i="129" s="1"/>
  <c r="I48" i="129"/>
  <c r="J48" i="129" s="1"/>
  <c r="I46" i="129"/>
  <c r="J46" i="129" s="1"/>
  <c r="I44" i="129"/>
  <c r="J44" i="129" s="1"/>
  <c r="K44" i="129" s="1"/>
  <c r="I42" i="129"/>
  <c r="J42" i="129" s="1"/>
  <c r="K39" i="129"/>
  <c r="J39" i="129"/>
  <c r="I39" i="129"/>
  <c r="H39" i="129"/>
  <c r="G39" i="129"/>
  <c r="F39" i="129"/>
  <c r="E39" i="129"/>
  <c r="H36" i="129"/>
  <c r="G36" i="129"/>
  <c r="F36" i="129"/>
  <c r="E34" i="129"/>
  <c r="I34" i="129" s="1"/>
  <c r="J30" i="129"/>
  <c r="J147" i="129" s="1"/>
  <c r="H30" i="129"/>
  <c r="H136" i="129" s="1"/>
  <c r="G30" i="129"/>
  <c r="G136" i="129" s="1"/>
  <c r="F30" i="129"/>
  <c r="J24" i="129"/>
  <c r="J146" i="129" s="1"/>
  <c r="H24" i="129"/>
  <c r="G24" i="129"/>
  <c r="F24" i="129"/>
  <c r="J19" i="129"/>
  <c r="J145" i="129" s="1"/>
  <c r="H19" i="129"/>
  <c r="G19" i="129"/>
  <c r="F19" i="129"/>
  <c r="J12" i="129"/>
  <c r="H12" i="129"/>
  <c r="G12" i="129"/>
  <c r="F12" i="129"/>
  <c r="K6" i="129"/>
  <c r="H80" i="130" l="1"/>
  <c r="G80" i="129"/>
  <c r="H80" i="129"/>
  <c r="H96" i="129" s="1"/>
  <c r="H80" i="131"/>
  <c r="H98" i="131" s="1"/>
  <c r="E181" i="131"/>
  <c r="I145" i="131"/>
  <c r="K89" i="151"/>
  <c r="E89" i="152"/>
  <c r="I89" i="152" s="1"/>
  <c r="K89" i="152" s="1"/>
  <c r="K141" i="150"/>
  <c r="E143" i="151"/>
  <c r="I143" i="151" s="1"/>
  <c r="K86" i="148"/>
  <c r="E86" i="149"/>
  <c r="I86" i="149" s="1"/>
  <c r="K86" i="149" s="1"/>
  <c r="I176" i="134"/>
  <c r="G80" i="131"/>
  <c r="G98" i="131" s="1"/>
  <c r="K42" i="130"/>
  <c r="K87" i="130"/>
  <c r="I145" i="130"/>
  <c r="H134" i="130"/>
  <c r="H98" i="130"/>
  <c r="I36" i="129"/>
  <c r="J36" i="129" s="1"/>
  <c r="K36" i="129" s="1"/>
  <c r="K136" i="145"/>
  <c r="E136" i="146"/>
  <c r="I136" i="146" s="1"/>
  <c r="K136" i="146" s="1"/>
  <c r="K138" i="147"/>
  <c r="E140" i="148"/>
  <c r="I140" i="148" s="1"/>
  <c r="E128" i="143"/>
  <c r="I128" i="143" s="1"/>
  <c r="K128" i="143" s="1"/>
  <c r="K128" i="142"/>
  <c r="E77" i="141"/>
  <c r="I77" i="141" s="1"/>
  <c r="K77" i="141" s="1"/>
  <c r="K77" i="140"/>
  <c r="K104" i="140"/>
  <c r="E104" i="141"/>
  <c r="I104" i="141" s="1"/>
  <c r="K104" i="141" s="1"/>
  <c r="K71" i="140"/>
  <c r="E71" i="141"/>
  <c r="I71" i="141" s="1"/>
  <c r="K71" i="141" s="1"/>
  <c r="E170" i="136"/>
  <c r="E133" i="136"/>
  <c r="K52" i="139"/>
  <c r="K80" i="139" s="1"/>
  <c r="K167" i="139" s="1"/>
  <c r="I80" i="139"/>
  <c r="I167" i="139" s="1"/>
  <c r="E119" i="141"/>
  <c r="I119" i="141" s="1"/>
  <c r="K119" i="141" s="1"/>
  <c r="K119" i="140"/>
  <c r="I27" i="136"/>
  <c r="E30" i="136"/>
  <c r="E166" i="136" s="1"/>
  <c r="E114" i="137"/>
  <c r="K114" i="136"/>
  <c r="K172" i="136" s="1"/>
  <c r="I172" i="136"/>
  <c r="E69" i="141"/>
  <c r="I69" i="141" s="1"/>
  <c r="K69" i="141" s="1"/>
  <c r="K69" i="140"/>
  <c r="E178" i="134"/>
  <c r="K126" i="142"/>
  <c r="E126" i="143"/>
  <c r="I126" i="143" s="1"/>
  <c r="K126" i="143" s="1"/>
  <c r="E82" i="143"/>
  <c r="I82" i="143" s="1"/>
  <c r="K82" i="143" s="1"/>
  <c r="K82" i="142"/>
  <c r="E119" i="143"/>
  <c r="I119" i="143" s="1"/>
  <c r="K119" i="143" s="1"/>
  <c r="K119" i="142"/>
  <c r="I86" i="139"/>
  <c r="E90" i="139"/>
  <c r="E168" i="139" s="1"/>
  <c r="K88" i="140"/>
  <c r="E88" i="141"/>
  <c r="I88" i="141" s="1"/>
  <c r="K88" i="141" s="1"/>
  <c r="K117" i="139"/>
  <c r="K121" i="139" s="1"/>
  <c r="K173" i="139" s="1"/>
  <c r="I121" i="139"/>
  <c r="I173" i="139" s="1"/>
  <c r="E59" i="141"/>
  <c r="I59" i="141" s="1"/>
  <c r="K59" i="141" s="1"/>
  <c r="K59" i="140"/>
  <c r="K166" i="134"/>
  <c r="K176" i="134" s="1"/>
  <c r="K96" i="134"/>
  <c r="K135" i="134" s="1"/>
  <c r="E123" i="137"/>
  <c r="I131" i="136"/>
  <c r="I174" i="136" s="1"/>
  <c r="K123" i="136"/>
  <c r="K131" i="136" s="1"/>
  <c r="K174" i="136" s="1"/>
  <c r="E63" i="141"/>
  <c r="I63" i="141" s="1"/>
  <c r="K63" i="141" s="1"/>
  <c r="K63" i="140"/>
  <c r="K124" i="142"/>
  <c r="E124" i="143"/>
  <c r="I124" i="143" s="1"/>
  <c r="K124" i="143" s="1"/>
  <c r="K100" i="140"/>
  <c r="E100" i="141"/>
  <c r="I100" i="141" s="1"/>
  <c r="K100" i="141" s="1"/>
  <c r="E165" i="136"/>
  <c r="K87" i="142"/>
  <c r="E87" i="143"/>
  <c r="I87" i="143" s="1"/>
  <c r="K87" i="143" s="1"/>
  <c r="K101" i="140"/>
  <c r="E101" i="141"/>
  <c r="I101" i="141" s="1"/>
  <c r="K101" i="141" s="1"/>
  <c r="K53" i="142"/>
  <c r="E53" i="143"/>
  <c r="I53" i="143" s="1"/>
  <c r="K53" i="143" s="1"/>
  <c r="E117" i="137"/>
  <c r="I121" i="136"/>
  <c r="I173" i="136" s="1"/>
  <c r="K117" i="136"/>
  <c r="K121" i="136" s="1"/>
  <c r="K173" i="136" s="1"/>
  <c r="K15" i="139"/>
  <c r="K19" i="139" s="1"/>
  <c r="K164" i="139" s="1"/>
  <c r="I19" i="139"/>
  <c r="I164" i="139" s="1"/>
  <c r="K77" i="142"/>
  <c r="E77" i="143"/>
  <c r="I77" i="143" s="1"/>
  <c r="K77" i="143" s="1"/>
  <c r="K104" i="142"/>
  <c r="E104" i="143"/>
  <c r="I104" i="143" s="1"/>
  <c r="K104" i="143" s="1"/>
  <c r="E102" i="141"/>
  <c r="I102" i="141" s="1"/>
  <c r="K102" i="141" s="1"/>
  <c r="K102" i="140"/>
  <c r="K71" i="142"/>
  <c r="E71" i="143"/>
  <c r="I71" i="143" s="1"/>
  <c r="K71" i="143" s="1"/>
  <c r="E15" i="137"/>
  <c r="K15" i="136"/>
  <c r="K19" i="136" s="1"/>
  <c r="K164" i="136" s="1"/>
  <c r="I19" i="136"/>
  <c r="I164" i="136" s="1"/>
  <c r="K22" i="139"/>
  <c r="K24" i="139" s="1"/>
  <c r="K165" i="139" s="1"/>
  <c r="I24" i="139"/>
  <c r="I165" i="139" s="1"/>
  <c r="K114" i="139"/>
  <c r="K172" i="139" s="1"/>
  <c r="I172" i="139"/>
  <c r="K127" i="140"/>
  <c r="E127" i="141"/>
  <c r="I127" i="141" s="1"/>
  <c r="K127" i="141" s="1"/>
  <c r="E88" i="143"/>
  <c r="I88" i="143" s="1"/>
  <c r="K88" i="143" s="1"/>
  <c r="K88" i="142"/>
  <c r="I96" i="134"/>
  <c r="I135" i="134" s="1"/>
  <c r="K59" i="142"/>
  <c r="E59" i="143"/>
  <c r="I59" i="143" s="1"/>
  <c r="K59" i="143" s="1"/>
  <c r="I27" i="139"/>
  <c r="E30" i="139"/>
  <c r="E73" i="141"/>
  <c r="I73" i="141" s="1"/>
  <c r="K73" i="141" s="1"/>
  <c r="K73" i="140"/>
  <c r="K63" i="142"/>
  <c r="E63" i="143"/>
  <c r="I63" i="143" s="1"/>
  <c r="K63" i="143" s="1"/>
  <c r="K100" i="142"/>
  <c r="E100" i="143"/>
  <c r="I100" i="143" s="1"/>
  <c r="K100" i="143" s="1"/>
  <c r="E52" i="137"/>
  <c r="I80" i="136"/>
  <c r="I167" i="136" s="1"/>
  <c r="K52" i="136"/>
  <c r="K80" i="136" s="1"/>
  <c r="K167" i="136" s="1"/>
  <c r="I10" i="137"/>
  <c r="E12" i="137"/>
  <c r="K75" i="142"/>
  <c r="E75" i="143"/>
  <c r="I75" i="143" s="1"/>
  <c r="K75" i="143" s="1"/>
  <c r="K163" i="139"/>
  <c r="E170" i="139"/>
  <c r="E133" i="139"/>
  <c r="K126" i="140"/>
  <c r="E126" i="141"/>
  <c r="I126" i="141" s="1"/>
  <c r="K126" i="141" s="1"/>
  <c r="K28" i="142"/>
  <c r="E28" i="143"/>
  <c r="I28" i="143" s="1"/>
  <c r="K28" i="143" s="1"/>
  <c r="K125" i="142"/>
  <c r="E125" i="143"/>
  <c r="I125" i="143" s="1"/>
  <c r="K125" i="143" s="1"/>
  <c r="K129" i="142"/>
  <c r="E129" i="143"/>
  <c r="I129" i="143" s="1"/>
  <c r="K129" i="143" s="1"/>
  <c r="E22" i="137"/>
  <c r="K22" i="136"/>
  <c r="K24" i="136" s="1"/>
  <c r="I24" i="136"/>
  <c r="E87" i="141"/>
  <c r="I87" i="141" s="1"/>
  <c r="K87" i="141" s="1"/>
  <c r="K87" i="140"/>
  <c r="K53" i="140"/>
  <c r="E53" i="141"/>
  <c r="I53" i="141" s="1"/>
  <c r="K53" i="141" s="1"/>
  <c r="E67" i="141"/>
  <c r="I67" i="141" s="1"/>
  <c r="K67" i="141" s="1"/>
  <c r="K67" i="140"/>
  <c r="K69" i="142"/>
  <c r="E69" i="143"/>
  <c r="I69" i="143" s="1"/>
  <c r="K69" i="143" s="1"/>
  <c r="E75" i="141"/>
  <c r="I75" i="141" s="1"/>
  <c r="K75" i="141" s="1"/>
  <c r="K75" i="140"/>
  <c r="E128" i="141"/>
  <c r="I128" i="141" s="1"/>
  <c r="K128" i="141" s="1"/>
  <c r="K128" i="140"/>
  <c r="K101" i="142"/>
  <c r="E101" i="143"/>
  <c r="I101" i="143" s="1"/>
  <c r="K101" i="143" s="1"/>
  <c r="I163" i="139"/>
  <c r="K99" i="139"/>
  <c r="K106" i="139" s="1"/>
  <c r="I106" i="139"/>
  <c r="E28" i="141"/>
  <c r="I28" i="141" s="1"/>
  <c r="K28" i="141" s="1"/>
  <c r="K28" i="140"/>
  <c r="K67" i="142"/>
  <c r="E67" i="143"/>
  <c r="I67" i="143" s="1"/>
  <c r="K67" i="143" s="1"/>
  <c r="K102" i="142"/>
  <c r="E102" i="143"/>
  <c r="I102" i="143" s="1"/>
  <c r="K102" i="143" s="1"/>
  <c r="E99" i="137"/>
  <c r="I106" i="136"/>
  <c r="K99" i="136"/>
  <c r="K106" i="136" s="1"/>
  <c r="E82" i="141"/>
  <c r="I82" i="141" s="1"/>
  <c r="K82" i="141" s="1"/>
  <c r="K82" i="140"/>
  <c r="E125" i="141"/>
  <c r="I125" i="141" s="1"/>
  <c r="K125" i="141" s="1"/>
  <c r="K125" i="140"/>
  <c r="I86" i="136"/>
  <c r="E90" i="136"/>
  <c r="E168" i="136" s="1"/>
  <c r="K129" i="140"/>
  <c r="E129" i="141"/>
  <c r="I129" i="141" s="1"/>
  <c r="K129" i="141" s="1"/>
  <c r="K127" i="142"/>
  <c r="E127" i="143"/>
  <c r="I127" i="143" s="1"/>
  <c r="K127" i="143" s="1"/>
  <c r="I131" i="139"/>
  <c r="I174" i="139" s="1"/>
  <c r="K123" i="139"/>
  <c r="K131" i="139" s="1"/>
  <c r="K174" i="139" s="1"/>
  <c r="K73" i="142"/>
  <c r="E73" i="143"/>
  <c r="I73" i="143" s="1"/>
  <c r="K73" i="143" s="1"/>
  <c r="E124" i="141"/>
  <c r="I124" i="141" s="1"/>
  <c r="K124" i="141" s="1"/>
  <c r="K124" i="140"/>
  <c r="F80" i="131"/>
  <c r="F98" i="131" s="1"/>
  <c r="K42" i="131"/>
  <c r="F134" i="131"/>
  <c r="K87" i="131"/>
  <c r="H134" i="131"/>
  <c r="F80" i="130"/>
  <c r="F98" i="130" s="1"/>
  <c r="E181" i="130"/>
  <c r="K73" i="129"/>
  <c r="E73" i="144"/>
  <c r="I73" i="144" s="1"/>
  <c r="E73" i="135"/>
  <c r="I73" i="135" s="1"/>
  <c r="K73" i="135" s="1"/>
  <c r="K57" i="129"/>
  <c r="E57" i="145"/>
  <c r="I57" i="145" s="1"/>
  <c r="K57" i="145" s="1"/>
  <c r="E57" i="144"/>
  <c r="I57" i="144" s="1"/>
  <c r="K57" i="144" s="1"/>
  <c r="K71" i="129"/>
  <c r="E71" i="144"/>
  <c r="I71" i="144" s="1"/>
  <c r="E71" i="135"/>
  <c r="I71" i="135" s="1"/>
  <c r="K71" i="135" s="1"/>
  <c r="K124" i="144"/>
  <c r="E127" i="147"/>
  <c r="I127" i="147" s="1"/>
  <c r="E130" i="150" s="1"/>
  <c r="I130" i="150" s="1"/>
  <c r="E132" i="153" s="1"/>
  <c r="I132" i="153" s="1"/>
  <c r="K132" i="153" s="1"/>
  <c r="K86" i="145"/>
  <c r="E86" i="146"/>
  <c r="I86" i="146" s="1"/>
  <c r="K86" i="146" s="1"/>
  <c r="I9" i="143"/>
  <c r="I16" i="142"/>
  <c r="E16" i="143" s="1"/>
  <c r="K9" i="142"/>
  <c r="K9" i="141"/>
  <c r="I16" i="141"/>
  <c r="K16" i="140"/>
  <c r="G96" i="129"/>
  <c r="G80" i="130"/>
  <c r="G98" i="130" s="1"/>
  <c r="F134" i="130"/>
  <c r="J146" i="130"/>
  <c r="K113" i="131"/>
  <c r="K154" i="131" s="1"/>
  <c r="E179" i="129"/>
  <c r="E113" i="130"/>
  <c r="E154" i="130" s="1"/>
  <c r="I113" i="130"/>
  <c r="I154" i="130" s="1"/>
  <c r="J34" i="129"/>
  <c r="K34" i="129" s="1"/>
  <c r="F80" i="129"/>
  <c r="F96" i="129" s="1"/>
  <c r="J93" i="129"/>
  <c r="K93" i="129" s="1"/>
  <c r="K113" i="130"/>
  <c r="K154" i="130" s="1"/>
  <c r="E113" i="131"/>
  <c r="E154" i="131" s="1"/>
  <c r="I113" i="131"/>
  <c r="I154" i="131" s="1"/>
  <c r="G134" i="131"/>
  <c r="I12" i="131"/>
  <c r="H170" i="131"/>
  <c r="I108" i="131"/>
  <c r="I153" i="131" s="1"/>
  <c r="I19" i="131"/>
  <c r="I147" i="131" s="1"/>
  <c r="K9" i="131"/>
  <c r="K12" i="131" s="1"/>
  <c r="I123" i="131"/>
  <c r="I156" i="131" s="1"/>
  <c r="J34" i="131"/>
  <c r="K34" i="131" s="1"/>
  <c r="J48" i="131"/>
  <c r="K48" i="131" s="1"/>
  <c r="J55" i="131"/>
  <c r="K55" i="131" s="1"/>
  <c r="E92" i="131"/>
  <c r="E151" i="131" s="1"/>
  <c r="I88" i="131"/>
  <c r="K88" i="131" s="1"/>
  <c r="E12" i="131"/>
  <c r="K15" i="131"/>
  <c r="K19" i="131" s="1"/>
  <c r="K147" i="131" s="1"/>
  <c r="E19" i="131"/>
  <c r="E147" i="131" s="1"/>
  <c r="K22" i="131"/>
  <c r="K24" i="131" s="1"/>
  <c r="K148" i="131" s="1"/>
  <c r="I36" i="131"/>
  <c r="J36" i="131" s="1"/>
  <c r="J95" i="131"/>
  <c r="K95" i="131" s="1"/>
  <c r="K101" i="131"/>
  <c r="K108" i="131" s="1"/>
  <c r="E108" i="131"/>
  <c r="E155" i="131"/>
  <c r="I116" i="131"/>
  <c r="E30" i="131"/>
  <c r="E149" i="131" s="1"/>
  <c r="I27" i="131"/>
  <c r="K123" i="131"/>
  <c r="K156" i="131" s="1"/>
  <c r="J46" i="131"/>
  <c r="K46" i="131" s="1"/>
  <c r="K125" i="131"/>
  <c r="K132" i="131" s="1"/>
  <c r="K157" i="131" s="1"/>
  <c r="I132" i="131"/>
  <c r="I157" i="131" s="1"/>
  <c r="E132" i="131"/>
  <c r="E157" i="131" s="1"/>
  <c r="J134" i="131"/>
  <c r="J94" i="131"/>
  <c r="I52" i="131"/>
  <c r="K52" i="131" s="1"/>
  <c r="G134" i="130"/>
  <c r="J44" i="130"/>
  <c r="K44" i="130" s="1"/>
  <c r="K34" i="130"/>
  <c r="I36" i="130"/>
  <c r="K46" i="130"/>
  <c r="J95" i="130"/>
  <c r="K95" i="130" s="1"/>
  <c r="H170" i="130"/>
  <c r="J134" i="130"/>
  <c r="J94" i="130"/>
  <c r="H132" i="129"/>
  <c r="F132" i="129"/>
  <c r="G132" i="129"/>
  <c r="H168" i="129"/>
  <c r="J90" i="129"/>
  <c r="J149" i="129" s="1"/>
  <c r="J151" i="129"/>
  <c r="J132" i="129"/>
  <c r="J144" i="129"/>
  <c r="K42" i="129"/>
  <c r="K46" i="129"/>
  <c r="K50" i="129"/>
  <c r="I143" i="129"/>
  <c r="J92" i="129"/>
  <c r="K108" i="129"/>
  <c r="K48" i="129"/>
  <c r="K55" i="129"/>
  <c r="I109" i="129"/>
  <c r="K109" i="129" s="1"/>
  <c r="J145" i="130" l="1"/>
  <c r="H136" i="130"/>
  <c r="H134" i="129"/>
  <c r="H138" i="129" s="1"/>
  <c r="H167" i="129" s="1"/>
  <c r="J145" i="131"/>
  <c r="K143" i="151"/>
  <c r="E143" i="152"/>
  <c r="I143" i="152" s="1"/>
  <c r="K143" i="152" s="1"/>
  <c r="K130" i="150"/>
  <c r="E132" i="151"/>
  <c r="I132" i="151" s="1"/>
  <c r="I178" i="134"/>
  <c r="K140" i="148"/>
  <c r="E140" i="149"/>
  <c r="I140" i="149" s="1"/>
  <c r="K140" i="149" s="1"/>
  <c r="H136" i="131"/>
  <c r="H140" i="131" s="1"/>
  <c r="H169" i="131" s="1"/>
  <c r="E96" i="136"/>
  <c r="E135" i="136" s="1"/>
  <c r="I90" i="139"/>
  <c r="I168" i="139" s="1"/>
  <c r="K86" i="139"/>
  <c r="K90" i="139" s="1"/>
  <c r="K168" i="139" s="1"/>
  <c r="I114" i="137"/>
  <c r="E172" i="137"/>
  <c r="I133" i="136"/>
  <c r="I170" i="136"/>
  <c r="I170" i="139"/>
  <c r="I133" i="139"/>
  <c r="I22" i="137"/>
  <c r="E24" i="137"/>
  <c r="E165" i="137" s="1"/>
  <c r="E166" i="139"/>
  <c r="E176" i="139" s="1"/>
  <c r="E96" i="139"/>
  <c r="E135" i="139" s="1"/>
  <c r="E121" i="137"/>
  <c r="E173" i="137" s="1"/>
  <c r="I117" i="137"/>
  <c r="E176" i="136"/>
  <c r="I99" i="137"/>
  <c r="E106" i="137"/>
  <c r="K133" i="139"/>
  <c r="K170" i="139"/>
  <c r="E163" i="137"/>
  <c r="I52" i="137"/>
  <c r="E80" i="137"/>
  <c r="E167" i="137" s="1"/>
  <c r="K27" i="139"/>
  <c r="K30" i="139" s="1"/>
  <c r="K166" i="139" s="1"/>
  <c r="I30" i="139"/>
  <c r="I166" i="139" s="1"/>
  <c r="E131" i="137"/>
  <c r="E174" i="137" s="1"/>
  <c r="I123" i="137"/>
  <c r="E27" i="137"/>
  <c r="K27" i="136"/>
  <c r="K30" i="136" s="1"/>
  <c r="K166" i="136" s="1"/>
  <c r="I30" i="136"/>
  <c r="I166" i="136" s="1"/>
  <c r="K170" i="136"/>
  <c r="K133" i="136"/>
  <c r="K165" i="136"/>
  <c r="I15" i="137"/>
  <c r="E19" i="137"/>
  <c r="E164" i="137" s="1"/>
  <c r="E86" i="137"/>
  <c r="I90" i="136"/>
  <c r="I168" i="136" s="1"/>
  <c r="K86" i="136"/>
  <c r="K90" i="136" s="1"/>
  <c r="K168" i="136" s="1"/>
  <c r="I165" i="136"/>
  <c r="K10" i="137"/>
  <c r="K12" i="137" s="1"/>
  <c r="E10" i="138"/>
  <c r="I12" i="137"/>
  <c r="K178" i="134"/>
  <c r="F148" i="131"/>
  <c r="F136" i="131"/>
  <c r="F149" i="131"/>
  <c r="F159" i="131" s="1"/>
  <c r="K92" i="131"/>
  <c r="K151" i="131" s="1"/>
  <c r="F149" i="130"/>
  <c r="F159" i="130" s="1"/>
  <c r="F148" i="130"/>
  <c r="F136" i="130"/>
  <c r="E73" i="147"/>
  <c r="I73" i="147" s="1"/>
  <c r="E73" i="150" s="1"/>
  <c r="I73" i="150" s="1"/>
  <c r="E75" i="153" s="1"/>
  <c r="I75" i="153" s="1"/>
  <c r="K75" i="153" s="1"/>
  <c r="K73" i="144"/>
  <c r="E73" i="145"/>
  <c r="I73" i="145" s="1"/>
  <c r="E71" i="147"/>
  <c r="I71" i="147" s="1"/>
  <c r="E86" i="150" s="1"/>
  <c r="K71" i="144"/>
  <c r="E71" i="145"/>
  <c r="I71" i="145" s="1"/>
  <c r="K127" i="147"/>
  <c r="E129" i="148"/>
  <c r="I129" i="148" s="1"/>
  <c r="I16" i="143"/>
  <c r="K9" i="143"/>
  <c r="K16" i="142"/>
  <c r="K16" i="141"/>
  <c r="I134" i="131"/>
  <c r="G136" i="131"/>
  <c r="G140" i="131" s="1"/>
  <c r="I146" i="131"/>
  <c r="K94" i="130"/>
  <c r="K145" i="130" s="1"/>
  <c r="K146" i="131"/>
  <c r="I92" i="131"/>
  <c r="F147" i="129"/>
  <c r="F157" i="129" s="1"/>
  <c r="F146" i="129"/>
  <c r="F134" i="129"/>
  <c r="I30" i="131"/>
  <c r="K27" i="131"/>
  <c r="K30" i="131" s="1"/>
  <c r="K149" i="131" s="1"/>
  <c r="K153" i="131"/>
  <c r="E146" i="131"/>
  <c r="I155" i="131"/>
  <c r="K116" i="131"/>
  <c r="K155" i="131" s="1"/>
  <c r="K36" i="131"/>
  <c r="K94" i="131"/>
  <c r="K145" i="131" s="1"/>
  <c r="E153" i="131"/>
  <c r="E134" i="131"/>
  <c r="G136" i="130"/>
  <c r="G140" i="130" s="1"/>
  <c r="G169" i="130" s="1"/>
  <c r="H140" i="130"/>
  <c r="H169" i="130" s="1"/>
  <c r="J36" i="130"/>
  <c r="G134" i="129"/>
  <c r="G138" i="129" s="1"/>
  <c r="K111" i="129"/>
  <c r="K152" i="129" s="1"/>
  <c r="I111" i="129"/>
  <c r="I152" i="129" s="1"/>
  <c r="J143" i="129"/>
  <c r="K92" i="129"/>
  <c r="K143" i="129" s="1"/>
  <c r="I75" i="128"/>
  <c r="E79" i="129" s="1"/>
  <c r="I79" i="129" s="1"/>
  <c r="G173" i="128"/>
  <c r="F173" i="128"/>
  <c r="E170" i="128"/>
  <c r="E169" i="128"/>
  <c r="H159" i="128"/>
  <c r="G159" i="128"/>
  <c r="H158" i="128"/>
  <c r="G158" i="128"/>
  <c r="H157" i="128"/>
  <c r="G157" i="128"/>
  <c r="F149" i="128"/>
  <c r="F148" i="128"/>
  <c r="J147" i="128"/>
  <c r="F147" i="128"/>
  <c r="F145" i="128"/>
  <c r="F144" i="128"/>
  <c r="F143" i="128"/>
  <c r="F142" i="128"/>
  <c r="F139" i="128"/>
  <c r="F138" i="128"/>
  <c r="H137" i="128"/>
  <c r="F137" i="128"/>
  <c r="J124" i="128"/>
  <c r="J149" i="128" s="1"/>
  <c r="H124" i="128"/>
  <c r="G124" i="128"/>
  <c r="F124" i="128"/>
  <c r="J115" i="128"/>
  <c r="J148" i="128" s="1"/>
  <c r="H115" i="128"/>
  <c r="G115" i="128"/>
  <c r="F115" i="128"/>
  <c r="L105" i="128"/>
  <c r="J105" i="128"/>
  <c r="J146" i="128" s="1"/>
  <c r="H105" i="128"/>
  <c r="G105" i="128"/>
  <c r="F105" i="128"/>
  <c r="E103" i="128"/>
  <c r="E105" i="128" s="1"/>
  <c r="E146" i="128" s="1"/>
  <c r="I102" i="128"/>
  <c r="K102" i="128" s="1"/>
  <c r="J100" i="128"/>
  <c r="J145" i="128" s="1"/>
  <c r="H100" i="128"/>
  <c r="G100" i="128"/>
  <c r="F100" i="128"/>
  <c r="I87" i="128"/>
  <c r="I86" i="128"/>
  <c r="H84" i="128"/>
  <c r="G84" i="128"/>
  <c r="F84" i="128"/>
  <c r="I79" i="128"/>
  <c r="I64" i="128"/>
  <c r="K64" i="128" s="1"/>
  <c r="I57" i="128"/>
  <c r="K57" i="128" s="1"/>
  <c r="I55" i="128"/>
  <c r="J55" i="128" s="1"/>
  <c r="I50" i="128"/>
  <c r="J50" i="128" s="1"/>
  <c r="I48" i="128"/>
  <c r="J48" i="128" s="1"/>
  <c r="I46" i="128"/>
  <c r="J46" i="128" s="1"/>
  <c r="K46" i="128" s="1"/>
  <c r="I44" i="128"/>
  <c r="J44" i="128" s="1"/>
  <c r="I42" i="128"/>
  <c r="J42" i="128" s="1"/>
  <c r="K39" i="128"/>
  <c r="J39" i="128"/>
  <c r="I39" i="128"/>
  <c r="H39" i="128"/>
  <c r="G39" i="128"/>
  <c r="F39" i="128"/>
  <c r="E39" i="128"/>
  <c r="H36" i="128"/>
  <c r="G36" i="128"/>
  <c r="F36" i="128"/>
  <c r="E34" i="128"/>
  <c r="I34" i="128" s="1"/>
  <c r="J30" i="128"/>
  <c r="J141" i="128" s="1"/>
  <c r="H30" i="128"/>
  <c r="G30" i="128"/>
  <c r="G130" i="128" s="1"/>
  <c r="F30" i="128"/>
  <c r="J24" i="128"/>
  <c r="J140" i="128" s="1"/>
  <c r="H24" i="128"/>
  <c r="G24" i="128"/>
  <c r="F24" i="128"/>
  <c r="J19" i="128"/>
  <c r="J139" i="128" s="1"/>
  <c r="H19" i="128"/>
  <c r="G19" i="128"/>
  <c r="F19" i="128"/>
  <c r="J12" i="128"/>
  <c r="J138" i="128" s="1"/>
  <c r="H12" i="128"/>
  <c r="G12" i="128"/>
  <c r="F12" i="128"/>
  <c r="K6" i="128"/>
  <c r="E173" i="128" l="1"/>
  <c r="G76" i="128"/>
  <c r="H76" i="128"/>
  <c r="F126" i="128"/>
  <c r="K132" i="151"/>
  <c r="E132" i="152"/>
  <c r="I132" i="152" s="1"/>
  <c r="K132" i="152" s="1"/>
  <c r="K73" i="150"/>
  <c r="E73" i="151"/>
  <c r="I73" i="151" s="1"/>
  <c r="I86" i="150"/>
  <c r="E88" i="150"/>
  <c r="K129" i="148"/>
  <c r="E129" i="149"/>
  <c r="I129" i="149" s="1"/>
  <c r="K129" i="149" s="1"/>
  <c r="I96" i="136"/>
  <c r="I135" i="136" s="1"/>
  <c r="E178" i="136"/>
  <c r="I163" i="137"/>
  <c r="E90" i="137"/>
  <c r="E168" i="137" s="1"/>
  <c r="I86" i="137"/>
  <c r="E178" i="139"/>
  <c r="K176" i="136"/>
  <c r="E123" i="138"/>
  <c r="K123" i="137"/>
  <c r="K131" i="137" s="1"/>
  <c r="K174" i="137" s="1"/>
  <c r="I131" i="137"/>
  <c r="I174" i="137" s="1"/>
  <c r="K96" i="139"/>
  <c r="K135" i="139" s="1"/>
  <c r="E99" i="138"/>
  <c r="I106" i="137"/>
  <c r="K99" i="137"/>
  <c r="K106" i="137" s="1"/>
  <c r="E22" i="138"/>
  <c r="K22" i="137"/>
  <c r="K24" i="137" s="1"/>
  <c r="K165" i="137" s="1"/>
  <c r="I24" i="137"/>
  <c r="I165" i="137" s="1"/>
  <c r="K163" i="137"/>
  <c r="E117" i="138"/>
  <c r="I121" i="137"/>
  <c r="I173" i="137" s="1"/>
  <c r="K117" i="137"/>
  <c r="K121" i="137" s="1"/>
  <c r="K173" i="137" s="1"/>
  <c r="I176" i="139"/>
  <c r="E114" i="138"/>
  <c r="I172" i="137"/>
  <c r="K114" i="137"/>
  <c r="K172" i="137" s="1"/>
  <c r="E15" i="138"/>
  <c r="K15" i="137"/>
  <c r="K19" i="137" s="1"/>
  <c r="K164" i="137" s="1"/>
  <c r="I19" i="137"/>
  <c r="I164" i="137" s="1"/>
  <c r="I27" i="137"/>
  <c r="E30" i="137"/>
  <c r="E170" i="137"/>
  <c r="E133" i="137"/>
  <c r="I176" i="136"/>
  <c r="I178" i="136" s="1"/>
  <c r="I10" i="138"/>
  <c r="E12" i="138"/>
  <c r="I96" i="139"/>
  <c r="I135" i="139" s="1"/>
  <c r="K96" i="136"/>
  <c r="K135" i="136" s="1"/>
  <c r="E52" i="138"/>
  <c r="I80" i="137"/>
  <c r="I167" i="137" s="1"/>
  <c r="K52" i="137"/>
  <c r="K80" i="137" s="1"/>
  <c r="K167" i="137" s="1"/>
  <c r="K176" i="139"/>
  <c r="K71" i="147"/>
  <c r="E85" i="148"/>
  <c r="K73" i="145"/>
  <c r="E73" i="146"/>
  <c r="I73" i="146" s="1"/>
  <c r="K73" i="146" s="1"/>
  <c r="K71" i="145"/>
  <c r="E71" i="146"/>
  <c r="I71" i="146" s="1"/>
  <c r="K71" i="146" s="1"/>
  <c r="K73" i="147"/>
  <c r="E72" i="148"/>
  <c r="I72" i="148" s="1"/>
  <c r="K79" i="129"/>
  <c r="E79" i="135"/>
  <c r="I79" i="135" s="1"/>
  <c r="K79" i="135" s="1"/>
  <c r="I36" i="128"/>
  <c r="J36" i="128" s="1"/>
  <c r="J86" i="128"/>
  <c r="H126" i="128"/>
  <c r="K75" i="128"/>
  <c r="K16" i="143"/>
  <c r="I151" i="131"/>
  <c r="G142" i="131"/>
  <c r="T136" i="131"/>
  <c r="V136" i="131" s="1"/>
  <c r="G139" i="131"/>
  <c r="H172" i="131" s="1"/>
  <c r="H171" i="131"/>
  <c r="G169" i="131"/>
  <c r="I149" i="131"/>
  <c r="K134" i="131"/>
  <c r="H171" i="130"/>
  <c r="G139" i="130"/>
  <c r="G142" i="130"/>
  <c r="T136" i="130"/>
  <c r="V136" i="130" s="1"/>
  <c r="K36" i="130"/>
  <c r="G140" i="129"/>
  <c r="T134" i="129"/>
  <c r="V134" i="129" s="1"/>
  <c r="G137" i="129"/>
  <c r="G167" i="129"/>
  <c r="H169" i="129"/>
  <c r="I103" i="128"/>
  <c r="K103" i="128" s="1"/>
  <c r="K105" i="128" s="1"/>
  <c r="K146" i="128" s="1"/>
  <c r="H162" i="128"/>
  <c r="G126" i="128"/>
  <c r="H130" i="128"/>
  <c r="H90" i="128"/>
  <c r="J79" i="128"/>
  <c r="J84" i="128" s="1"/>
  <c r="J143" i="128" s="1"/>
  <c r="K44" i="128"/>
  <c r="K48" i="128"/>
  <c r="K55" i="128"/>
  <c r="F76" i="128"/>
  <c r="F90" i="128" s="1"/>
  <c r="J87" i="128"/>
  <c r="K87" i="128" s="1"/>
  <c r="I137" i="128"/>
  <c r="G90" i="128"/>
  <c r="J34" i="128"/>
  <c r="K34" i="128" s="1"/>
  <c r="K42" i="128"/>
  <c r="K50" i="128"/>
  <c r="J126" i="128"/>
  <c r="G128" i="128" l="1"/>
  <c r="E88" i="151"/>
  <c r="I88" i="151" s="1"/>
  <c r="E88" i="152" s="1"/>
  <c r="E88" i="153"/>
  <c r="K73" i="151"/>
  <c r="E73" i="152"/>
  <c r="I73" i="152" s="1"/>
  <c r="K73" i="152" s="1"/>
  <c r="K86" i="150"/>
  <c r="K88" i="150" s="1"/>
  <c r="I88" i="150"/>
  <c r="K72" i="148"/>
  <c r="E72" i="149"/>
  <c r="I72" i="149" s="1"/>
  <c r="K72" i="149" s="1"/>
  <c r="I85" i="148"/>
  <c r="E85" i="149" s="1"/>
  <c r="E87" i="148"/>
  <c r="K36" i="128"/>
  <c r="H128" i="128"/>
  <c r="H132" i="128" s="1"/>
  <c r="H161" i="128" s="1"/>
  <c r="K79" i="128"/>
  <c r="J137" i="128"/>
  <c r="I178" i="139"/>
  <c r="K178" i="136"/>
  <c r="E166" i="137"/>
  <c r="E176" i="137" s="1"/>
  <c r="E96" i="137"/>
  <c r="E135" i="137" s="1"/>
  <c r="I114" i="138"/>
  <c r="E172" i="138"/>
  <c r="E121" i="138"/>
  <c r="E173" i="138" s="1"/>
  <c r="I117" i="138"/>
  <c r="I99" i="138"/>
  <c r="E106" i="138"/>
  <c r="I123" i="138"/>
  <c r="E131" i="138"/>
  <c r="E174" i="138" s="1"/>
  <c r="K170" i="137"/>
  <c r="K133" i="137"/>
  <c r="I170" i="137"/>
  <c r="I133" i="137"/>
  <c r="E86" i="138"/>
  <c r="K86" i="137"/>
  <c r="K90" i="137" s="1"/>
  <c r="K168" i="137" s="1"/>
  <c r="I90" i="137"/>
  <c r="I168" i="137" s="1"/>
  <c r="E163" i="138"/>
  <c r="I15" i="138"/>
  <c r="E19" i="138"/>
  <c r="E164" i="138" s="1"/>
  <c r="I52" i="138"/>
  <c r="E80" i="138"/>
  <c r="E167" i="138" s="1"/>
  <c r="E10" i="142"/>
  <c r="E10" i="140"/>
  <c r="I12" i="138"/>
  <c r="K10" i="138"/>
  <c r="K12" i="138" s="1"/>
  <c r="E27" i="138"/>
  <c r="I30" i="137"/>
  <c r="I166" i="137" s="1"/>
  <c r="K27" i="137"/>
  <c r="K30" i="137" s="1"/>
  <c r="K166" i="137" s="1"/>
  <c r="I22" i="138"/>
  <c r="E24" i="138"/>
  <c r="E165" i="138" s="1"/>
  <c r="K178" i="139"/>
  <c r="K86" i="128"/>
  <c r="K137" i="128" s="1"/>
  <c r="I88" i="144"/>
  <c r="I105" i="128"/>
  <c r="I146" i="128" s="1"/>
  <c r="F141" i="128"/>
  <c r="F151" i="128" s="1"/>
  <c r="F140" i="128"/>
  <c r="F128" i="128"/>
  <c r="G132" i="128"/>
  <c r="G171" i="127"/>
  <c r="F171" i="127"/>
  <c r="E168" i="127"/>
  <c r="E167" i="127"/>
  <c r="H157" i="127"/>
  <c r="G157" i="127"/>
  <c r="H156" i="127"/>
  <c r="G156" i="127"/>
  <c r="H155" i="127"/>
  <c r="G155" i="127"/>
  <c r="F147" i="127"/>
  <c r="F146" i="127"/>
  <c r="J145" i="127"/>
  <c r="F145" i="127"/>
  <c r="F143" i="127"/>
  <c r="F142" i="127"/>
  <c r="F141" i="127"/>
  <c r="F140" i="127"/>
  <c r="F137" i="127"/>
  <c r="F136" i="127"/>
  <c r="H135" i="127"/>
  <c r="F135" i="127"/>
  <c r="J122" i="127"/>
  <c r="J147" i="127" s="1"/>
  <c r="H122" i="127"/>
  <c r="G122" i="127"/>
  <c r="F122" i="127"/>
  <c r="J113" i="127"/>
  <c r="J146" i="127" s="1"/>
  <c r="H113" i="127"/>
  <c r="G113" i="127"/>
  <c r="F113" i="127"/>
  <c r="L103" i="127"/>
  <c r="J103" i="127"/>
  <c r="J144" i="127" s="1"/>
  <c r="H103" i="127"/>
  <c r="G103" i="127"/>
  <c r="F103" i="127"/>
  <c r="E101" i="127"/>
  <c r="I101" i="127" s="1"/>
  <c r="K101" i="127" s="1"/>
  <c r="J98" i="127"/>
  <c r="J143" i="127" s="1"/>
  <c r="H98" i="127"/>
  <c r="G98" i="127"/>
  <c r="F98" i="127"/>
  <c r="H82" i="127"/>
  <c r="G82" i="127"/>
  <c r="F82" i="127"/>
  <c r="I64" i="127"/>
  <c r="K64" i="127" s="1"/>
  <c r="K39" i="127"/>
  <c r="J39" i="127"/>
  <c r="I39" i="127"/>
  <c r="H39" i="127"/>
  <c r="G39" i="127"/>
  <c r="F39" i="127"/>
  <c r="E39" i="127"/>
  <c r="H36" i="127"/>
  <c r="G36" i="127"/>
  <c r="F36" i="127"/>
  <c r="J30" i="127"/>
  <c r="J139" i="127" s="1"/>
  <c r="H30" i="127"/>
  <c r="H128" i="127" s="1"/>
  <c r="G30" i="127"/>
  <c r="G128" i="127" s="1"/>
  <c r="F30" i="127"/>
  <c r="J24" i="127"/>
  <c r="J138" i="127" s="1"/>
  <c r="H24" i="127"/>
  <c r="G24" i="127"/>
  <c r="F24" i="127"/>
  <c r="J19" i="127"/>
  <c r="J137" i="127" s="1"/>
  <c r="H19" i="127"/>
  <c r="G19" i="127"/>
  <c r="F19" i="127"/>
  <c r="J12" i="127"/>
  <c r="J136" i="127" s="1"/>
  <c r="H12" i="127"/>
  <c r="G12" i="127"/>
  <c r="F12" i="127"/>
  <c r="K6" i="127"/>
  <c r="T128" i="128" l="1"/>
  <c r="V128" i="128" s="1"/>
  <c r="H74" i="127"/>
  <c r="G74" i="127"/>
  <c r="E90" i="151"/>
  <c r="E171" i="127"/>
  <c r="F74" i="127"/>
  <c r="F88" i="127" s="1"/>
  <c r="I88" i="153"/>
  <c r="E90" i="153"/>
  <c r="E90" i="152"/>
  <c r="I88" i="152"/>
  <c r="I90" i="151"/>
  <c r="K88" i="151"/>
  <c r="K90" i="151" s="1"/>
  <c r="I85" i="149"/>
  <c r="E87" i="149"/>
  <c r="K85" i="148"/>
  <c r="K87" i="148" s="1"/>
  <c r="I87" i="148"/>
  <c r="G134" i="128"/>
  <c r="G131" i="128"/>
  <c r="I176" i="137"/>
  <c r="K176" i="137"/>
  <c r="K22" i="138"/>
  <c r="K24" i="138" s="1"/>
  <c r="K165" i="138" s="1"/>
  <c r="E22" i="142"/>
  <c r="E22" i="140"/>
  <c r="I24" i="138"/>
  <c r="I165" i="138" s="1"/>
  <c r="I10" i="142"/>
  <c r="E12" i="142"/>
  <c r="E15" i="142"/>
  <c r="E15" i="140"/>
  <c r="K15" i="138"/>
  <c r="K19" i="138" s="1"/>
  <c r="K164" i="138" s="1"/>
  <c r="I19" i="138"/>
  <c r="I164" i="138" s="1"/>
  <c r="K99" i="138"/>
  <c r="K106" i="138" s="1"/>
  <c r="E99" i="140"/>
  <c r="E99" i="142"/>
  <c r="I106" i="138"/>
  <c r="I96" i="137"/>
  <c r="I135" i="137" s="1"/>
  <c r="I178" i="137" s="1"/>
  <c r="K96" i="137"/>
  <c r="K135" i="137" s="1"/>
  <c r="K178" i="137" s="1"/>
  <c r="K163" i="138"/>
  <c r="I86" i="138"/>
  <c r="E90" i="138"/>
  <c r="E168" i="138" s="1"/>
  <c r="E117" i="142"/>
  <c r="I121" i="138"/>
  <c r="I173" i="138" s="1"/>
  <c r="K117" i="138"/>
  <c r="K121" i="138" s="1"/>
  <c r="K173" i="138" s="1"/>
  <c r="E117" i="140"/>
  <c r="I10" i="140"/>
  <c r="E12" i="140"/>
  <c r="E133" i="138"/>
  <c r="E170" i="138"/>
  <c r="I27" i="138"/>
  <c r="E30" i="138"/>
  <c r="E166" i="138" s="1"/>
  <c r="E178" i="137"/>
  <c r="I172" i="138"/>
  <c r="E114" i="142"/>
  <c r="E114" i="140"/>
  <c r="K114" i="138"/>
  <c r="K172" i="138" s="1"/>
  <c r="I163" i="138"/>
  <c r="E52" i="142"/>
  <c r="K52" i="138"/>
  <c r="K80" i="138" s="1"/>
  <c r="K167" i="138" s="1"/>
  <c r="I80" i="138"/>
  <c r="I167" i="138" s="1"/>
  <c r="E52" i="140"/>
  <c r="E123" i="142"/>
  <c r="E123" i="140"/>
  <c r="K123" i="138"/>
  <c r="K131" i="138" s="1"/>
  <c r="K174" i="138" s="1"/>
  <c r="I131" i="138"/>
  <c r="I174" i="138" s="1"/>
  <c r="K88" i="144"/>
  <c r="H163" i="128"/>
  <c r="G161" i="128"/>
  <c r="F124" i="127"/>
  <c r="H124" i="127"/>
  <c r="G124" i="127"/>
  <c r="G88" i="127"/>
  <c r="H88" i="127"/>
  <c r="I36" i="127"/>
  <c r="H160" i="127"/>
  <c r="J124" i="127"/>
  <c r="G171" i="126"/>
  <c r="F171" i="126"/>
  <c r="E168" i="126"/>
  <c r="E167" i="126"/>
  <c r="H157" i="126"/>
  <c r="G157" i="126"/>
  <c r="H156" i="126"/>
  <c r="G156" i="126"/>
  <c r="H155" i="126"/>
  <c r="G155" i="126"/>
  <c r="F147" i="126"/>
  <c r="F146" i="126"/>
  <c r="J145" i="126"/>
  <c r="F145" i="126"/>
  <c r="F143" i="126"/>
  <c r="F142" i="126"/>
  <c r="F141" i="126"/>
  <c r="F140" i="126"/>
  <c r="F137" i="126"/>
  <c r="F136" i="126"/>
  <c r="H135" i="126"/>
  <c r="F135" i="126"/>
  <c r="J122" i="126"/>
  <c r="J147" i="126" s="1"/>
  <c r="H122" i="126"/>
  <c r="G122" i="126"/>
  <c r="F122" i="126"/>
  <c r="J113" i="126"/>
  <c r="J146" i="126" s="1"/>
  <c r="H113" i="126"/>
  <c r="G113" i="126"/>
  <c r="F113" i="126"/>
  <c r="L103" i="126"/>
  <c r="J103" i="126"/>
  <c r="J144" i="126" s="1"/>
  <c r="H103" i="126"/>
  <c r="G103" i="126"/>
  <c r="F103" i="126"/>
  <c r="E101" i="126"/>
  <c r="I101" i="126" s="1"/>
  <c r="K101" i="126" s="1"/>
  <c r="J98" i="126"/>
  <c r="J143" i="126" s="1"/>
  <c r="H98" i="126"/>
  <c r="G98" i="126"/>
  <c r="F98" i="126"/>
  <c r="H82" i="126"/>
  <c r="G82" i="126"/>
  <c r="F82" i="126"/>
  <c r="I71" i="126"/>
  <c r="K71" i="126" s="1"/>
  <c r="I64" i="126"/>
  <c r="K64" i="126" s="1"/>
  <c r="K39" i="126"/>
  <c r="J39" i="126"/>
  <c r="I39" i="126"/>
  <c r="H39" i="126"/>
  <c r="G39" i="126"/>
  <c r="F39" i="126"/>
  <c r="E39" i="126"/>
  <c r="H36" i="126"/>
  <c r="G36" i="126"/>
  <c r="F36" i="126"/>
  <c r="J30" i="126"/>
  <c r="J139" i="126" s="1"/>
  <c r="H30" i="126"/>
  <c r="H128" i="126" s="1"/>
  <c r="G30" i="126"/>
  <c r="G128" i="126" s="1"/>
  <c r="F30" i="126"/>
  <c r="J24" i="126"/>
  <c r="J138" i="126" s="1"/>
  <c r="H24" i="126"/>
  <c r="G24" i="126"/>
  <c r="F24" i="126"/>
  <c r="J19" i="126"/>
  <c r="J137" i="126" s="1"/>
  <c r="H19" i="126"/>
  <c r="G19" i="126"/>
  <c r="F19" i="126"/>
  <c r="J12" i="126"/>
  <c r="J136" i="126" s="1"/>
  <c r="H12" i="126"/>
  <c r="G12" i="126"/>
  <c r="F12" i="126"/>
  <c r="K6" i="126"/>
  <c r="H74" i="126" l="1"/>
  <c r="H88" i="126" s="1"/>
  <c r="K88" i="153"/>
  <c r="K90" i="153" s="1"/>
  <c r="I90" i="153"/>
  <c r="I90" i="152"/>
  <c r="K88" i="152"/>
  <c r="K90" i="152" s="1"/>
  <c r="I87" i="149"/>
  <c r="K85" i="149"/>
  <c r="K87" i="149" s="1"/>
  <c r="E171" i="126"/>
  <c r="E176" i="138"/>
  <c r="E131" i="142"/>
  <c r="E174" i="142" s="1"/>
  <c r="I123" i="142"/>
  <c r="I90" i="138"/>
  <c r="I168" i="138" s="1"/>
  <c r="E86" i="140"/>
  <c r="E86" i="142"/>
  <c r="K86" i="138"/>
  <c r="K90" i="138" s="1"/>
  <c r="K168" i="138" s="1"/>
  <c r="I15" i="140"/>
  <c r="E19" i="140"/>
  <c r="E164" i="140" s="1"/>
  <c r="E172" i="140"/>
  <c r="I114" i="140"/>
  <c r="E163" i="140"/>
  <c r="K170" i="138"/>
  <c r="K133" i="138"/>
  <c r="I15" i="142"/>
  <c r="E19" i="142"/>
  <c r="E164" i="142" s="1"/>
  <c r="I22" i="140"/>
  <c r="E24" i="140"/>
  <c r="E165" i="140" s="1"/>
  <c r="I52" i="140"/>
  <c r="E80" i="140"/>
  <c r="E167" i="140" s="1"/>
  <c r="E172" i="142"/>
  <c r="I114" i="142"/>
  <c r="E27" i="142"/>
  <c r="K27" i="138"/>
  <c r="K30" i="138" s="1"/>
  <c r="I30" i="138"/>
  <c r="I166" i="138" s="1"/>
  <c r="E27" i="140"/>
  <c r="K10" i="140"/>
  <c r="K12" i="140" s="1"/>
  <c r="E10" i="141"/>
  <c r="I12" i="140"/>
  <c r="I117" i="142"/>
  <c r="E121" i="142"/>
  <c r="E173" i="142" s="1"/>
  <c r="I170" i="138"/>
  <c r="I133" i="138"/>
  <c r="E163" i="142"/>
  <c r="I22" i="142"/>
  <c r="E24" i="142"/>
  <c r="E165" i="142" s="1"/>
  <c r="I99" i="140"/>
  <c r="E106" i="140"/>
  <c r="I52" i="142"/>
  <c r="E80" i="142"/>
  <c r="E167" i="142" s="1"/>
  <c r="E96" i="138"/>
  <c r="E135" i="138" s="1"/>
  <c r="E178" i="138" s="1"/>
  <c r="E131" i="140"/>
  <c r="E174" i="140" s="1"/>
  <c r="I123" i="140"/>
  <c r="E121" i="140"/>
  <c r="E173" i="140" s="1"/>
  <c r="I117" i="140"/>
  <c r="E106" i="142"/>
  <c r="I99" i="142"/>
  <c r="K10" i="142"/>
  <c r="K12" i="142" s="1"/>
  <c r="E10" i="143"/>
  <c r="I12" i="142"/>
  <c r="F126" i="127"/>
  <c r="F124" i="126"/>
  <c r="H126" i="127"/>
  <c r="H130" i="127" s="1"/>
  <c r="H159" i="127" s="1"/>
  <c r="F139" i="127"/>
  <c r="F149" i="127" s="1"/>
  <c r="F138" i="127"/>
  <c r="G126" i="127"/>
  <c r="J36" i="127"/>
  <c r="G124" i="126"/>
  <c r="G74" i="126"/>
  <c r="G88" i="126" s="1"/>
  <c r="I36" i="126"/>
  <c r="J36" i="126" s="1"/>
  <c r="H124" i="126"/>
  <c r="J124" i="126"/>
  <c r="F74" i="126"/>
  <c r="F88" i="126" s="1"/>
  <c r="H160" i="126"/>
  <c r="I176" i="138" l="1"/>
  <c r="E117" i="141"/>
  <c r="K117" i="140"/>
  <c r="K121" i="140" s="1"/>
  <c r="K173" i="140" s="1"/>
  <c r="I121" i="140"/>
  <c r="I173" i="140" s="1"/>
  <c r="E133" i="140"/>
  <c r="E170" i="140"/>
  <c r="E30" i="142"/>
  <c r="I27" i="142"/>
  <c r="E90" i="140"/>
  <c r="E168" i="140" s="1"/>
  <c r="I86" i="140"/>
  <c r="K163" i="142"/>
  <c r="E99" i="141"/>
  <c r="K99" i="140"/>
  <c r="K106" i="140" s="1"/>
  <c r="I106" i="140"/>
  <c r="E117" i="143"/>
  <c r="K117" i="142"/>
  <c r="K121" i="142" s="1"/>
  <c r="K173" i="142" s="1"/>
  <c r="I121" i="142"/>
  <c r="I173" i="142" s="1"/>
  <c r="I27" i="140"/>
  <c r="E30" i="140"/>
  <c r="E114" i="143"/>
  <c r="I172" i="142"/>
  <c r="K114" i="142"/>
  <c r="K172" i="142" s="1"/>
  <c r="E52" i="141"/>
  <c r="I80" i="140"/>
  <c r="I167" i="140" s="1"/>
  <c r="K52" i="140"/>
  <c r="K80" i="140" s="1"/>
  <c r="K167" i="140" s="1"/>
  <c r="E15" i="143"/>
  <c r="K15" i="142"/>
  <c r="K19" i="142" s="1"/>
  <c r="K164" i="142" s="1"/>
  <c r="I19" i="142"/>
  <c r="I164" i="142" s="1"/>
  <c r="E15" i="141"/>
  <c r="K15" i="140"/>
  <c r="K19" i="140" s="1"/>
  <c r="K164" i="140" s="1"/>
  <c r="I19" i="140"/>
  <c r="I164" i="140" s="1"/>
  <c r="E99" i="143"/>
  <c r="I106" i="142"/>
  <c r="K99" i="142"/>
  <c r="K106" i="142" s="1"/>
  <c r="I163" i="140"/>
  <c r="E114" i="141"/>
  <c r="I172" i="140"/>
  <c r="K114" i="140"/>
  <c r="K172" i="140" s="1"/>
  <c r="I10" i="143"/>
  <c r="E12" i="143"/>
  <c r="K163" i="140"/>
  <c r="I163" i="142"/>
  <c r="E133" i="142"/>
  <c r="E170" i="142"/>
  <c r="E123" i="141"/>
  <c r="K123" i="140"/>
  <c r="K131" i="140" s="1"/>
  <c r="K174" i="140" s="1"/>
  <c r="I131" i="140"/>
  <c r="I174" i="140" s="1"/>
  <c r="E52" i="143"/>
  <c r="K52" i="142"/>
  <c r="K80" i="142" s="1"/>
  <c r="K167" i="142" s="1"/>
  <c r="I80" i="142"/>
  <c r="I167" i="142" s="1"/>
  <c r="E22" i="143"/>
  <c r="I24" i="142"/>
  <c r="I165" i="142" s="1"/>
  <c r="K22" i="142"/>
  <c r="K24" i="142" s="1"/>
  <c r="K165" i="142" s="1"/>
  <c r="I10" i="141"/>
  <c r="E12" i="141"/>
  <c r="K166" i="138"/>
  <c r="K176" i="138" s="1"/>
  <c r="K96" i="138"/>
  <c r="K135" i="138" s="1"/>
  <c r="I96" i="138"/>
  <c r="I135" i="138" s="1"/>
  <c r="E22" i="141"/>
  <c r="I24" i="140"/>
  <c r="I165" i="140" s="1"/>
  <c r="K22" i="140"/>
  <c r="K24" i="140" s="1"/>
  <c r="K165" i="140" s="1"/>
  <c r="E90" i="142"/>
  <c r="E168" i="142" s="1"/>
  <c r="I86" i="142"/>
  <c r="E123" i="143"/>
  <c r="I131" i="142"/>
  <c r="I174" i="142" s="1"/>
  <c r="K123" i="142"/>
  <c r="K131" i="142" s="1"/>
  <c r="K174" i="142" s="1"/>
  <c r="G132" i="127"/>
  <c r="H126" i="126"/>
  <c r="H130" i="126" s="1"/>
  <c r="H159" i="126" s="1"/>
  <c r="G130" i="127"/>
  <c r="G159" i="127" s="1"/>
  <c r="T126" i="127"/>
  <c r="V126" i="127" s="1"/>
  <c r="G129" i="127"/>
  <c r="K36" i="127"/>
  <c r="G126" i="126"/>
  <c r="K36" i="126"/>
  <c r="F139" i="126"/>
  <c r="F149" i="126" s="1"/>
  <c r="F138" i="126"/>
  <c r="F126" i="126"/>
  <c r="G171" i="125"/>
  <c r="F171" i="125"/>
  <c r="E168" i="125"/>
  <c r="E167" i="125"/>
  <c r="H157" i="125"/>
  <c r="G157" i="125"/>
  <c r="H156" i="125"/>
  <c r="G156" i="125"/>
  <c r="H155" i="125"/>
  <c r="G155" i="125"/>
  <c r="F147" i="125"/>
  <c r="F146" i="125"/>
  <c r="J145" i="125"/>
  <c r="F145" i="125"/>
  <c r="F143" i="125"/>
  <c r="F142" i="125"/>
  <c r="F141" i="125"/>
  <c r="F140" i="125"/>
  <c r="F137" i="125"/>
  <c r="F136" i="125"/>
  <c r="H135" i="125"/>
  <c r="F135" i="125"/>
  <c r="J122" i="125"/>
  <c r="J147" i="125" s="1"/>
  <c r="H122" i="125"/>
  <c r="G122" i="125"/>
  <c r="F122" i="125"/>
  <c r="J113" i="125"/>
  <c r="J146" i="125" s="1"/>
  <c r="H113" i="125"/>
  <c r="G113" i="125"/>
  <c r="F113" i="125"/>
  <c r="L103" i="125"/>
  <c r="J103" i="125"/>
  <c r="J144" i="125" s="1"/>
  <c r="H103" i="125"/>
  <c r="H124" i="125" s="1"/>
  <c r="G103" i="125"/>
  <c r="F103" i="125"/>
  <c r="E101" i="125"/>
  <c r="I101" i="125" s="1"/>
  <c r="K101" i="125" s="1"/>
  <c r="J98" i="125"/>
  <c r="H98" i="125"/>
  <c r="G98" i="125"/>
  <c r="F98" i="125"/>
  <c r="H82" i="125"/>
  <c r="G82" i="125"/>
  <c r="F82" i="125"/>
  <c r="I64" i="125"/>
  <c r="K64" i="125" s="1"/>
  <c r="K39" i="125"/>
  <c r="J39" i="125"/>
  <c r="I39" i="125"/>
  <c r="H39" i="125"/>
  <c r="G39" i="125"/>
  <c r="F39" i="125"/>
  <c r="E39" i="125"/>
  <c r="H36" i="125"/>
  <c r="G36" i="125"/>
  <c r="F36" i="125"/>
  <c r="J30" i="125"/>
  <c r="J139" i="125" s="1"/>
  <c r="H30" i="125"/>
  <c r="H128" i="125" s="1"/>
  <c r="G30" i="125"/>
  <c r="G128" i="125" s="1"/>
  <c r="F30" i="125"/>
  <c r="J24" i="125"/>
  <c r="J138" i="125" s="1"/>
  <c r="H24" i="125"/>
  <c r="G24" i="125"/>
  <c r="F24" i="125"/>
  <c r="J19" i="125"/>
  <c r="J137" i="125" s="1"/>
  <c r="H19" i="125"/>
  <c r="G19" i="125"/>
  <c r="F19" i="125"/>
  <c r="J12" i="125"/>
  <c r="H12" i="125"/>
  <c r="G12" i="125"/>
  <c r="F12" i="125"/>
  <c r="K6" i="125"/>
  <c r="F124" i="125" l="1"/>
  <c r="F74" i="125"/>
  <c r="I36" i="125"/>
  <c r="I178" i="138"/>
  <c r="E171" i="125"/>
  <c r="K178" i="138"/>
  <c r="I123" i="143"/>
  <c r="E131" i="143"/>
  <c r="E174" i="143" s="1"/>
  <c r="I52" i="143"/>
  <c r="E80" i="143"/>
  <c r="E167" i="143" s="1"/>
  <c r="I117" i="143"/>
  <c r="E121" i="143"/>
  <c r="E173" i="143" s="1"/>
  <c r="E86" i="143"/>
  <c r="K86" i="142"/>
  <c r="K90" i="142" s="1"/>
  <c r="K168" i="142" s="1"/>
  <c r="I90" i="142"/>
  <c r="I168" i="142" s="1"/>
  <c r="E24" i="141"/>
  <c r="E165" i="141" s="1"/>
  <c r="I22" i="141"/>
  <c r="E163" i="141"/>
  <c r="E24" i="143"/>
  <c r="E165" i="143" s="1"/>
  <c r="I22" i="143"/>
  <c r="K170" i="142"/>
  <c r="K133" i="142"/>
  <c r="I15" i="143"/>
  <c r="E19" i="143"/>
  <c r="E164" i="143" s="1"/>
  <c r="E27" i="141"/>
  <c r="K27" i="140"/>
  <c r="K30" i="140" s="1"/>
  <c r="I30" i="140"/>
  <c r="I166" i="140" s="1"/>
  <c r="E27" i="143"/>
  <c r="K27" i="142"/>
  <c r="K30" i="142" s="1"/>
  <c r="K166" i="142" s="1"/>
  <c r="I30" i="142"/>
  <c r="I166" i="142" s="1"/>
  <c r="K10" i="141"/>
  <c r="K12" i="141" s="1"/>
  <c r="I12" i="141"/>
  <c r="E163" i="143"/>
  <c r="E172" i="141"/>
  <c r="I114" i="141"/>
  <c r="I170" i="142"/>
  <c r="I133" i="142"/>
  <c r="I15" i="141"/>
  <c r="E19" i="141"/>
  <c r="E164" i="141" s="1"/>
  <c r="I170" i="140"/>
  <c r="I133" i="140"/>
  <c r="E166" i="142"/>
  <c r="E176" i="142" s="1"/>
  <c r="E96" i="142"/>
  <c r="E135" i="142" s="1"/>
  <c r="I52" i="141"/>
  <c r="E80" i="141"/>
  <c r="E167" i="141" s="1"/>
  <c r="E166" i="140"/>
  <c r="E176" i="140" s="1"/>
  <c r="E96" i="140"/>
  <c r="E135" i="140" s="1"/>
  <c r="I99" i="141"/>
  <c r="E106" i="141"/>
  <c r="E131" i="141"/>
  <c r="E174" i="141" s="1"/>
  <c r="I123" i="141"/>
  <c r="K10" i="143"/>
  <c r="K12" i="143" s="1"/>
  <c r="I12" i="143"/>
  <c r="E106" i="143"/>
  <c r="I99" i="143"/>
  <c r="E172" i="143"/>
  <c r="I114" i="143"/>
  <c r="K133" i="140"/>
  <c r="K170" i="140"/>
  <c r="E86" i="141"/>
  <c r="K86" i="140"/>
  <c r="K90" i="140" s="1"/>
  <c r="K168" i="140" s="1"/>
  <c r="I90" i="140"/>
  <c r="I168" i="140" s="1"/>
  <c r="E121" i="141"/>
  <c r="E173" i="141" s="1"/>
  <c r="I117" i="141"/>
  <c r="G74" i="125"/>
  <c r="G129" i="126"/>
  <c r="H161" i="127"/>
  <c r="G130" i="126"/>
  <c r="G159" i="126" s="1"/>
  <c r="G132" i="126"/>
  <c r="T126" i="126"/>
  <c r="V126" i="126" s="1"/>
  <c r="H74" i="125"/>
  <c r="H88" i="125" s="1"/>
  <c r="H126" i="125" s="1"/>
  <c r="H130" i="125" s="1"/>
  <c r="H159" i="125" s="1"/>
  <c r="H160" i="125"/>
  <c r="G88" i="125"/>
  <c r="G124" i="125"/>
  <c r="J136" i="125"/>
  <c r="J36" i="125"/>
  <c r="F88" i="125"/>
  <c r="F126" i="125" s="1"/>
  <c r="J143" i="125"/>
  <c r="J124" i="125"/>
  <c r="I71" i="124"/>
  <c r="I176" i="140" l="1"/>
  <c r="E178" i="140"/>
  <c r="I176" i="142"/>
  <c r="I96" i="142"/>
  <c r="I135" i="142" s="1"/>
  <c r="K176" i="142"/>
  <c r="I86" i="143"/>
  <c r="E90" i="143"/>
  <c r="E168" i="143" s="1"/>
  <c r="K123" i="143"/>
  <c r="K131" i="143" s="1"/>
  <c r="K174" i="143" s="1"/>
  <c r="I131" i="143"/>
  <c r="I174" i="143" s="1"/>
  <c r="I106" i="143"/>
  <c r="K99" i="143"/>
  <c r="K106" i="143" s="1"/>
  <c r="I106" i="141"/>
  <c r="K99" i="141"/>
  <c r="K106" i="141" s="1"/>
  <c r="K15" i="141"/>
  <c r="K19" i="141" s="1"/>
  <c r="K164" i="141" s="1"/>
  <c r="I19" i="141"/>
  <c r="I164" i="141" s="1"/>
  <c r="I163" i="141"/>
  <c r="I27" i="141"/>
  <c r="E30" i="141"/>
  <c r="E166" i="141" s="1"/>
  <c r="E170" i="143"/>
  <c r="E133" i="143"/>
  <c r="K123" i="141"/>
  <c r="K131" i="141" s="1"/>
  <c r="K174" i="141" s="1"/>
  <c r="I131" i="141"/>
  <c r="I174" i="141" s="1"/>
  <c r="K163" i="141"/>
  <c r="K96" i="142"/>
  <c r="K135" i="142" s="1"/>
  <c r="K52" i="143"/>
  <c r="K80" i="143" s="1"/>
  <c r="K167" i="143" s="1"/>
  <c r="I80" i="143"/>
  <c r="I167" i="143" s="1"/>
  <c r="E90" i="141"/>
  <c r="E168" i="141" s="1"/>
  <c r="I86" i="141"/>
  <c r="I163" i="143"/>
  <c r="E133" i="141"/>
  <c r="E170" i="141"/>
  <c r="E178" i="142"/>
  <c r="K114" i="141"/>
  <c r="K172" i="141" s="1"/>
  <c r="I172" i="141"/>
  <c r="K166" i="140"/>
  <c r="K176" i="140" s="1"/>
  <c r="K96" i="140"/>
  <c r="K135" i="140" s="1"/>
  <c r="I24" i="143"/>
  <c r="I165" i="143" s="1"/>
  <c r="K22" i="143"/>
  <c r="K24" i="143" s="1"/>
  <c r="K165" i="143" s="1"/>
  <c r="K22" i="141"/>
  <c r="K24" i="141" s="1"/>
  <c r="K165" i="141" s="1"/>
  <c r="I24" i="141"/>
  <c r="I165" i="141" s="1"/>
  <c r="K163" i="143"/>
  <c r="K52" i="141"/>
  <c r="K80" i="141" s="1"/>
  <c r="K167" i="141" s="1"/>
  <c r="I80" i="141"/>
  <c r="I167" i="141" s="1"/>
  <c r="E30" i="143"/>
  <c r="E166" i="143" s="1"/>
  <c r="I27" i="143"/>
  <c r="I121" i="141"/>
  <c r="I173" i="141" s="1"/>
  <c r="K117" i="141"/>
  <c r="K121" i="141" s="1"/>
  <c r="K173" i="141" s="1"/>
  <c r="I172" i="143"/>
  <c r="K114" i="143"/>
  <c r="K172" i="143" s="1"/>
  <c r="I96" i="140"/>
  <c r="I135" i="140" s="1"/>
  <c r="K15" i="143"/>
  <c r="K19" i="143" s="1"/>
  <c r="K164" i="143" s="1"/>
  <c r="I19" i="143"/>
  <c r="I164" i="143" s="1"/>
  <c r="K117" i="143"/>
  <c r="K121" i="143" s="1"/>
  <c r="K173" i="143" s="1"/>
  <c r="I121" i="143"/>
  <c r="I173" i="143" s="1"/>
  <c r="K71" i="124"/>
  <c r="E71" i="125"/>
  <c r="I71" i="125" s="1"/>
  <c r="H161" i="126"/>
  <c r="G126" i="125"/>
  <c r="T126" i="125" s="1"/>
  <c r="V126" i="125" s="1"/>
  <c r="F138" i="125"/>
  <c r="F139" i="125"/>
  <c r="F149" i="125" s="1"/>
  <c r="K36" i="125"/>
  <c r="G116" i="124"/>
  <c r="E176" i="143" l="1"/>
  <c r="I178" i="140"/>
  <c r="I178" i="142"/>
  <c r="E176" i="141"/>
  <c r="K178" i="142"/>
  <c r="K170" i="143"/>
  <c r="K133" i="143"/>
  <c r="K27" i="141"/>
  <c r="K30" i="141" s="1"/>
  <c r="I30" i="141"/>
  <c r="I166" i="141" s="1"/>
  <c r="I133" i="143"/>
  <c r="I170" i="143"/>
  <c r="K86" i="143"/>
  <c r="K90" i="143" s="1"/>
  <c r="K168" i="143" s="1"/>
  <c r="I90" i="143"/>
  <c r="I168" i="143" s="1"/>
  <c r="I170" i="141"/>
  <c r="I133" i="141"/>
  <c r="I30" i="143"/>
  <c r="I166" i="143" s="1"/>
  <c r="K27" i="143"/>
  <c r="K30" i="143" s="1"/>
  <c r="K166" i="143" s="1"/>
  <c r="K178" i="140"/>
  <c r="I90" i="141"/>
  <c r="I168" i="141" s="1"/>
  <c r="K86" i="141"/>
  <c r="K90" i="141" s="1"/>
  <c r="K168" i="141" s="1"/>
  <c r="E96" i="141"/>
  <c r="E135" i="141" s="1"/>
  <c r="E96" i="143"/>
  <c r="E135" i="143" s="1"/>
  <c r="K133" i="141"/>
  <c r="K170" i="141"/>
  <c r="E75" i="130"/>
  <c r="I75" i="130" s="1"/>
  <c r="K75" i="130" s="1"/>
  <c r="K71" i="125"/>
  <c r="E71" i="127"/>
  <c r="I71" i="127" s="1"/>
  <c r="G129" i="125"/>
  <c r="G132" i="125"/>
  <c r="G130" i="125"/>
  <c r="G159" i="125" s="1"/>
  <c r="G171" i="124"/>
  <c r="F171" i="124"/>
  <c r="E168" i="124"/>
  <c r="E167" i="124"/>
  <c r="H157" i="124"/>
  <c r="G157" i="124"/>
  <c r="H156" i="124"/>
  <c r="G156" i="124"/>
  <c r="H155" i="124"/>
  <c r="G155" i="124"/>
  <c r="F147" i="124"/>
  <c r="F146" i="124"/>
  <c r="J145" i="124"/>
  <c r="F145" i="124"/>
  <c r="F143" i="124"/>
  <c r="F142" i="124"/>
  <c r="F141" i="124"/>
  <c r="F140" i="124"/>
  <c r="F137" i="124"/>
  <c r="F136" i="124"/>
  <c r="H135" i="124"/>
  <c r="F135" i="124"/>
  <c r="J122" i="124"/>
  <c r="J147" i="124" s="1"/>
  <c r="H122" i="124"/>
  <c r="G122" i="124"/>
  <c r="F122" i="124"/>
  <c r="J113" i="124"/>
  <c r="J146" i="124" s="1"/>
  <c r="H113" i="124"/>
  <c r="G113" i="124"/>
  <c r="F113" i="124"/>
  <c r="L103" i="124"/>
  <c r="J103" i="124"/>
  <c r="J144" i="124" s="1"/>
  <c r="H103" i="124"/>
  <c r="G103" i="124"/>
  <c r="F103" i="124"/>
  <c r="E101" i="124"/>
  <c r="I101" i="124" s="1"/>
  <c r="K101" i="124" s="1"/>
  <c r="J98" i="124"/>
  <c r="H98" i="124"/>
  <c r="G98" i="124"/>
  <c r="F98" i="124"/>
  <c r="H82" i="124"/>
  <c r="G82" i="124"/>
  <c r="F82" i="124"/>
  <c r="I64" i="124"/>
  <c r="K64" i="124" s="1"/>
  <c r="K39" i="124"/>
  <c r="J39" i="124"/>
  <c r="I39" i="124"/>
  <c r="H39" i="124"/>
  <c r="G39" i="124"/>
  <c r="F39" i="124"/>
  <c r="E39" i="124"/>
  <c r="H36" i="124"/>
  <c r="G36" i="124"/>
  <c r="F36" i="124"/>
  <c r="J30" i="124"/>
  <c r="J139" i="124" s="1"/>
  <c r="H30" i="124"/>
  <c r="H128" i="124" s="1"/>
  <c r="G30" i="124"/>
  <c r="G128" i="124" s="1"/>
  <c r="F30" i="124"/>
  <c r="J24" i="124"/>
  <c r="J138" i="124" s="1"/>
  <c r="H24" i="124"/>
  <c r="G24" i="124"/>
  <c r="F24" i="124"/>
  <c r="J19" i="124"/>
  <c r="J137" i="124" s="1"/>
  <c r="H19" i="124"/>
  <c r="G19" i="124"/>
  <c r="F19" i="124"/>
  <c r="J12" i="124"/>
  <c r="H12" i="124"/>
  <c r="G12" i="124"/>
  <c r="F12" i="124"/>
  <c r="K6" i="124"/>
  <c r="H74" i="124" l="1"/>
  <c r="G74" i="124"/>
  <c r="E178" i="143"/>
  <c r="E178" i="141"/>
  <c r="E171" i="124"/>
  <c r="F124" i="124"/>
  <c r="I96" i="143"/>
  <c r="I135" i="143" s="1"/>
  <c r="K176" i="143"/>
  <c r="I176" i="141"/>
  <c r="I176" i="143"/>
  <c r="K96" i="143"/>
  <c r="K135" i="143" s="1"/>
  <c r="I96" i="141"/>
  <c r="I135" i="141" s="1"/>
  <c r="K166" i="141"/>
  <c r="K176" i="141" s="1"/>
  <c r="K96" i="141"/>
  <c r="K135" i="141" s="1"/>
  <c r="K71" i="127"/>
  <c r="E71" i="128"/>
  <c r="I71" i="128" s="1"/>
  <c r="F74" i="124"/>
  <c r="F88" i="124" s="1"/>
  <c r="I36" i="124"/>
  <c r="J36" i="124" s="1"/>
  <c r="H124" i="124"/>
  <c r="H160" i="124"/>
  <c r="H161" i="125"/>
  <c r="G88" i="124"/>
  <c r="J136" i="124"/>
  <c r="J143" i="124"/>
  <c r="J124" i="124"/>
  <c r="H88" i="124"/>
  <c r="G124" i="124"/>
  <c r="E99" i="123"/>
  <c r="I99" i="123" s="1"/>
  <c r="K99" i="123" s="1"/>
  <c r="G114" i="123"/>
  <c r="G120" i="123" s="1"/>
  <c r="G169" i="123"/>
  <c r="F169" i="123"/>
  <c r="E166" i="123"/>
  <c r="E165" i="123"/>
  <c r="H155" i="123"/>
  <c r="G155" i="123"/>
  <c r="H154" i="123"/>
  <c r="G154" i="123"/>
  <c r="H153" i="123"/>
  <c r="G153" i="123"/>
  <c r="F145" i="123"/>
  <c r="F144" i="123"/>
  <c r="J143" i="123"/>
  <c r="F143" i="123"/>
  <c r="F141" i="123"/>
  <c r="F140" i="123"/>
  <c r="F139" i="123"/>
  <c r="F138" i="123"/>
  <c r="F135" i="123"/>
  <c r="F134" i="123"/>
  <c r="H133" i="123"/>
  <c r="F133" i="123"/>
  <c r="J120" i="123"/>
  <c r="J145" i="123" s="1"/>
  <c r="H120" i="123"/>
  <c r="F120" i="123"/>
  <c r="J111" i="123"/>
  <c r="J144" i="123" s="1"/>
  <c r="H111" i="123"/>
  <c r="G111" i="123"/>
  <c r="F111" i="123"/>
  <c r="L101" i="123"/>
  <c r="J101" i="123"/>
  <c r="J142" i="123" s="1"/>
  <c r="H101" i="123"/>
  <c r="G101" i="123"/>
  <c r="F101" i="123"/>
  <c r="J96" i="123"/>
  <c r="J141" i="123" s="1"/>
  <c r="H96" i="123"/>
  <c r="G96" i="123"/>
  <c r="F96" i="123"/>
  <c r="H80" i="123"/>
  <c r="G80" i="123"/>
  <c r="F80" i="123"/>
  <c r="I64" i="123"/>
  <c r="K64" i="123" s="1"/>
  <c r="K39" i="123"/>
  <c r="J39" i="123"/>
  <c r="I39" i="123"/>
  <c r="H39" i="123"/>
  <c r="G39" i="123"/>
  <c r="F39" i="123"/>
  <c r="E39" i="123"/>
  <c r="H36" i="123"/>
  <c r="G36" i="123"/>
  <c r="F36" i="123"/>
  <c r="J30" i="123"/>
  <c r="J137" i="123" s="1"/>
  <c r="H30" i="123"/>
  <c r="H126" i="123" s="1"/>
  <c r="G30" i="123"/>
  <c r="F30" i="123"/>
  <c r="J24" i="123"/>
  <c r="J136" i="123" s="1"/>
  <c r="H24" i="123"/>
  <c r="G24" i="123"/>
  <c r="F24" i="123"/>
  <c r="J19" i="123"/>
  <c r="J135" i="123" s="1"/>
  <c r="H19" i="123"/>
  <c r="G19" i="123"/>
  <c r="F19" i="123"/>
  <c r="J12" i="123"/>
  <c r="J134" i="123" s="1"/>
  <c r="H12" i="123"/>
  <c r="G12" i="123"/>
  <c r="F12" i="123"/>
  <c r="K6" i="123"/>
  <c r="H72" i="123" l="1"/>
  <c r="G72" i="123"/>
  <c r="I178" i="143"/>
  <c r="K36" i="124"/>
  <c r="F126" i="124"/>
  <c r="H122" i="123"/>
  <c r="K178" i="143"/>
  <c r="I178" i="141"/>
  <c r="K178" i="141"/>
  <c r="E75" i="129"/>
  <c r="I75" i="129" s="1"/>
  <c r="K71" i="128"/>
  <c r="H126" i="124"/>
  <c r="H130" i="124" s="1"/>
  <c r="H159" i="124" s="1"/>
  <c r="E169" i="123"/>
  <c r="I36" i="123"/>
  <c r="J36" i="123" s="1"/>
  <c r="F122" i="123"/>
  <c r="G126" i="124"/>
  <c r="G132" i="124" s="1"/>
  <c r="F138" i="124"/>
  <c r="F139" i="124"/>
  <c r="F149" i="124" s="1"/>
  <c r="H158" i="123"/>
  <c r="H86" i="123"/>
  <c r="G122" i="123"/>
  <c r="G126" i="123"/>
  <c r="G86" i="123"/>
  <c r="F72" i="123"/>
  <c r="F86" i="123" s="1"/>
  <c r="J122" i="123"/>
  <c r="H124" i="123" l="1"/>
  <c r="H128" i="123" s="1"/>
  <c r="H157" i="123" s="1"/>
  <c r="E77" i="144"/>
  <c r="I77" i="144" s="1"/>
  <c r="K75" i="129"/>
  <c r="E75" i="135"/>
  <c r="I75" i="135" s="1"/>
  <c r="K75" i="135" s="1"/>
  <c r="T126" i="124"/>
  <c r="V126" i="124" s="1"/>
  <c r="G129" i="124"/>
  <c r="G130" i="124"/>
  <c r="G159" i="124" s="1"/>
  <c r="G124" i="123"/>
  <c r="F137" i="123"/>
  <c r="F147" i="123" s="1"/>
  <c r="F136" i="123"/>
  <c r="F124" i="123"/>
  <c r="K36" i="123"/>
  <c r="E99" i="122"/>
  <c r="I99" i="122" s="1"/>
  <c r="K99" i="122" s="1"/>
  <c r="E99" i="121"/>
  <c r="I99" i="121" s="1"/>
  <c r="K99" i="121" s="1"/>
  <c r="G169" i="122"/>
  <c r="F169" i="122"/>
  <c r="E166" i="122"/>
  <c r="E165" i="122"/>
  <c r="H155" i="122"/>
  <c r="G155" i="122"/>
  <c r="H154" i="122"/>
  <c r="G154" i="122"/>
  <c r="H153" i="122"/>
  <c r="G153" i="122"/>
  <c r="F145" i="122"/>
  <c r="F144" i="122"/>
  <c r="J143" i="122"/>
  <c r="F143" i="122"/>
  <c r="F141" i="122"/>
  <c r="F140" i="122"/>
  <c r="F139" i="122"/>
  <c r="F138" i="122"/>
  <c r="F135" i="122"/>
  <c r="F134" i="122"/>
  <c r="H133" i="122"/>
  <c r="F133" i="122"/>
  <c r="J120" i="122"/>
  <c r="J145" i="122" s="1"/>
  <c r="H120" i="122"/>
  <c r="G120" i="122"/>
  <c r="F120" i="122"/>
  <c r="J111" i="122"/>
  <c r="J144" i="122" s="1"/>
  <c r="H111" i="122"/>
  <c r="G111" i="122"/>
  <c r="F111" i="122"/>
  <c r="L101" i="122"/>
  <c r="J101" i="122"/>
  <c r="J142" i="122" s="1"/>
  <c r="H101" i="122"/>
  <c r="G101" i="122"/>
  <c r="F101" i="122"/>
  <c r="J96" i="122"/>
  <c r="J141" i="122" s="1"/>
  <c r="H96" i="122"/>
  <c r="F96" i="122"/>
  <c r="G96" i="122"/>
  <c r="H80" i="122"/>
  <c r="G80" i="122"/>
  <c r="F80" i="122"/>
  <c r="I69" i="122"/>
  <c r="K69" i="122" s="1"/>
  <c r="I64" i="122"/>
  <c r="K64" i="122" s="1"/>
  <c r="K39" i="122"/>
  <c r="J39" i="122"/>
  <c r="I39" i="122"/>
  <c r="H39" i="122"/>
  <c r="G39" i="122"/>
  <c r="F39" i="122"/>
  <c r="E39" i="122"/>
  <c r="H36" i="122"/>
  <c r="G36" i="122"/>
  <c r="F36" i="122"/>
  <c r="J30" i="122"/>
  <c r="J137" i="122" s="1"/>
  <c r="H30" i="122"/>
  <c r="H126" i="122" s="1"/>
  <c r="G30" i="122"/>
  <c r="F30" i="122"/>
  <c r="J24" i="122"/>
  <c r="J136" i="122" s="1"/>
  <c r="H24" i="122"/>
  <c r="G24" i="122"/>
  <c r="F24" i="122"/>
  <c r="J19" i="122"/>
  <c r="J135" i="122" s="1"/>
  <c r="H19" i="122"/>
  <c r="G19" i="122"/>
  <c r="F19" i="122"/>
  <c r="J12" i="122"/>
  <c r="J134" i="122" s="1"/>
  <c r="H12" i="122"/>
  <c r="G12" i="122"/>
  <c r="F12" i="122"/>
  <c r="K6" i="122"/>
  <c r="G169" i="121"/>
  <c r="F169" i="121"/>
  <c r="E166" i="121"/>
  <c r="E165" i="121"/>
  <c r="H155" i="121"/>
  <c r="H154" i="121"/>
  <c r="G154" i="121"/>
  <c r="H153" i="121"/>
  <c r="G153" i="121"/>
  <c r="F145" i="121"/>
  <c r="F144" i="121"/>
  <c r="J143" i="121"/>
  <c r="F143" i="121"/>
  <c r="F141" i="121"/>
  <c r="F140" i="121"/>
  <c r="F139" i="121"/>
  <c r="F138" i="121"/>
  <c r="F135" i="121"/>
  <c r="F134" i="121"/>
  <c r="H133" i="121"/>
  <c r="F133" i="121"/>
  <c r="J120" i="121"/>
  <c r="J145" i="121" s="1"/>
  <c r="H120" i="121"/>
  <c r="G120" i="121"/>
  <c r="F120" i="121"/>
  <c r="J111" i="121"/>
  <c r="J144" i="121" s="1"/>
  <c r="H111" i="121"/>
  <c r="G111" i="121"/>
  <c r="F111" i="121"/>
  <c r="L101" i="121"/>
  <c r="J101" i="121"/>
  <c r="J142" i="121" s="1"/>
  <c r="H101" i="121"/>
  <c r="G101" i="121"/>
  <c r="F101" i="121"/>
  <c r="J96" i="121"/>
  <c r="H96" i="121"/>
  <c r="F96" i="121"/>
  <c r="G96" i="121"/>
  <c r="H80" i="121"/>
  <c r="G80" i="121"/>
  <c r="F80" i="121"/>
  <c r="I64" i="121"/>
  <c r="K64" i="121" s="1"/>
  <c r="K39" i="121"/>
  <c r="J39" i="121"/>
  <c r="I39" i="121"/>
  <c r="H39" i="121"/>
  <c r="G39" i="121"/>
  <c r="F39" i="121"/>
  <c r="E39" i="121"/>
  <c r="H36" i="121"/>
  <c r="G36" i="121"/>
  <c r="F36" i="121"/>
  <c r="J30" i="121"/>
  <c r="J137" i="121" s="1"/>
  <c r="H30" i="121"/>
  <c r="H126" i="121" s="1"/>
  <c r="G30" i="121"/>
  <c r="G126" i="121" s="1"/>
  <c r="F30" i="121"/>
  <c r="J24" i="121"/>
  <c r="J136" i="121" s="1"/>
  <c r="H24" i="121"/>
  <c r="G24" i="121"/>
  <c r="F24" i="121"/>
  <c r="J19" i="121"/>
  <c r="J135" i="121" s="1"/>
  <c r="H19" i="121"/>
  <c r="G19" i="121"/>
  <c r="F19" i="121"/>
  <c r="J12" i="121"/>
  <c r="J134" i="121" s="1"/>
  <c r="H12" i="121"/>
  <c r="G12" i="121"/>
  <c r="F12" i="121"/>
  <c r="K6" i="121"/>
  <c r="I36" i="121" l="1"/>
  <c r="G72" i="122"/>
  <c r="H122" i="122"/>
  <c r="H72" i="122"/>
  <c r="H86" i="122" s="1"/>
  <c r="H124" i="122" s="1"/>
  <c r="H128" i="122" s="1"/>
  <c r="H157" i="122" s="1"/>
  <c r="G72" i="121"/>
  <c r="G86" i="121" s="1"/>
  <c r="H122" i="121"/>
  <c r="E169" i="121"/>
  <c r="E77" i="147"/>
  <c r="I77" i="147" s="1"/>
  <c r="E77" i="150" s="1"/>
  <c r="I77" i="150" s="1"/>
  <c r="E79" i="153" s="1"/>
  <c r="I79" i="153" s="1"/>
  <c r="K79" i="153" s="1"/>
  <c r="K77" i="144"/>
  <c r="E77" i="145"/>
  <c r="I77" i="145" s="1"/>
  <c r="E169" i="122"/>
  <c r="F72" i="122"/>
  <c r="F86" i="122" s="1"/>
  <c r="F137" i="122" s="1"/>
  <c r="F147" i="122" s="1"/>
  <c r="H72" i="121"/>
  <c r="H86" i="121" s="1"/>
  <c r="T124" i="123"/>
  <c r="V124" i="123" s="1"/>
  <c r="F122" i="122"/>
  <c r="H161" i="124"/>
  <c r="G127" i="123"/>
  <c r="G128" i="123"/>
  <c r="H159" i="123" s="1"/>
  <c r="G130" i="123"/>
  <c r="G122" i="121"/>
  <c r="G126" i="122"/>
  <c r="H158" i="122"/>
  <c r="G86" i="122"/>
  <c r="G122" i="122"/>
  <c r="I36" i="122"/>
  <c r="J36" i="122" s="1"/>
  <c r="J122" i="122"/>
  <c r="J141" i="121"/>
  <c r="J122" i="121"/>
  <c r="F72" i="121"/>
  <c r="F86" i="121" s="1"/>
  <c r="J36" i="121"/>
  <c r="K36" i="121" s="1"/>
  <c r="F122" i="121"/>
  <c r="G155" i="121"/>
  <c r="H158" i="121" s="1"/>
  <c r="G87" i="120"/>
  <c r="G153" i="120" s="1"/>
  <c r="E97" i="120"/>
  <c r="I97" i="120" s="1"/>
  <c r="K97" i="120" s="1"/>
  <c r="G167" i="120"/>
  <c r="F167" i="120"/>
  <c r="E164" i="120"/>
  <c r="E163" i="120"/>
  <c r="H153" i="120"/>
  <c r="H152" i="120"/>
  <c r="G152" i="120"/>
  <c r="H151" i="120"/>
  <c r="G151" i="120"/>
  <c r="F143" i="120"/>
  <c r="F142" i="120"/>
  <c r="J141" i="120"/>
  <c r="F141" i="120"/>
  <c r="F139" i="120"/>
  <c r="F138" i="120"/>
  <c r="F137" i="120"/>
  <c r="F136" i="120"/>
  <c r="F133" i="120"/>
  <c r="F132" i="120"/>
  <c r="H131" i="120"/>
  <c r="F131" i="120"/>
  <c r="J118" i="120"/>
  <c r="J143" i="120" s="1"/>
  <c r="H118" i="120"/>
  <c r="G118" i="120"/>
  <c r="F118" i="120"/>
  <c r="J109" i="120"/>
  <c r="J142" i="120" s="1"/>
  <c r="H109" i="120"/>
  <c r="G109" i="120"/>
  <c r="F109" i="120"/>
  <c r="L99" i="120"/>
  <c r="J99" i="120"/>
  <c r="J140" i="120" s="1"/>
  <c r="H99" i="120"/>
  <c r="G99" i="120"/>
  <c r="F99" i="120"/>
  <c r="J94" i="120"/>
  <c r="J139" i="120" s="1"/>
  <c r="H94" i="120"/>
  <c r="F94" i="120"/>
  <c r="H78" i="120"/>
  <c r="G78" i="120"/>
  <c r="F78" i="120"/>
  <c r="I64" i="120"/>
  <c r="K64" i="120" s="1"/>
  <c r="K39" i="120"/>
  <c r="J39" i="120"/>
  <c r="I39" i="120"/>
  <c r="H39" i="120"/>
  <c r="G39" i="120"/>
  <c r="F39" i="120"/>
  <c r="E39" i="120"/>
  <c r="H36" i="120"/>
  <c r="G36" i="120"/>
  <c r="F36" i="120"/>
  <c r="J30" i="120"/>
  <c r="J135" i="120" s="1"/>
  <c r="H30" i="120"/>
  <c r="H124" i="120" s="1"/>
  <c r="G30" i="120"/>
  <c r="G124" i="120" s="1"/>
  <c r="F30" i="120"/>
  <c r="J24" i="120"/>
  <c r="J134" i="120" s="1"/>
  <c r="H24" i="120"/>
  <c r="G24" i="120"/>
  <c r="F24" i="120"/>
  <c r="J19" i="120"/>
  <c r="J133" i="120" s="1"/>
  <c r="H19" i="120"/>
  <c r="G19" i="120"/>
  <c r="F19" i="120"/>
  <c r="J12" i="120"/>
  <c r="J132" i="120" s="1"/>
  <c r="H12" i="120"/>
  <c r="G12" i="120"/>
  <c r="F12" i="120"/>
  <c r="K6" i="120"/>
  <c r="G70" i="120" l="1"/>
  <c r="G84" i="120" s="1"/>
  <c r="K36" i="122"/>
  <c r="E167" i="120"/>
  <c r="K77" i="150"/>
  <c r="E77" i="151"/>
  <c r="I77" i="151" s="1"/>
  <c r="H124" i="121"/>
  <c r="H128" i="121" s="1"/>
  <c r="H157" i="121" s="1"/>
  <c r="G94" i="120"/>
  <c r="G120" i="120" s="1"/>
  <c r="K77" i="145"/>
  <c r="E77" i="146"/>
  <c r="I77" i="146" s="1"/>
  <c r="K77" i="146" s="1"/>
  <c r="K77" i="147"/>
  <c r="E76" i="148"/>
  <c r="I76" i="148" s="1"/>
  <c r="H70" i="120"/>
  <c r="H84" i="120" s="1"/>
  <c r="F120" i="120"/>
  <c r="F124" i="122"/>
  <c r="F136" i="122"/>
  <c r="F70" i="120"/>
  <c r="F84" i="120" s="1"/>
  <c r="F135" i="120" s="1"/>
  <c r="F145" i="120" s="1"/>
  <c r="G157" i="123"/>
  <c r="G124" i="121"/>
  <c r="G124" i="122"/>
  <c r="G128" i="122" s="1"/>
  <c r="F137" i="121"/>
  <c r="F147" i="121" s="1"/>
  <c r="F136" i="121"/>
  <c r="F124" i="121"/>
  <c r="H156" i="120"/>
  <c r="H120" i="120"/>
  <c r="J120" i="120"/>
  <c r="I36" i="120"/>
  <c r="J36" i="120" s="1"/>
  <c r="E97" i="119"/>
  <c r="I97" i="119" s="1"/>
  <c r="K97" i="119" s="1"/>
  <c r="G167" i="119"/>
  <c r="F167" i="119"/>
  <c r="E164" i="119"/>
  <c r="E163" i="119"/>
  <c r="H153" i="119"/>
  <c r="G153" i="119"/>
  <c r="H152" i="119"/>
  <c r="G152" i="119"/>
  <c r="H151" i="119"/>
  <c r="G151" i="119"/>
  <c r="F143" i="119"/>
  <c r="F142" i="119"/>
  <c r="J141" i="119"/>
  <c r="F141" i="119"/>
  <c r="F139" i="119"/>
  <c r="F138" i="119"/>
  <c r="F137" i="119"/>
  <c r="F136" i="119"/>
  <c r="F133" i="119"/>
  <c r="F132" i="119"/>
  <c r="H131" i="119"/>
  <c r="F131" i="119"/>
  <c r="J118" i="119"/>
  <c r="J143" i="119" s="1"/>
  <c r="H118" i="119"/>
  <c r="F118" i="119"/>
  <c r="J109" i="119"/>
  <c r="J142" i="119" s="1"/>
  <c r="H109" i="119"/>
  <c r="G109" i="119"/>
  <c r="F109" i="119"/>
  <c r="L99" i="119"/>
  <c r="J99" i="119"/>
  <c r="J140" i="119" s="1"/>
  <c r="H99" i="119"/>
  <c r="G99" i="119"/>
  <c r="F99" i="119"/>
  <c r="J94" i="119"/>
  <c r="J139" i="119" s="1"/>
  <c r="H94" i="119"/>
  <c r="G94" i="119"/>
  <c r="F94" i="119"/>
  <c r="H78" i="119"/>
  <c r="G78" i="119"/>
  <c r="F78" i="119"/>
  <c r="I64" i="119"/>
  <c r="K64" i="119" s="1"/>
  <c r="K39" i="119"/>
  <c r="J39" i="119"/>
  <c r="I39" i="119"/>
  <c r="H39" i="119"/>
  <c r="G39" i="119"/>
  <c r="F39" i="119"/>
  <c r="E39" i="119"/>
  <c r="H36" i="119"/>
  <c r="H70" i="119" s="1"/>
  <c r="G36" i="119"/>
  <c r="F36" i="119"/>
  <c r="J30" i="119"/>
  <c r="J135" i="119" s="1"/>
  <c r="H30" i="119"/>
  <c r="H124" i="119" s="1"/>
  <c r="G30" i="119"/>
  <c r="F30" i="119"/>
  <c r="J24" i="119"/>
  <c r="J134" i="119" s="1"/>
  <c r="H24" i="119"/>
  <c r="G24" i="119"/>
  <c r="F24" i="119"/>
  <c r="J19" i="119"/>
  <c r="J133" i="119" s="1"/>
  <c r="H19" i="119"/>
  <c r="G19" i="119"/>
  <c r="F19" i="119"/>
  <c r="J12" i="119"/>
  <c r="J132" i="119" s="1"/>
  <c r="H12" i="119"/>
  <c r="G12" i="119"/>
  <c r="F12" i="119"/>
  <c r="K6" i="119"/>
  <c r="F70" i="119" l="1"/>
  <c r="G127" i="121"/>
  <c r="K77" i="151"/>
  <c r="E77" i="152"/>
  <c r="I77" i="152" s="1"/>
  <c r="K77" i="152" s="1"/>
  <c r="K76" i="148"/>
  <c r="E76" i="149"/>
  <c r="I76" i="149" s="1"/>
  <c r="K76" i="149" s="1"/>
  <c r="E167" i="119"/>
  <c r="G130" i="121"/>
  <c r="H122" i="120"/>
  <c r="H126" i="120" s="1"/>
  <c r="H155" i="120" s="1"/>
  <c r="F134" i="120"/>
  <c r="F122" i="120"/>
  <c r="F84" i="119"/>
  <c r="F134" i="119" s="1"/>
  <c r="G128" i="121"/>
  <c r="G157" i="121" s="1"/>
  <c r="T124" i="121"/>
  <c r="V124" i="121" s="1"/>
  <c r="G130" i="122"/>
  <c r="T124" i="122"/>
  <c r="V124" i="122" s="1"/>
  <c r="G127" i="122"/>
  <c r="G157" i="122"/>
  <c r="H159" i="122"/>
  <c r="G122" i="120"/>
  <c r="K36" i="120"/>
  <c r="H156" i="119"/>
  <c r="H84" i="119"/>
  <c r="I36" i="119"/>
  <c r="J36" i="119" s="1"/>
  <c r="K36" i="119" s="1"/>
  <c r="G70" i="119"/>
  <c r="G84" i="119" s="1"/>
  <c r="F120" i="119"/>
  <c r="H120" i="119"/>
  <c r="G124" i="119"/>
  <c r="G118" i="119"/>
  <c r="G120" i="119" s="1"/>
  <c r="J120" i="119"/>
  <c r="I112" i="118"/>
  <c r="K112" i="118" s="1"/>
  <c r="I114" i="118"/>
  <c r="K114" i="118" s="1"/>
  <c r="I116" i="118"/>
  <c r="K116" i="118" s="1"/>
  <c r="I111" i="118"/>
  <c r="K111" i="118" s="1"/>
  <c r="I107" i="118"/>
  <c r="K107" i="118" s="1"/>
  <c r="I102" i="118"/>
  <c r="I88" i="118"/>
  <c r="K88" i="118" s="1"/>
  <c r="I90" i="118"/>
  <c r="K90" i="118" s="1"/>
  <c r="I92" i="118"/>
  <c r="K92" i="118" s="1"/>
  <c r="I87" i="118"/>
  <c r="I76" i="118"/>
  <c r="K76" i="118" s="1"/>
  <c r="I75" i="118"/>
  <c r="K75" i="118" s="1"/>
  <c r="I74" i="118"/>
  <c r="K74" i="118" s="1"/>
  <c r="I69" i="118"/>
  <c r="K69" i="118" s="1"/>
  <c r="I67" i="118"/>
  <c r="K67" i="118" s="1"/>
  <c r="I63" i="118"/>
  <c r="K63" i="118" s="1"/>
  <c r="I59" i="118"/>
  <c r="K59" i="118" s="1"/>
  <c r="I53" i="118"/>
  <c r="K53" i="118" s="1"/>
  <c r="I52" i="118"/>
  <c r="K52" i="118" s="1"/>
  <c r="I27" i="118"/>
  <c r="E24" i="118"/>
  <c r="E134" i="118" s="1"/>
  <c r="I16" i="118"/>
  <c r="K16" i="118" s="1"/>
  <c r="I15" i="118"/>
  <c r="K15" i="118" s="1"/>
  <c r="I9" i="118"/>
  <c r="G167" i="118"/>
  <c r="F167" i="118"/>
  <c r="E164" i="118"/>
  <c r="E163" i="118"/>
  <c r="H153" i="118"/>
  <c r="G153" i="118"/>
  <c r="H152" i="118"/>
  <c r="G152" i="118"/>
  <c r="H151" i="118"/>
  <c r="G151" i="118"/>
  <c r="F143" i="118"/>
  <c r="F142" i="118"/>
  <c r="J141" i="118"/>
  <c r="F141" i="118"/>
  <c r="F139" i="118"/>
  <c r="F138" i="118"/>
  <c r="F137" i="118"/>
  <c r="F136" i="118"/>
  <c r="F133" i="118"/>
  <c r="F132" i="118"/>
  <c r="H131" i="118"/>
  <c r="F131" i="118"/>
  <c r="J118" i="118"/>
  <c r="J143" i="118" s="1"/>
  <c r="H118" i="118"/>
  <c r="G118" i="118"/>
  <c r="F118" i="118"/>
  <c r="I115" i="118"/>
  <c r="K115" i="118" s="1"/>
  <c r="I113" i="118"/>
  <c r="K113" i="118" s="1"/>
  <c r="J109" i="118"/>
  <c r="J142" i="118" s="1"/>
  <c r="H109" i="118"/>
  <c r="G109" i="118"/>
  <c r="F109" i="118"/>
  <c r="I106" i="118"/>
  <c r="K106" i="118" s="1"/>
  <c r="L99" i="118"/>
  <c r="J99" i="118"/>
  <c r="J140" i="118" s="1"/>
  <c r="H99" i="118"/>
  <c r="G99" i="118"/>
  <c r="F99" i="118"/>
  <c r="E97" i="118"/>
  <c r="I97" i="118" s="1"/>
  <c r="K97" i="118" s="1"/>
  <c r="J94" i="118"/>
  <c r="J139" i="118" s="1"/>
  <c r="H94" i="118"/>
  <c r="G94" i="118"/>
  <c r="F94" i="118"/>
  <c r="I91" i="118"/>
  <c r="K91" i="118" s="1"/>
  <c r="I89" i="118"/>
  <c r="K89" i="118" s="1"/>
  <c r="H78" i="118"/>
  <c r="G78" i="118"/>
  <c r="F78" i="118"/>
  <c r="I65" i="118"/>
  <c r="J65" i="118" s="1"/>
  <c r="I64" i="118"/>
  <c r="K64" i="118" s="1"/>
  <c r="I57" i="118"/>
  <c r="K57" i="118" s="1"/>
  <c r="I55" i="118"/>
  <c r="J55" i="118" s="1"/>
  <c r="K39" i="118"/>
  <c r="J39" i="118"/>
  <c r="I39" i="118"/>
  <c r="H39" i="118"/>
  <c r="G39" i="118"/>
  <c r="F39" i="118"/>
  <c r="E39" i="118"/>
  <c r="H36" i="118"/>
  <c r="G36" i="118"/>
  <c r="F36" i="118"/>
  <c r="J30" i="118"/>
  <c r="J135" i="118" s="1"/>
  <c r="H30" i="118"/>
  <c r="H124" i="118" s="1"/>
  <c r="G30" i="118"/>
  <c r="G124" i="118" s="1"/>
  <c r="F30" i="118"/>
  <c r="I28" i="118"/>
  <c r="K28" i="118" s="1"/>
  <c r="J24" i="118"/>
  <c r="J134" i="118" s="1"/>
  <c r="H24" i="118"/>
  <c r="G24" i="118"/>
  <c r="F24" i="118"/>
  <c r="J19" i="118"/>
  <c r="J133" i="118" s="1"/>
  <c r="H19" i="118"/>
  <c r="G19" i="118"/>
  <c r="F19" i="118"/>
  <c r="I17" i="118"/>
  <c r="K17" i="118" s="1"/>
  <c r="J12" i="118"/>
  <c r="J132" i="118" s="1"/>
  <c r="H12" i="118"/>
  <c r="G12" i="118"/>
  <c r="F12" i="118"/>
  <c r="I10" i="118"/>
  <c r="K10" i="118" s="1"/>
  <c r="K6" i="118"/>
  <c r="G125" i="120" l="1"/>
  <c r="H70" i="118"/>
  <c r="H84" i="118" s="1"/>
  <c r="F120" i="118"/>
  <c r="I36" i="118"/>
  <c r="J36" i="118" s="1"/>
  <c r="K36" i="118" s="1"/>
  <c r="E167" i="118"/>
  <c r="F135" i="119"/>
  <c r="F145" i="119" s="1"/>
  <c r="G70" i="118"/>
  <c r="G84" i="118" s="1"/>
  <c r="F122" i="119"/>
  <c r="H122" i="119"/>
  <c r="H126" i="119" s="1"/>
  <c r="H155" i="119" s="1"/>
  <c r="H120" i="118"/>
  <c r="H159" i="121"/>
  <c r="G126" i="120"/>
  <c r="G155" i="120" s="1"/>
  <c r="G128" i="120"/>
  <c r="T122" i="120"/>
  <c r="V122" i="120" s="1"/>
  <c r="G122" i="119"/>
  <c r="H156" i="118"/>
  <c r="G120" i="118"/>
  <c r="K65" i="118"/>
  <c r="K55" i="118"/>
  <c r="E118" i="118"/>
  <c r="E143" i="118" s="1"/>
  <c r="E109" i="118"/>
  <c r="E142" i="118" s="1"/>
  <c r="I105" i="118"/>
  <c r="K105" i="118" s="1"/>
  <c r="K109" i="118" s="1"/>
  <c r="K142" i="118" s="1"/>
  <c r="E94" i="118"/>
  <c r="I22" i="118"/>
  <c r="K22" i="118" s="1"/>
  <c r="K24" i="118" s="1"/>
  <c r="K134" i="118" s="1"/>
  <c r="K19" i="118"/>
  <c r="K133" i="118" s="1"/>
  <c r="I12" i="118"/>
  <c r="I132" i="118" s="1"/>
  <c r="E12" i="118"/>
  <c r="K9" i="118"/>
  <c r="K12" i="118" s="1"/>
  <c r="E19" i="118"/>
  <c r="E133" i="118" s="1"/>
  <c r="I19" i="118"/>
  <c r="I133" i="118" s="1"/>
  <c r="E30" i="118"/>
  <c r="E135" i="118" s="1"/>
  <c r="I30" i="118"/>
  <c r="I135" i="118" s="1"/>
  <c r="K27" i="118"/>
  <c r="K30" i="118" s="1"/>
  <c r="K135" i="118" s="1"/>
  <c r="I141" i="118"/>
  <c r="K102" i="118"/>
  <c r="K141" i="118" s="1"/>
  <c r="K118" i="118"/>
  <c r="K143" i="118" s="1"/>
  <c r="F70" i="118"/>
  <c r="F84" i="118" s="1"/>
  <c r="F122" i="118" s="1"/>
  <c r="I94" i="118"/>
  <c r="K87" i="118"/>
  <c r="K94" i="118" s="1"/>
  <c r="I118" i="118"/>
  <c r="I143" i="118" s="1"/>
  <c r="J120" i="118"/>
  <c r="E141" i="118"/>
  <c r="G112" i="117"/>
  <c r="G118" i="117" s="1"/>
  <c r="E97" i="117"/>
  <c r="I97" i="117" s="1"/>
  <c r="K97" i="117" s="1"/>
  <c r="G167" i="117"/>
  <c r="F167" i="117"/>
  <c r="E164" i="117"/>
  <c r="E163" i="117"/>
  <c r="H153" i="117"/>
  <c r="G153" i="117"/>
  <c r="H152" i="117"/>
  <c r="G152" i="117"/>
  <c r="H151" i="117"/>
  <c r="G151" i="117"/>
  <c r="F143" i="117"/>
  <c r="F142" i="117"/>
  <c r="J141" i="117"/>
  <c r="F141" i="117"/>
  <c r="F139" i="117"/>
  <c r="F138" i="117"/>
  <c r="F137" i="117"/>
  <c r="F136" i="117"/>
  <c r="F133" i="117"/>
  <c r="F132" i="117"/>
  <c r="H131" i="117"/>
  <c r="F131" i="117"/>
  <c r="J118" i="117"/>
  <c r="J143" i="117" s="1"/>
  <c r="H118" i="117"/>
  <c r="F118" i="117"/>
  <c r="J109" i="117"/>
  <c r="J142" i="117" s="1"/>
  <c r="H109" i="117"/>
  <c r="G109" i="117"/>
  <c r="F109" i="117"/>
  <c r="L99" i="117"/>
  <c r="J99" i="117"/>
  <c r="J140" i="117" s="1"/>
  <c r="H99" i="117"/>
  <c r="G99" i="117"/>
  <c r="F99" i="117"/>
  <c r="J94" i="117"/>
  <c r="H94" i="117"/>
  <c r="F94" i="117"/>
  <c r="G94" i="117"/>
  <c r="H78" i="117"/>
  <c r="G78" i="117"/>
  <c r="F78" i="117"/>
  <c r="I64" i="117"/>
  <c r="K64" i="117" s="1"/>
  <c r="K39" i="117"/>
  <c r="J39" i="117"/>
  <c r="I39" i="117"/>
  <c r="H39" i="117"/>
  <c r="G39" i="117"/>
  <c r="F39" i="117"/>
  <c r="E39" i="117"/>
  <c r="H36" i="117"/>
  <c r="G36" i="117"/>
  <c r="F36" i="117"/>
  <c r="J30" i="117"/>
  <c r="J135" i="117" s="1"/>
  <c r="H30" i="117"/>
  <c r="H124" i="117" s="1"/>
  <c r="G30" i="117"/>
  <c r="F30" i="117"/>
  <c r="J24" i="117"/>
  <c r="J134" i="117" s="1"/>
  <c r="H24" i="117"/>
  <c r="G24" i="117"/>
  <c r="F24" i="117"/>
  <c r="J19" i="117"/>
  <c r="J133" i="117" s="1"/>
  <c r="H19" i="117"/>
  <c r="G19" i="117"/>
  <c r="F19" i="117"/>
  <c r="J12" i="117"/>
  <c r="H12" i="117"/>
  <c r="G12" i="117"/>
  <c r="F12" i="117"/>
  <c r="K6" i="117"/>
  <c r="G70" i="117" l="1"/>
  <c r="H70" i="117"/>
  <c r="E167" i="117"/>
  <c r="H122" i="118"/>
  <c r="H126" i="118" s="1"/>
  <c r="H155" i="118" s="1"/>
  <c r="H120" i="117"/>
  <c r="F120" i="117"/>
  <c r="H84" i="117"/>
  <c r="F70" i="117"/>
  <c r="F84" i="117" s="1"/>
  <c r="H157" i="120"/>
  <c r="G128" i="119"/>
  <c r="G126" i="119"/>
  <c r="G125" i="119"/>
  <c r="T122" i="119"/>
  <c r="V122" i="119" s="1"/>
  <c r="G122" i="118"/>
  <c r="G125" i="118" s="1"/>
  <c r="I109" i="118"/>
  <c r="I142" i="118" s="1"/>
  <c r="E139" i="118"/>
  <c r="I24" i="118"/>
  <c r="I134" i="118" s="1"/>
  <c r="E132" i="118"/>
  <c r="K139" i="118"/>
  <c r="I139" i="118"/>
  <c r="F135" i="118"/>
  <c r="F145" i="118" s="1"/>
  <c r="F134" i="118"/>
  <c r="K132" i="118"/>
  <c r="G84" i="117"/>
  <c r="H156" i="117"/>
  <c r="G124" i="117"/>
  <c r="G120" i="117"/>
  <c r="J139" i="117"/>
  <c r="J120" i="117"/>
  <c r="J132" i="117"/>
  <c r="I36" i="117"/>
  <c r="G87" i="116"/>
  <c r="G153" i="116" s="1"/>
  <c r="E97" i="116"/>
  <c r="I97" i="116" s="1"/>
  <c r="K97" i="116" s="1"/>
  <c r="I96" i="116"/>
  <c r="I81" i="116"/>
  <c r="J81" i="116" s="1"/>
  <c r="I80" i="116"/>
  <c r="J80" i="116" s="1"/>
  <c r="I57" i="116"/>
  <c r="K57" i="116" s="1"/>
  <c r="I55" i="116"/>
  <c r="J55" i="116" s="1"/>
  <c r="I50" i="116"/>
  <c r="J50" i="116" s="1"/>
  <c r="I48" i="116"/>
  <c r="J48" i="116" s="1"/>
  <c r="I46" i="116"/>
  <c r="J46" i="116" s="1"/>
  <c r="I44" i="116"/>
  <c r="J44" i="116" s="1"/>
  <c r="I42" i="116"/>
  <c r="I34" i="116"/>
  <c r="J34" i="116" s="1"/>
  <c r="G167" i="116"/>
  <c r="F167" i="116"/>
  <c r="E164" i="116"/>
  <c r="E163" i="116"/>
  <c r="H153" i="116"/>
  <c r="H152" i="116"/>
  <c r="G152" i="116"/>
  <c r="H151" i="116"/>
  <c r="G151" i="116"/>
  <c r="F143" i="116"/>
  <c r="F142" i="116"/>
  <c r="J141" i="116"/>
  <c r="F141" i="116"/>
  <c r="F139" i="116"/>
  <c r="F138" i="116"/>
  <c r="F137" i="116"/>
  <c r="F136" i="116"/>
  <c r="F133" i="116"/>
  <c r="F132" i="116"/>
  <c r="H131" i="116"/>
  <c r="F131" i="116"/>
  <c r="J118" i="116"/>
  <c r="J143" i="116" s="1"/>
  <c r="H118" i="116"/>
  <c r="G118" i="116"/>
  <c r="F118" i="116"/>
  <c r="J109" i="116"/>
  <c r="J142" i="116" s="1"/>
  <c r="H109" i="116"/>
  <c r="G109" i="116"/>
  <c r="F109" i="116"/>
  <c r="L99" i="116"/>
  <c r="J99" i="116"/>
  <c r="J140" i="116" s="1"/>
  <c r="H99" i="116"/>
  <c r="G99" i="116"/>
  <c r="F99" i="116"/>
  <c r="J94" i="116"/>
  <c r="J139" i="116" s="1"/>
  <c r="H94" i="116"/>
  <c r="F94" i="116"/>
  <c r="H78" i="116"/>
  <c r="G78" i="116"/>
  <c r="F78" i="116"/>
  <c r="I64" i="116"/>
  <c r="K64" i="116" s="1"/>
  <c r="K39" i="116"/>
  <c r="J39" i="116"/>
  <c r="I39" i="116"/>
  <c r="H39" i="116"/>
  <c r="G39" i="116"/>
  <c r="F39" i="116"/>
  <c r="E39" i="116"/>
  <c r="H36" i="116"/>
  <c r="G36" i="116"/>
  <c r="F36" i="116"/>
  <c r="J30" i="116"/>
  <c r="J135" i="116" s="1"/>
  <c r="H30" i="116"/>
  <c r="H124" i="116" s="1"/>
  <c r="G30" i="116"/>
  <c r="G124" i="116" s="1"/>
  <c r="F30" i="116"/>
  <c r="J24" i="116"/>
  <c r="J134" i="116" s="1"/>
  <c r="H24" i="116"/>
  <c r="G24" i="116"/>
  <c r="F24" i="116"/>
  <c r="J19" i="116"/>
  <c r="J133" i="116" s="1"/>
  <c r="H19" i="116"/>
  <c r="G19" i="116"/>
  <c r="F19" i="116"/>
  <c r="J12" i="116"/>
  <c r="H12" i="116"/>
  <c r="G12" i="116"/>
  <c r="F12" i="116"/>
  <c r="K6" i="116"/>
  <c r="G70" i="116" l="1"/>
  <c r="E167" i="116"/>
  <c r="H122" i="117"/>
  <c r="H126" i="117" s="1"/>
  <c r="H155" i="117" s="1"/>
  <c r="H70" i="116"/>
  <c r="F134" i="117"/>
  <c r="F135" i="117"/>
  <c r="F145" i="117" s="1"/>
  <c r="F122" i="117"/>
  <c r="G122" i="117"/>
  <c r="G126" i="117" s="1"/>
  <c r="F120" i="116"/>
  <c r="F70" i="116"/>
  <c r="F84" i="116" s="1"/>
  <c r="I36" i="116"/>
  <c r="J36" i="116" s="1"/>
  <c r="G155" i="119"/>
  <c r="H157" i="119"/>
  <c r="G128" i="118"/>
  <c r="G126" i="118"/>
  <c r="H157" i="118" s="1"/>
  <c r="T122" i="118"/>
  <c r="V122" i="118" s="1"/>
  <c r="J36" i="117"/>
  <c r="E99" i="116"/>
  <c r="E140" i="116" s="1"/>
  <c r="G84" i="116"/>
  <c r="J42" i="116"/>
  <c r="K42" i="116" s="1"/>
  <c r="J131" i="116"/>
  <c r="K50" i="116"/>
  <c r="K46" i="116"/>
  <c r="I99" i="116"/>
  <c r="I140" i="116" s="1"/>
  <c r="K96" i="116"/>
  <c r="K99" i="116" s="1"/>
  <c r="K140" i="116" s="1"/>
  <c r="K34" i="116"/>
  <c r="K48" i="116"/>
  <c r="K81" i="116"/>
  <c r="H120" i="116"/>
  <c r="J120" i="116"/>
  <c r="G94" i="116"/>
  <c r="G120" i="116" s="1"/>
  <c r="H84" i="116"/>
  <c r="K44" i="116"/>
  <c r="K55" i="116"/>
  <c r="I73" i="116"/>
  <c r="I131" i="116"/>
  <c r="K80" i="116"/>
  <c r="H156" i="116"/>
  <c r="J132" i="116"/>
  <c r="I69" i="115"/>
  <c r="E69" i="116" s="1"/>
  <c r="I69" i="116" s="1"/>
  <c r="K69" i="116" s="1"/>
  <c r="I64" i="115"/>
  <c r="K64" i="115" s="1"/>
  <c r="I67" i="115"/>
  <c r="G112" i="115"/>
  <c r="G111" i="115"/>
  <c r="G87" i="115"/>
  <c r="G94" i="115" s="1"/>
  <c r="E97" i="115"/>
  <c r="I97" i="115" s="1"/>
  <c r="K97" i="115" s="1"/>
  <c r="G167" i="115"/>
  <c r="F167" i="115"/>
  <c r="E164" i="115"/>
  <c r="E163" i="115"/>
  <c r="H153" i="115"/>
  <c r="H152" i="115"/>
  <c r="G152" i="115"/>
  <c r="H151" i="115"/>
  <c r="G151" i="115"/>
  <c r="F143" i="115"/>
  <c r="F142" i="115"/>
  <c r="J141" i="115"/>
  <c r="F141" i="115"/>
  <c r="F139" i="115"/>
  <c r="F138" i="115"/>
  <c r="F137" i="115"/>
  <c r="F136" i="115"/>
  <c r="F133" i="115"/>
  <c r="F132" i="115"/>
  <c r="H131" i="115"/>
  <c r="F131" i="115"/>
  <c r="J118" i="115"/>
  <c r="J143" i="115" s="1"/>
  <c r="H118" i="115"/>
  <c r="F118" i="115"/>
  <c r="J109" i="115"/>
  <c r="J142" i="115" s="1"/>
  <c r="H109" i="115"/>
  <c r="G109" i="115"/>
  <c r="F109" i="115"/>
  <c r="L99" i="115"/>
  <c r="J99" i="115"/>
  <c r="J140" i="115" s="1"/>
  <c r="H99" i="115"/>
  <c r="G99" i="115"/>
  <c r="F99" i="115"/>
  <c r="J94" i="115"/>
  <c r="H94" i="115"/>
  <c r="F94" i="115"/>
  <c r="H78" i="115"/>
  <c r="G78" i="115"/>
  <c r="F78" i="115"/>
  <c r="K39" i="115"/>
  <c r="J39" i="115"/>
  <c r="I39" i="115"/>
  <c r="H39" i="115"/>
  <c r="G39" i="115"/>
  <c r="F39" i="115"/>
  <c r="E39" i="115"/>
  <c r="H36" i="115"/>
  <c r="G36" i="115"/>
  <c r="F36" i="115"/>
  <c r="J30" i="115"/>
  <c r="J135" i="115" s="1"/>
  <c r="H30" i="115"/>
  <c r="H124" i="115" s="1"/>
  <c r="G30" i="115"/>
  <c r="F30" i="115"/>
  <c r="J24" i="115"/>
  <c r="J134" i="115" s="1"/>
  <c r="H24" i="115"/>
  <c r="G24" i="115"/>
  <c r="F24" i="115"/>
  <c r="J19" i="115"/>
  <c r="J133" i="115" s="1"/>
  <c r="H19" i="115"/>
  <c r="G19" i="115"/>
  <c r="F19" i="115"/>
  <c r="J12" i="115"/>
  <c r="J132" i="115" s="1"/>
  <c r="H12" i="115"/>
  <c r="G12" i="115"/>
  <c r="F12" i="115"/>
  <c r="K6" i="115"/>
  <c r="F122" i="116" l="1"/>
  <c r="G70" i="115"/>
  <c r="G84" i="115" s="1"/>
  <c r="K69" i="115"/>
  <c r="E167" i="115"/>
  <c r="E69" i="117"/>
  <c r="I69" i="117" s="1"/>
  <c r="E71" i="122" s="1"/>
  <c r="I71" i="122" s="1"/>
  <c r="K71" i="122" s="1"/>
  <c r="K67" i="115"/>
  <c r="E67" i="116"/>
  <c r="I67" i="116" s="1"/>
  <c r="H70" i="115"/>
  <c r="H84" i="115" s="1"/>
  <c r="T122" i="117"/>
  <c r="V122" i="117" s="1"/>
  <c r="G128" i="117"/>
  <c r="G125" i="117"/>
  <c r="K36" i="116"/>
  <c r="G122" i="116"/>
  <c r="G126" i="116" s="1"/>
  <c r="G155" i="116" s="1"/>
  <c r="F120" i="115"/>
  <c r="F70" i="115"/>
  <c r="F84" i="115" s="1"/>
  <c r="F122" i="115" s="1"/>
  <c r="G155" i="118"/>
  <c r="G155" i="117"/>
  <c r="H157" i="117"/>
  <c r="K36" i="117"/>
  <c r="K131" i="116"/>
  <c r="H122" i="116"/>
  <c r="H126" i="116" s="1"/>
  <c r="H155" i="116" s="1"/>
  <c r="F135" i="116"/>
  <c r="F145" i="116" s="1"/>
  <c r="F134" i="116"/>
  <c r="J73" i="116"/>
  <c r="J78" i="116" s="1"/>
  <c r="G118" i="115"/>
  <c r="G120" i="115" s="1"/>
  <c r="G124" i="115"/>
  <c r="H120" i="115"/>
  <c r="J139" i="115"/>
  <c r="J120" i="115"/>
  <c r="I36" i="115"/>
  <c r="J36" i="115" s="1"/>
  <c r="G153" i="115"/>
  <c r="H156" i="115" s="1"/>
  <c r="F134" i="115" l="1"/>
  <c r="E69" i="119"/>
  <c r="I69" i="119" s="1"/>
  <c r="K69" i="119" s="1"/>
  <c r="K69" i="117"/>
  <c r="K67" i="116"/>
  <c r="E67" i="117"/>
  <c r="I67" i="117" s="1"/>
  <c r="F135" i="115"/>
  <c r="F145" i="115" s="1"/>
  <c r="T122" i="116"/>
  <c r="V122" i="116" s="1"/>
  <c r="G128" i="116"/>
  <c r="H157" i="116"/>
  <c r="G125" i="116"/>
  <c r="J137" i="116"/>
  <c r="K73" i="116"/>
  <c r="G122" i="115"/>
  <c r="G126" i="115" s="1"/>
  <c r="G155" i="115" s="1"/>
  <c r="H122" i="115"/>
  <c r="H126" i="115" s="1"/>
  <c r="H155" i="115" s="1"/>
  <c r="K36" i="115"/>
  <c r="E69" i="120" l="1"/>
  <c r="I69" i="120" s="1"/>
  <c r="E71" i="121" s="1"/>
  <c r="I71" i="121" s="1"/>
  <c r="E73" i="126" s="1"/>
  <c r="I73" i="126" s="1"/>
  <c r="K73" i="126" s="1"/>
  <c r="E67" i="122"/>
  <c r="I67" i="122" s="1"/>
  <c r="K67" i="122" s="1"/>
  <c r="K67" i="117"/>
  <c r="E67" i="119"/>
  <c r="I67" i="119" s="1"/>
  <c r="I69" i="121"/>
  <c r="G128" i="115"/>
  <c r="T122" i="115"/>
  <c r="V122" i="115" s="1"/>
  <c r="G125" i="115"/>
  <c r="H157" i="115"/>
  <c r="K69" i="121" l="1"/>
  <c r="E69" i="126"/>
  <c r="I69" i="126" s="1"/>
  <c r="K69" i="126" s="1"/>
  <c r="E69" i="123"/>
  <c r="I69" i="123" s="1"/>
  <c r="K69" i="120"/>
  <c r="K71" i="121"/>
  <c r="E71" i="123"/>
  <c r="I71" i="123" s="1"/>
  <c r="K71" i="123" s="1"/>
  <c r="K67" i="119"/>
  <c r="E67" i="120"/>
  <c r="I67" i="120" s="1"/>
  <c r="K69" i="123" l="1"/>
  <c r="E69" i="124"/>
  <c r="I69" i="124" s="1"/>
  <c r="E73" i="124"/>
  <c r="I73" i="124" s="1"/>
  <c r="K73" i="124" s="1"/>
  <c r="E67" i="121"/>
  <c r="I67" i="121" s="1"/>
  <c r="K67" i="120"/>
  <c r="E73" i="125" l="1"/>
  <c r="I73" i="125" s="1"/>
  <c r="E73" i="127" s="1"/>
  <c r="I73" i="127" s="1"/>
  <c r="E69" i="125"/>
  <c r="I69" i="125" s="1"/>
  <c r="K69" i="124"/>
  <c r="E67" i="126"/>
  <c r="I67" i="126" s="1"/>
  <c r="K67" i="126" s="1"/>
  <c r="K67" i="121"/>
  <c r="E67" i="123"/>
  <c r="I67" i="123" s="1"/>
  <c r="K73" i="125" l="1"/>
  <c r="E77" i="130"/>
  <c r="I77" i="130" s="1"/>
  <c r="K77" i="130" s="1"/>
  <c r="E77" i="131"/>
  <c r="I77" i="131" s="1"/>
  <c r="K77" i="131" s="1"/>
  <c r="E69" i="130"/>
  <c r="I69" i="130" s="1"/>
  <c r="K69" i="130" s="1"/>
  <c r="K69" i="125"/>
  <c r="E69" i="127"/>
  <c r="I69" i="127" s="1"/>
  <c r="K67" i="123"/>
  <c r="E67" i="124"/>
  <c r="I67" i="124" s="1"/>
  <c r="K73" i="127"/>
  <c r="E73" i="128"/>
  <c r="I73" i="128" s="1"/>
  <c r="E69" i="128" l="1"/>
  <c r="I69" i="128" s="1"/>
  <c r="K69" i="127"/>
  <c r="K67" i="124"/>
  <c r="E67" i="125"/>
  <c r="I67" i="125" s="1"/>
  <c r="K73" i="128"/>
  <c r="E77" i="129"/>
  <c r="I77" i="129" s="1"/>
  <c r="I44" i="118"/>
  <c r="I44" i="117"/>
  <c r="J44" i="117" s="1"/>
  <c r="K44" i="117" s="1"/>
  <c r="E34" i="118"/>
  <c r="I34" i="118" s="1"/>
  <c r="J34" i="118" s="1"/>
  <c r="K34" i="118" s="1"/>
  <c r="I34" i="117"/>
  <c r="J34" i="117" s="1"/>
  <c r="K34" i="117" s="1"/>
  <c r="I48" i="118"/>
  <c r="I48" i="117"/>
  <c r="J48" i="117" s="1"/>
  <c r="K48" i="117" s="1"/>
  <c r="I55" i="117"/>
  <c r="J55" i="117" s="1"/>
  <c r="K55" i="117" s="1"/>
  <c r="I80" i="118"/>
  <c r="I80" i="117"/>
  <c r="I46" i="118"/>
  <c r="I46" i="117"/>
  <c r="J46" i="117" s="1"/>
  <c r="K46" i="117" s="1"/>
  <c r="I42" i="117"/>
  <c r="J42" i="117" s="1"/>
  <c r="K42" i="117" s="1"/>
  <c r="I50" i="118"/>
  <c r="I50" i="117"/>
  <c r="J50" i="117" s="1"/>
  <c r="K50" i="117" s="1"/>
  <c r="I57" i="117"/>
  <c r="I73" i="117"/>
  <c r="I81" i="118"/>
  <c r="J81" i="118" s="1"/>
  <c r="K81" i="118" s="1"/>
  <c r="I81" i="117"/>
  <c r="J81" i="117" s="1"/>
  <c r="K81" i="117" s="1"/>
  <c r="E57" i="153" l="1"/>
  <c r="I57" i="153" s="1"/>
  <c r="K57" i="153" s="1"/>
  <c r="E57" i="152"/>
  <c r="I57" i="152" s="1"/>
  <c r="K57" i="152" s="1"/>
  <c r="E57" i="151"/>
  <c r="I57" i="151" s="1"/>
  <c r="K57" i="151" s="1"/>
  <c r="E57" i="150"/>
  <c r="I57" i="150" s="1"/>
  <c r="K57" i="150" s="1"/>
  <c r="K69" i="128"/>
  <c r="E69" i="129"/>
  <c r="I69" i="129" s="1"/>
  <c r="K57" i="117"/>
  <c r="E57" i="148"/>
  <c r="I57" i="148" s="1"/>
  <c r="K57" i="148" s="1"/>
  <c r="K67" i="125"/>
  <c r="E67" i="130"/>
  <c r="I67" i="130" s="1"/>
  <c r="K67" i="130" s="1"/>
  <c r="E67" i="127"/>
  <c r="I67" i="127" s="1"/>
  <c r="E79" i="144"/>
  <c r="I79" i="144" s="1"/>
  <c r="E81" i="145"/>
  <c r="I81" i="145" s="1"/>
  <c r="K77" i="129"/>
  <c r="E77" i="135"/>
  <c r="I77" i="135" s="1"/>
  <c r="K77" i="135" s="1"/>
  <c r="I57" i="122"/>
  <c r="K57" i="122" s="1"/>
  <c r="I57" i="119"/>
  <c r="I48" i="122"/>
  <c r="J48" i="122" s="1"/>
  <c r="K48" i="122" s="1"/>
  <c r="I48" i="119"/>
  <c r="J48" i="119" s="1"/>
  <c r="K48" i="119" s="1"/>
  <c r="I44" i="122"/>
  <c r="J44" i="122" s="1"/>
  <c r="K44" i="122" s="1"/>
  <c r="I44" i="119"/>
  <c r="J44" i="119" s="1"/>
  <c r="K44" i="119" s="1"/>
  <c r="J50" i="118"/>
  <c r="K50" i="118" s="1"/>
  <c r="I42" i="118"/>
  <c r="E70" i="118"/>
  <c r="J46" i="118"/>
  <c r="K46" i="118" s="1"/>
  <c r="I80" i="119"/>
  <c r="I82" i="122"/>
  <c r="I55" i="119"/>
  <c r="J55" i="119" s="1"/>
  <c r="K55" i="119" s="1"/>
  <c r="I55" i="122"/>
  <c r="J55" i="122" s="1"/>
  <c r="K55" i="122" s="1"/>
  <c r="I83" i="122"/>
  <c r="J83" i="122" s="1"/>
  <c r="K83" i="122" s="1"/>
  <c r="I81" i="119"/>
  <c r="J81" i="119" s="1"/>
  <c r="K81" i="119" s="1"/>
  <c r="J73" i="117"/>
  <c r="J78" i="117" s="1"/>
  <c r="J137" i="117" s="1"/>
  <c r="I96" i="117"/>
  <c r="E99" i="117"/>
  <c r="E140" i="117" s="1"/>
  <c r="J80" i="117"/>
  <c r="J131" i="117" s="1"/>
  <c r="I131" i="117"/>
  <c r="J48" i="118"/>
  <c r="K48" i="118" s="1"/>
  <c r="J44" i="118"/>
  <c r="K44" i="118" s="1"/>
  <c r="E78" i="118"/>
  <c r="E137" i="118" s="1"/>
  <c r="I73" i="118"/>
  <c r="I50" i="122"/>
  <c r="J50" i="122" s="1"/>
  <c r="K50" i="122" s="1"/>
  <c r="I50" i="119"/>
  <c r="J50" i="119" s="1"/>
  <c r="K50" i="119" s="1"/>
  <c r="I46" i="122"/>
  <c r="J46" i="122" s="1"/>
  <c r="K46" i="122" s="1"/>
  <c r="I46" i="119"/>
  <c r="J46" i="119" s="1"/>
  <c r="K46" i="119" s="1"/>
  <c r="I96" i="118"/>
  <c r="E99" i="118"/>
  <c r="I131" i="118"/>
  <c r="J80" i="118"/>
  <c r="E34" i="122"/>
  <c r="I34" i="122" s="1"/>
  <c r="J34" i="122" s="1"/>
  <c r="K34" i="122" s="1"/>
  <c r="I34" i="119"/>
  <c r="J34" i="119" s="1"/>
  <c r="K34" i="119" s="1"/>
  <c r="K57" i="119" l="1"/>
  <c r="E57" i="149"/>
  <c r="I57" i="149" s="1"/>
  <c r="K57" i="149" s="1"/>
  <c r="E69" i="135"/>
  <c r="I69" i="135" s="1"/>
  <c r="K69" i="135" s="1"/>
  <c r="K69" i="129"/>
  <c r="E69" i="144"/>
  <c r="I69" i="144" s="1"/>
  <c r="E69" i="145"/>
  <c r="I69" i="145" s="1"/>
  <c r="K67" i="127"/>
  <c r="E67" i="128"/>
  <c r="I67" i="128" s="1"/>
  <c r="K79" i="144"/>
  <c r="E81" i="147"/>
  <c r="I81" i="147" s="1"/>
  <c r="E81" i="150" s="1"/>
  <c r="I81" i="150" s="1"/>
  <c r="E83" i="153" s="1"/>
  <c r="I83" i="153" s="1"/>
  <c r="K83" i="153" s="1"/>
  <c r="K81" i="145"/>
  <c r="E81" i="146"/>
  <c r="I81" i="146" s="1"/>
  <c r="K81" i="146" s="1"/>
  <c r="K80" i="117"/>
  <c r="K131" i="117" s="1"/>
  <c r="J42" i="118"/>
  <c r="J70" i="118" s="1"/>
  <c r="I70" i="118"/>
  <c r="I75" i="122"/>
  <c r="I73" i="119"/>
  <c r="I44" i="120"/>
  <c r="J44" i="120" s="1"/>
  <c r="K44" i="120" s="1"/>
  <c r="I48" i="120"/>
  <c r="J48" i="120" s="1"/>
  <c r="K48" i="120" s="1"/>
  <c r="I57" i="120"/>
  <c r="K57" i="120" s="1"/>
  <c r="K96" i="118"/>
  <c r="K99" i="118" s="1"/>
  <c r="I99" i="118"/>
  <c r="I99" i="117"/>
  <c r="I140" i="117" s="1"/>
  <c r="K96" i="117"/>
  <c r="K99" i="117" s="1"/>
  <c r="K140" i="117" s="1"/>
  <c r="I80" i="120"/>
  <c r="J80" i="120" s="1"/>
  <c r="K80" i="120" s="1"/>
  <c r="E34" i="120"/>
  <c r="I34" i="120" s="1"/>
  <c r="J34" i="120" s="1"/>
  <c r="K34" i="120" s="1"/>
  <c r="I50" i="120"/>
  <c r="J50" i="120" s="1"/>
  <c r="K50" i="120" s="1"/>
  <c r="I81" i="120"/>
  <c r="J82" i="122"/>
  <c r="J133" i="122" s="1"/>
  <c r="I133" i="122"/>
  <c r="E140" i="118"/>
  <c r="E120" i="118"/>
  <c r="I78" i="118"/>
  <c r="I137" i="118" s="1"/>
  <c r="J73" i="118"/>
  <c r="J78" i="118" s="1"/>
  <c r="J137" i="118" s="1"/>
  <c r="I55" i="120"/>
  <c r="J55" i="120" s="1"/>
  <c r="K55" i="120" s="1"/>
  <c r="K80" i="118"/>
  <c r="K131" i="118" s="1"/>
  <c r="J131" i="118"/>
  <c r="I46" i="120"/>
  <c r="J46" i="120" s="1"/>
  <c r="K46" i="120" s="1"/>
  <c r="I42" i="122"/>
  <c r="I42" i="119"/>
  <c r="K73" i="117"/>
  <c r="J80" i="119"/>
  <c r="I131" i="119"/>
  <c r="E136" i="118"/>
  <c r="E84" i="118"/>
  <c r="K81" i="150" l="1"/>
  <c r="E81" i="151"/>
  <c r="I81" i="151" s="1"/>
  <c r="K69" i="145"/>
  <c r="E69" i="146"/>
  <c r="I69" i="146" s="1"/>
  <c r="K69" i="146" s="1"/>
  <c r="K69" i="144"/>
  <c r="E69" i="147"/>
  <c r="I69" i="147" s="1"/>
  <c r="E69" i="150" s="1"/>
  <c r="I69" i="150" s="1"/>
  <c r="E71" i="153" s="1"/>
  <c r="I71" i="153" s="1"/>
  <c r="K71" i="153" s="1"/>
  <c r="K81" i="147"/>
  <c r="E80" i="148"/>
  <c r="I80" i="148" s="1"/>
  <c r="E67" i="129"/>
  <c r="I67" i="129" s="1"/>
  <c r="K67" i="128"/>
  <c r="E145" i="118"/>
  <c r="E122" i="118"/>
  <c r="K82" i="122"/>
  <c r="K133" i="122" s="1"/>
  <c r="J42" i="119"/>
  <c r="K42" i="119" s="1"/>
  <c r="J145" i="118"/>
  <c r="I131" i="120"/>
  <c r="J81" i="120"/>
  <c r="J131" i="120" s="1"/>
  <c r="I82" i="121"/>
  <c r="J73" i="119"/>
  <c r="J78" i="119" s="1"/>
  <c r="J137" i="119" s="1"/>
  <c r="K42" i="118"/>
  <c r="K70" i="118" s="1"/>
  <c r="J42" i="122"/>
  <c r="K42" i="122" s="1"/>
  <c r="I98" i="122"/>
  <c r="E101" i="122"/>
  <c r="E142" i="122" s="1"/>
  <c r="I136" i="118"/>
  <c r="I84" i="118"/>
  <c r="I55" i="121"/>
  <c r="J55" i="121" s="1"/>
  <c r="K55" i="121" s="1"/>
  <c r="E34" i="121"/>
  <c r="I34" i="121" s="1"/>
  <c r="J34" i="121" s="1"/>
  <c r="K34" i="121" s="1"/>
  <c r="I140" i="118"/>
  <c r="I120" i="118"/>
  <c r="I57" i="121"/>
  <c r="K57" i="121" s="1"/>
  <c r="I48" i="121"/>
  <c r="J48" i="121" s="1"/>
  <c r="K48" i="121" s="1"/>
  <c r="I44" i="121"/>
  <c r="J44" i="121" s="1"/>
  <c r="K44" i="121" s="1"/>
  <c r="J136" i="118"/>
  <c r="J84" i="118"/>
  <c r="J122" i="118" s="1"/>
  <c r="K80" i="119"/>
  <c r="K131" i="119" s="1"/>
  <c r="J131" i="119"/>
  <c r="I46" i="121"/>
  <c r="J46" i="121" s="1"/>
  <c r="K46" i="121" s="1"/>
  <c r="K73" i="118"/>
  <c r="K78" i="118" s="1"/>
  <c r="K137" i="118" s="1"/>
  <c r="I83" i="121"/>
  <c r="J83" i="121" s="1"/>
  <c r="K83" i="121" s="1"/>
  <c r="I50" i="121"/>
  <c r="J50" i="121" s="1"/>
  <c r="K50" i="121" s="1"/>
  <c r="E99" i="119"/>
  <c r="E140" i="119" s="1"/>
  <c r="I96" i="119"/>
  <c r="K140" i="118"/>
  <c r="K120" i="118"/>
  <c r="J75" i="122"/>
  <c r="J80" i="122" s="1"/>
  <c r="J139" i="122" s="1"/>
  <c r="I145" i="118" l="1"/>
  <c r="K81" i="151"/>
  <c r="E81" i="152"/>
  <c r="I81" i="152" s="1"/>
  <c r="K81" i="152" s="1"/>
  <c r="K69" i="150"/>
  <c r="E69" i="151"/>
  <c r="I69" i="151" s="1"/>
  <c r="K80" i="148"/>
  <c r="E80" i="149"/>
  <c r="I80" i="149" s="1"/>
  <c r="K80" i="149" s="1"/>
  <c r="E69" i="148"/>
  <c r="I69" i="148" s="1"/>
  <c r="K69" i="147"/>
  <c r="E67" i="144"/>
  <c r="I67" i="144" s="1"/>
  <c r="E67" i="135"/>
  <c r="I67" i="135" s="1"/>
  <c r="K67" i="135" s="1"/>
  <c r="K67" i="129"/>
  <c r="E147" i="118"/>
  <c r="K73" i="119"/>
  <c r="K75" i="122"/>
  <c r="I85" i="127"/>
  <c r="J85" i="127" s="1"/>
  <c r="K85" i="127" s="1"/>
  <c r="I85" i="125"/>
  <c r="J85" i="125" s="1"/>
  <c r="K85" i="125" s="1"/>
  <c r="I85" i="126"/>
  <c r="I83" i="123"/>
  <c r="J83" i="123" s="1"/>
  <c r="K83" i="123" s="1"/>
  <c r="I85" i="124"/>
  <c r="I50" i="127"/>
  <c r="J50" i="127" s="1"/>
  <c r="K50" i="127" s="1"/>
  <c r="I50" i="125"/>
  <c r="J50" i="125" s="1"/>
  <c r="K50" i="125" s="1"/>
  <c r="I50" i="124"/>
  <c r="J50" i="124" s="1"/>
  <c r="K50" i="124" s="1"/>
  <c r="I50" i="123"/>
  <c r="J50" i="123" s="1"/>
  <c r="K50" i="123" s="1"/>
  <c r="I50" i="126"/>
  <c r="J50" i="126" s="1"/>
  <c r="K50" i="126" s="1"/>
  <c r="I73" i="120"/>
  <c r="I101" i="122"/>
  <c r="I142" i="122" s="1"/>
  <c r="K98" i="122"/>
  <c r="K101" i="122" s="1"/>
  <c r="K142" i="122" s="1"/>
  <c r="J82" i="121"/>
  <c r="J133" i="121" s="1"/>
  <c r="I133" i="121"/>
  <c r="I46" i="127"/>
  <c r="J46" i="127" s="1"/>
  <c r="K46" i="127" s="1"/>
  <c r="I46" i="124"/>
  <c r="J46" i="124" s="1"/>
  <c r="K46" i="124" s="1"/>
  <c r="I46" i="125"/>
  <c r="J46" i="125" s="1"/>
  <c r="K46" i="125" s="1"/>
  <c r="I46" i="123"/>
  <c r="J46" i="123" s="1"/>
  <c r="K46" i="123" s="1"/>
  <c r="I46" i="126"/>
  <c r="J46" i="126" s="1"/>
  <c r="K46" i="126" s="1"/>
  <c r="I48" i="124"/>
  <c r="J48" i="124" s="1"/>
  <c r="K48" i="124" s="1"/>
  <c r="I48" i="123"/>
  <c r="J48" i="123" s="1"/>
  <c r="K48" i="123" s="1"/>
  <c r="I48" i="125"/>
  <c r="J48" i="125" s="1"/>
  <c r="K48" i="125" s="1"/>
  <c r="I48" i="126"/>
  <c r="J48" i="126" s="1"/>
  <c r="K48" i="126" s="1"/>
  <c r="I48" i="127"/>
  <c r="J48" i="127" s="1"/>
  <c r="K48" i="127" s="1"/>
  <c r="I55" i="127"/>
  <c r="J55" i="127" s="1"/>
  <c r="K55" i="127" s="1"/>
  <c r="I55" i="125"/>
  <c r="J55" i="125" s="1"/>
  <c r="K55" i="125" s="1"/>
  <c r="I55" i="123"/>
  <c r="J55" i="123" s="1"/>
  <c r="K55" i="123" s="1"/>
  <c r="I55" i="126"/>
  <c r="J55" i="126" s="1"/>
  <c r="K55" i="126" s="1"/>
  <c r="I55" i="124"/>
  <c r="J55" i="124" s="1"/>
  <c r="K55" i="124" s="1"/>
  <c r="I122" i="118"/>
  <c r="I147" i="118" s="1"/>
  <c r="K136" i="118"/>
  <c r="K145" i="118" s="1"/>
  <c r="K84" i="118"/>
  <c r="K122" i="118" s="1"/>
  <c r="K81" i="120"/>
  <c r="K131" i="120" s="1"/>
  <c r="J147" i="118"/>
  <c r="K96" i="119"/>
  <c r="K99" i="119" s="1"/>
  <c r="K140" i="119" s="1"/>
  <c r="I99" i="119"/>
  <c r="I140" i="119" s="1"/>
  <c r="I57" i="126"/>
  <c r="K57" i="126" s="1"/>
  <c r="I57" i="124"/>
  <c r="K57" i="124" s="1"/>
  <c r="I57" i="125"/>
  <c r="K57" i="125" s="1"/>
  <c r="I57" i="127"/>
  <c r="K57" i="127" s="1"/>
  <c r="I57" i="123"/>
  <c r="K57" i="123" s="1"/>
  <c r="I84" i="126"/>
  <c r="I84" i="127"/>
  <c r="I84" i="124"/>
  <c r="I84" i="125"/>
  <c r="I82" i="123"/>
  <c r="I44" i="127"/>
  <c r="J44" i="127" s="1"/>
  <c r="K44" i="127" s="1"/>
  <c r="I44" i="123"/>
  <c r="J44" i="123" s="1"/>
  <c r="K44" i="123" s="1"/>
  <c r="I44" i="125"/>
  <c r="J44" i="125" s="1"/>
  <c r="K44" i="125" s="1"/>
  <c r="I44" i="124"/>
  <c r="J44" i="124" s="1"/>
  <c r="K44" i="124" s="1"/>
  <c r="I44" i="126"/>
  <c r="E34" i="126"/>
  <c r="I34" i="126" s="1"/>
  <c r="J34" i="126" s="1"/>
  <c r="K34" i="126" s="1"/>
  <c r="E34" i="123"/>
  <c r="I34" i="123" s="1"/>
  <c r="J34" i="123" s="1"/>
  <c r="K34" i="123" s="1"/>
  <c r="E34" i="125"/>
  <c r="I34" i="125" s="1"/>
  <c r="J34" i="125" s="1"/>
  <c r="K34" i="125" s="1"/>
  <c r="E34" i="127"/>
  <c r="I34" i="127" s="1"/>
  <c r="E34" i="124"/>
  <c r="I34" i="124" s="1"/>
  <c r="J34" i="124" s="1"/>
  <c r="K34" i="124" s="1"/>
  <c r="I42" i="120"/>
  <c r="J42" i="120" s="1"/>
  <c r="K42" i="120" s="1"/>
  <c r="K69" i="151" l="1"/>
  <c r="E69" i="152"/>
  <c r="I69" i="152" s="1"/>
  <c r="K69" i="152" s="1"/>
  <c r="K69" i="148"/>
  <c r="E69" i="149"/>
  <c r="I69" i="149" s="1"/>
  <c r="K69" i="149" s="1"/>
  <c r="E67" i="147"/>
  <c r="I67" i="147" s="1"/>
  <c r="E67" i="150" s="1"/>
  <c r="I67" i="150" s="1"/>
  <c r="E69" i="153" s="1"/>
  <c r="I69" i="153" s="1"/>
  <c r="K69" i="153" s="1"/>
  <c r="K67" i="144"/>
  <c r="E67" i="145"/>
  <c r="I67" i="145" s="1"/>
  <c r="K147" i="118"/>
  <c r="J84" i="124"/>
  <c r="I135" i="124"/>
  <c r="J85" i="126"/>
  <c r="J34" i="127"/>
  <c r="K34" i="127" s="1"/>
  <c r="J44" i="126"/>
  <c r="K44" i="126" s="1"/>
  <c r="J82" i="123"/>
  <c r="J133" i="123" s="1"/>
  <c r="I133" i="123"/>
  <c r="I135" i="127"/>
  <c r="J84" i="127"/>
  <c r="J135" i="127" s="1"/>
  <c r="K82" i="121"/>
  <c r="K133" i="121" s="1"/>
  <c r="I135" i="125"/>
  <c r="J84" i="125"/>
  <c r="J84" i="126"/>
  <c r="K84" i="126" s="1"/>
  <c r="I135" i="126"/>
  <c r="E99" i="120"/>
  <c r="E140" i="120" s="1"/>
  <c r="I96" i="120"/>
  <c r="J73" i="120"/>
  <c r="J78" i="120" s="1"/>
  <c r="J137" i="120" s="1"/>
  <c r="J85" i="124"/>
  <c r="K85" i="124" s="1"/>
  <c r="K67" i="150" l="1"/>
  <c r="E67" i="151"/>
  <c r="I67" i="151" s="1"/>
  <c r="K67" i="145"/>
  <c r="E67" i="146"/>
  <c r="I67" i="146" s="1"/>
  <c r="K67" i="146" s="1"/>
  <c r="K67" i="147"/>
  <c r="E67" i="148"/>
  <c r="I67" i="148" s="1"/>
  <c r="K73" i="120"/>
  <c r="K84" i="127"/>
  <c r="K135" i="127" s="1"/>
  <c r="I75" i="121"/>
  <c r="J135" i="126"/>
  <c r="K84" i="124"/>
  <c r="K135" i="124" s="1"/>
  <c r="J135" i="124"/>
  <c r="K84" i="125"/>
  <c r="K135" i="125" s="1"/>
  <c r="J135" i="125"/>
  <c r="I42" i="121"/>
  <c r="I99" i="120"/>
  <c r="I140" i="120" s="1"/>
  <c r="K96" i="120"/>
  <c r="K99" i="120" s="1"/>
  <c r="K140" i="120" s="1"/>
  <c r="K82" i="123"/>
  <c r="K133" i="123" s="1"/>
  <c r="K85" i="126"/>
  <c r="K135" i="126" s="1"/>
  <c r="K67" i="151" l="1"/>
  <c r="E67" i="152"/>
  <c r="I67" i="152" s="1"/>
  <c r="K67" i="152" s="1"/>
  <c r="K67" i="148"/>
  <c r="E67" i="149"/>
  <c r="I67" i="149" s="1"/>
  <c r="K67" i="149" s="1"/>
  <c r="J75" i="121"/>
  <c r="J80" i="121" s="1"/>
  <c r="J139" i="121" s="1"/>
  <c r="J42" i="121"/>
  <c r="K42" i="121" s="1"/>
  <c r="I98" i="121"/>
  <c r="E101" i="121"/>
  <c r="E142" i="121" s="1"/>
  <c r="K75" i="121" l="1"/>
  <c r="K98" i="121"/>
  <c r="K101" i="121" s="1"/>
  <c r="K142" i="121" s="1"/>
  <c r="I101" i="121"/>
  <c r="I142" i="121" s="1"/>
  <c r="I75" i="123"/>
  <c r="I77" i="126"/>
  <c r="I77" i="125"/>
  <c r="I77" i="127"/>
  <c r="I77" i="124"/>
  <c r="I42" i="126"/>
  <c r="J42" i="126" s="1"/>
  <c r="K42" i="126" s="1"/>
  <c r="I42" i="125"/>
  <c r="J42" i="125" s="1"/>
  <c r="K42" i="125" s="1"/>
  <c r="I42" i="123"/>
  <c r="I42" i="124"/>
  <c r="I42" i="127"/>
  <c r="I80" i="115"/>
  <c r="I48" i="115"/>
  <c r="J48" i="115" s="1"/>
  <c r="K48" i="115" s="1"/>
  <c r="J77" i="126" l="1"/>
  <c r="J82" i="126" s="1"/>
  <c r="J141" i="126" s="1"/>
  <c r="E103" i="125"/>
  <c r="E144" i="125" s="1"/>
  <c r="I100" i="125"/>
  <c r="J42" i="124"/>
  <c r="K42" i="124" s="1"/>
  <c r="J42" i="127"/>
  <c r="K42" i="127" s="1"/>
  <c r="J77" i="124"/>
  <c r="J82" i="124" s="1"/>
  <c r="J141" i="124" s="1"/>
  <c r="J77" i="127"/>
  <c r="J82" i="127" s="1"/>
  <c r="J141" i="127" s="1"/>
  <c r="I100" i="124"/>
  <c r="E103" i="124"/>
  <c r="E144" i="124" s="1"/>
  <c r="E103" i="127"/>
  <c r="E144" i="127" s="1"/>
  <c r="I100" i="127"/>
  <c r="J75" i="123"/>
  <c r="J80" i="123" s="1"/>
  <c r="J139" i="123" s="1"/>
  <c r="E101" i="123"/>
  <c r="E142" i="123" s="1"/>
  <c r="I98" i="123"/>
  <c r="I100" i="126"/>
  <c r="E103" i="126"/>
  <c r="E144" i="126" s="1"/>
  <c r="J42" i="123"/>
  <c r="K42" i="123" s="1"/>
  <c r="J77" i="125"/>
  <c r="J82" i="125" s="1"/>
  <c r="J141" i="125" s="1"/>
  <c r="J80" i="115"/>
  <c r="K80" i="115" s="1"/>
  <c r="I81" i="115"/>
  <c r="I55" i="115"/>
  <c r="J55" i="115" s="1"/>
  <c r="K55" i="115" s="1"/>
  <c r="I65" i="115"/>
  <c r="E65" i="147" l="1"/>
  <c r="I65" i="147" s="1"/>
  <c r="J65" i="147" s="1"/>
  <c r="E65" i="146"/>
  <c r="I65" i="146" s="1"/>
  <c r="E65" i="116"/>
  <c r="I65" i="116" s="1"/>
  <c r="E65" i="117" s="1"/>
  <c r="I65" i="117" s="1"/>
  <c r="K77" i="126"/>
  <c r="K77" i="124"/>
  <c r="K77" i="125"/>
  <c r="K77" i="127"/>
  <c r="I103" i="125"/>
  <c r="I144" i="125" s="1"/>
  <c r="K100" i="125"/>
  <c r="K103" i="125" s="1"/>
  <c r="K144" i="125" s="1"/>
  <c r="I103" i="126"/>
  <c r="I144" i="126" s="1"/>
  <c r="K100" i="126"/>
  <c r="K103" i="126" s="1"/>
  <c r="K144" i="126" s="1"/>
  <c r="I103" i="127"/>
  <c r="I144" i="127" s="1"/>
  <c r="K100" i="127"/>
  <c r="K103" i="127" s="1"/>
  <c r="K144" i="127" s="1"/>
  <c r="K98" i="123"/>
  <c r="K101" i="123" s="1"/>
  <c r="K142" i="123" s="1"/>
  <c r="I101" i="123"/>
  <c r="I142" i="123" s="1"/>
  <c r="K75" i="123"/>
  <c r="K100" i="124"/>
  <c r="K103" i="124" s="1"/>
  <c r="K144" i="124" s="1"/>
  <c r="I103" i="124"/>
  <c r="I144" i="124" s="1"/>
  <c r="J65" i="115"/>
  <c r="K65" i="115" s="1"/>
  <c r="J81" i="115"/>
  <c r="J131" i="115" s="1"/>
  <c r="I44" i="115"/>
  <c r="J44" i="115" s="1"/>
  <c r="K44" i="115" s="1"/>
  <c r="I131" i="115"/>
  <c r="E34" i="115"/>
  <c r="I34" i="115" s="1"/>
  <c r="J34" i="115" s="1"/>
  <c r="K34" i="115" s="1"/>
  <c r="E65" i="152" l="1"/>
  <c r="I65" i="152" s="1"/>
  <c r="J65" i="152" s="1"/>
  <c r="J86" i="152" s="1"/>
  <c r="E67" i="153"/>
  <c r="I67" i="153" s="1"/>
  <c r="J67" i="153" s="1"/>
  <c r="E65" i="150"/>
  <c r="I65" i="150" s="1"/>
  <c r="J65" i="150" s="1"/>
  <c r="J84" i="150" s="1"/>
  <c r="E65" i="151"/>
  <c r="I65" i="151" s="1"/>
  <c r="J65" i="151" s="1"/>
  <c r="E65" i="122"/>
  <c r="I65" i="122" s="1"/>
  <c r="J65" i="122" s="1"/>
  <c r="J72" i="122" s="1"/>
  <c r="E65" i="148"/>
  <c r="I65" i="148" s="1"/>
  <c r="J65" i="148" s="1"/>
  <c r="J65" i="146"/>
  <c r="J84" i="146" s="1"/>
  <c r="K65" i="147"/>
  <c r="J84" i="147"/>
  <c r="J65" i="117"/>
  <c r="K65" i="117" s="1"/>
  <c r="E65" i="119"/>
  <c r="I65" i="119" s="1"/>
  <c r="J65" i="116"/>
  <c r="J70" i="116" s="1"/>
  <c r="K81" i="115"/>
  <c r="K131" i="115" s="1"/>
  <c r="I50" i="115"/>
  <c r="J50" i="115" s="1"/>
  <c r="K50" i="115" s="1"/>
  <c r="I74" i="115"/>
  <c r="I76" i="115"/>
  <c r="I88" i="115"/>
  <c r="I59" i="115"/>
  <c r="I63" i="115"/>
  <c r="I92" i="115"/>
  <c r="I116" i="115"/>
  <c r="I46" i="115"/>
  <c r="J46" i="115" s="1"/>
  <c r="K46" i="115" s="1"/>
  <c r="K65" i="152" l="1"/>
  <c r="K67" i="153"/>
  <c r="J86" i="153"/>
  <c r="J181" i="152"/>
  <c r="J190" i="152" s="1"/>
  <c r="J107" i="152"/>
  <c r="J149" i="152" s="1"/>
  <c r="K65" i="151"/>
  <c r="J86" i="151"/>
  <c r="J179" i="150"/>
  <c r="J188" i="150" s="1"/>
  <c r="J105" i="150"/>
  <c r="J147" i="150" s="1"/>
  <c r="K65" i="150"/>
  <c r="E65" i="120"/>
  <c r="I65" i="120" s="1"/>
  <c r="J65" i="120" s="1"/>
  <c r="K65" i="120" s="1"/>
  <c r="E65" i="149"/>
  <c r="I65" i="149" s="1"/>
  <c r="J65" i="149" s="1"/>
  <c r="K65" i="146"/>
  <c r="J176" i="147"/>
  <c r="J185" i="147" s="1"/>
  <c r="J104" i="147"/>
  <c r="J144" i="147" s="1"/>
  <c r="K65" i="122"/>
  <c r="J174" i="146"/>
  <c r="J183" i="146" s="1"/>
  <c r="J102" i="146"/>
  <c r="J142" i="146" s="1"/>
  <c r="K65" i="148"/>
  <c r="J83" i="148"/>
  <c r="J104" i="148" s="1"/>
  <c r="J138" i="122"/>
  <c r="J147" i="122" s="1"/>
  <c r="J86" i="122"/>
  <c r="J124" i="122" s="1"/>
  <c r="J70" i="117"/>
  <c r="J84" i="117" s="1"/>
  <c r="J122" i="117" s="1"/>
  <c r="J65" i="119"/>
  <c r="J70" i="119" s="1"/>
  <c r="K65" i="116"/>
  <c r="K116" i="115"/>
  <c r="E116" i="116"/>
  <c r="I116" i="116" s="1"/>
  <c r="K63" i="115"/>
  <c r="E63" i="116"/>
  <c r="I63" i="116" s="1"/>
  <c r="K88" i="115"/>
  <c r="E88" i="116"/>
  <c r="I88" i="116" s="1"/>
  <c r="K74" i="115"/>
  <c r="E74" i="116"/>
  <c r="K92" i="115"/>
  <c r="E92" i="116"/>
  <c r="I92" i="116" s="1"/>
  <c r="K59" i="115"/>
  <c r="E59" i="116"/>
  <c r="I59" i="116" s="1"/>
  <c r="K76" i="115"/>
  <c r="E76" i="116"/>
  <c r="I76" i="116" s="1"/>
  <c r="J136" i="116"/>
  <c r="J145" i="116" s="1"/>
  <c r="J84" i="116"/>
  <c r="J122" i="116" s="1"/>
  <c r="I106" i="115"/>
  <c r="I113" i="115"/>
  <c r="I52" i="115"/>
  <c r="I15" i="115"/>
  <c r="E15" i="116" s="1"/>
  <c r="I53" i="115"/>
  <c r="I10" i="115"/>
  <c r="I107" i="115"/>
  <c r="I75" i="115"/>
  <c r="I28" i="115"/>
  <c r="I90" i="115"/>
  <c r="I16" i="115"/>
  <c r="I112" i="115"/>
  <c r="I57" i="115"/>
  <c r="I89" i="115"/>
  <c r="I17" i="115"/>
  <c r="I91" i="115"/>
  <c r="I115" i="115"/>
  <c r="I114" i="115"/>
  <c r="J192" i="152" l="1"/>
  <c r="J107" i="153"/>
  <c r="J149" i="153" s="1"/>
  <c r="J181" i="153"/>
  <c r="J190" i="153" s="1"/>
  <c r="J181" i="151"/>
  <c r="J190" i="151" s="1"/>
  <c r="J107" i="151"/>
  <c r="J149" i="151" s="1"/>
  <c r="E65" i="121"/>
  <c r="I65" i="121" s="1"/>
  <c r="E65" i="131" s="1"/>
  <c r="J190" i="150"/>
  <c r="K65" i="149"/>
  <c r="J83" i="149"/>
  <c r="J185" i="146"/>
  <c r="K57" i="115"/>
  <c r="E57" i="147"/>
  <c r="I57" i="147" s="1"/>
  <c r="K57" i="147" s="1"/>
  <c r="E57" i="146"/>
  <c r="I57" i="146" s="1"/>
  <c r="K57" i="146" s="1"/>
  <c r="J178" i="148"/>
  <c r="J187" i="148" s="1"/>
  <c r="J146" i="148"/>
  <c r="J187" i="147"/>
  <c r="J70" i="120"/>
  <c r="J84" i="120" s="1"/>
  <c r="J122" i="120" s="1"/>
  <c r="J149" i="122"/>
  <c r="K65" i="119"/>
  <c r="J136" i="117"/>
  <c r="J145" i="117" s="1"/>
  <c r="J147" i="117" s="1"/>
  <c r="J84" i="119"/>
  <c r="J122" i="119" s="1"/>
  <c r="J136" i="119"/>
  <c r="J145" i="119" s="1"/>
  <c r="K76" i="116"/>
  <c r="E76" i="117"/>
  <c r="I76" i="117" s="1"/>
  <c r="E78" i="122" s="1"/>
  <c r="I78" i="122" s="1"/>
  <c r="K78" i="122" s="1"/>
  <c r="K116" i="116"/>
  <c r="E116" i="117"/>
  <c r="I116" i="117" s="1"/>
  <c r="E118" i="122" s="1"/>
  <c r="I118" i="122" s="1"/>
  <c r="K118" i="122" s="1"/>
  <c r="K92" i="116"/>
  <c r="E92" i="117"/>
  <c r="I92" i="117" s="1"/>
  <c r="E94" i="122" s="1"/>
  <c r="I94" i="122" s="1"/>
  <c r="K94" i="122" s="1"/>
  <c r="K59" i="116"/>
  <c r="E59" i="117"/>
  <c r="I59" i="117" s="1"/>
  <c r="E59" i="122" s="1"/>
  <c r="I59" i="122" s="1"/>
  <c r="K59" i="122" s="1"/>
  <c r="K63" i="116"/>
  <c r="E63" i="117"/>
  <c r="I63" i="117" s="1"/>
  <c r="E63" i="122" s="1"/>
  <c r="I63" i="122" s="1"/>
  <c r="K63" i="122" s="1"/>
  <c r="K88" i="116"/>
  <c r="E88" i="117"/>
  <c r="I88" i="117" s="1"/>
  <c r="E90" i="122" s="1"/>
  <c r="I90" i="122" s="1"/>
  <c r="K90" i="122" s="1"/>
  <c r="K114" i="115"/>
  <c r="E114" i="116"/>
  <c r="I114" i="116" s="1"/>
  <c r="K17" i="115"/>
  <c r="E17" i="116"/>
  <c r="I17" i="116" s="1"/>
  <c r="K52" i="115"/>
  <c r="E52" i="116"/>
  <c r="K106" i="115"/>
  <c r="E106" i="116"/>
  <c r="I106" i="116" s="1"/>
  <c r="I74" i="116"/>
  <c r="E74" i="117" s="1"/>
  <c r="K91" i="115"/>
  <c r="E91" i="116"/>
  <c r="I91" i="116" s="1"/>
  <c r="K16" i="115"/>
  <c r="E16" i="116"/>
  <c r="I16" i="116" s="1"/>
  <c r="K28" i="115"/>
  <c r="E28" i="116"/>
  <c r="I28" i="116" s="1"/>
  <c r="K107" i="115"/>
  <c r="E107" i="116"/>
  <c r="I107" i="116" s="1"/>
  <c r="K53" i="115"/>
  <c r="E53" i="116"/>
  <c r="I53" i="116" s="1"/>
  <c r="J147" i="116"/>
  <c r="K115" i="115"/>
  <c r="E115" i="116"/>
  <c r="I115" i="116" s="1"/>
  <c r="K113" i="115"/>
  <c r="E113" i="116"/>
  <c r="I113" i="116" s="1"/>
  <c r="K89" i="115"/>
  <c r="E89" i="116"/>
  <c r="I89" i="116" s="1"/>
  <c r="K112" i="115"/>
  <c r="E112" i="116"/>
  <c r="I112" i="116" s="1"/>
  <c r="K90" i="115"/>
  <c r="E90" i="116"/>
  <c r="I90" i="116" s="1"/>
  <c r="K75" i="115"/>
  <c r="E75" i="116"/>
  <c r="I75" i="116" s="1"/>
  <c r="K10" i="115"/>
  <c r="E10" i="116"/>
  <c r="I10" i="116" s="1"/>
  <c r="I15" i="116"/>
  <c r="E15" i="117" s="1"/>
  <c r="E118" i="115"/>
  <c r="E143" i="115" s="1"/>
  <c r="I111" i="115"/>
  <c r="E111" i="116" s="1"/>
  <c r="I9" i="115"/>
  <c r="E9" i="116" s="1"/>
  <c r="E12" i="115"/>
  <c r="I19" i="115"/>
  <c r="I133" i="115" s="1"/>
  <c r="K15" i="115"/>
  <c r="E19" i="115"/>
  <c r="E133" i="115" s="1"/>
  <c r="E30" i="115"/>
  <c r="E135" i="115" s="1"/>
  <c r="I27" i="115"/>
  <c r="E27" i="116" s="1"/>
  <c r="I105" i="115"/>
  <c r="E105" i="116" s="1"/>
  <c r="E109" i="115"/>
  <c r="E142" i="115" s="1"/>
  <c r="I102" i="115"/>
  <c r="E102" i="116" s="1"/>
  <c r="E141" i="115"/>
  <c r="J192" i="153" l="1"/>
  <c r="J136" i="120"/>
  <c r="J145" i="120" s="1"/>
  <c r="E65" i="126"/>
  <c r="I65" i="126" s="1"/>
  <c r="J65" i="126" s="1"/>
  <c r="J74" i="126" s="1"/>
  <c r="J88" i="126" s="1"/>
  <c r="J126" i="126" s="1"/>
  <c r="E65" i="130"/>
  <c r="I65" i="130" s="1"/>
  <c r="J65" i="130" s="1"/>
  <c r="J80" i="130" s="1"/>
  <c r="J98" i="130" s="1"/>
  <c r="J192" i="151"/>
  <c r="J65" i="121"/>
  <c r="J72" i="121" s="1"/>
  <c r="J138" i="121" s="1"/>
  <c r="J147" i="121" s="1"/>
  <c r="E65" i="125"/>
  <c r="I65" i="125" s="1"/>
  <c r="J65" i="125" s="1"/>
  <c r="J74" i="125" s="1"/>
  <c r="E65" i="128"/>
  <c r="I65" i="128" s="1"/>
  <c r="J65" i="128" s="1"/>
  <c r="J76" i="128" s="1"/>
  <c r="J90" i="128" s="1"/>
  <c r="J128" i="128" s="1"/>
  <c r="E65" i="124"/>
  <c r="I65" i="124" s="1"/>
  <c r="J65" i="124" s="1"/>
  <c r="J74" i="124" s="1"/>
  <c r="J88" i="124" s="1"/>
  <c r="J126" i="124" s="1"/>
  <c r="E65" i="129"/>
  <c r="I65" i="129" s="1"/>
  <c r="E65" i="123"/>
  <c r="I65" i="123" s="1"/>
  <c r="J65" i="123" s="1"/>
  <c r="J72" i="123" s="1"/>
  <c r="E65" i="127"/>
  <c r="I65" i="127" s="1"/>
  <c r="J65" i="127" s="1"/>
  <c r="J74" i="127" s="1"/>
  <c r="J178" i="149"/>
  <c r="J187" i="149" s="1"/>
  <c r="J104" i="149"/>
  <c r="J146" i="149" s="1"/>
  <c r="J189" i="148"/>
  <c r="I65" i="131"/>
  <c r="E80" i="131"/>
  <c r="E98" i="131" s="1"/>
  <c r="E70" i="116"/>
  <c r="E136" i="116" s="1"/>
  <c r="J147" i="119"/>
  <c r="J147" i="120"/>
  <c r="K88" i="117"/>
  <c r="E88" i="119"/>
  <c r="I88" i="119" s="1"/>
  <c r="K59" i="117"/>
  <c r="E59" i="119"/>
  <c r="I59" i="119" s="1"/>
  <c r="K116" i="117"/>
  <c r="E116" i="119"/>
  <c r="I116" i="119" s="1"/>
  <c r="K63" i="117"/>
  <c r="E63" i="119"/>
  <c r="I63" i="119" s="1"/>
  <c r="K92" i="117"/>
  <c r="E92" i="119"/>
  <c r="I92" i="119" s="1"/>
  <c r="K76" i="117"/>
  <c r="E76" i="119"/>
  <c r="I76" i="119" s="1"/>
  <c r="K19" i="115"/>
  <c r="K133" i="115" s="1"/>
  <c r="K91" i="116"/>
  <c r="E91" i="117"/>
  <c r="I91" i="117" s="1"/>
  <c r="E93" i="122" s="1"/>
  <c r="I93" i="122" s="1"/>
  <c r="K93" i="122" s="1"/>
  <c r="K90" i="116"/>
  <c r="E90" i="117"/>
  <c r="I90" i="117" s="1"/>
  <c r="E92" i="122" s="1"/>
  <c r="I92" i="122" s="1"/>
  <c r="K92" i="122" s="1"/>
  <c r="K89" i="116"/>
  <c r="E89" i="117"/>
  <c r="I89" i="117" s="1"/>
  <c r="E91" i="122" s="1"/>
  <c r="I91" i="122" s="1"/>
  <c r="K91" i="122" s="1"/>
  <c r="K115" i="116"/>
  <c r="E115" i="117"/>
  <c r="I115" i="117" s="1"/>
  <c r="E117" i="122" s="1"/>
  <c r="I117" i="122" s="1"/>
  <c r="K117" i="122" s="1"/>
  <c r="K114" i="116"/>
  <c r="E114" i="117"/>
  <c r="I114" i="117" s="1"/>
  <c r="E116" i="122" s="1"/>
  <c r="I116" i="122" s="1"/>
  <c r="K116" i="122" s="1"/>
  <c r="I15" i="117"/>
  <c r="K16" i="116"/>
  <c r="E16" i="117"/>
  <c r="I16" i="117" s="1"/>
  <c r="E16" i="122" s="1"/>
  <c r="I16" i="122" s="1"/>
  <c r="K16" i="122" s="1"/>
  <c r="I74" i="117"/>
  <c r="K53" i="116"/>
  <c r="E53" i="117"/>
  <c r="I53" i="117" s="1"/>
  <c r="E53" i="122" s="1"/>
  <c r="I53" i="122" s="1"/>
  <c r="K53" i="122" s="1"/>
  <c r="K28" i="116"/>
  <c r="E28" i="117"/>
  <c r="I28" i="117" s="1"/>
  <c r="E28" i="122" s="1"/>
  <c r="I28" i="122" s="1"/>
  <c r="K28" i="122" s="1"/>
  <c r="K10" i="116"/>
  <c r="E10" i="117"/>
  <c r="I10" i="117" s="1"/>
  <c r="E10" i="122" s="1"/>
  <c r="I10" i="122" s="1"/>
  <c r="K10" i="122" s="1"/>
  <c r="K107" i="116"/>
  <c r="E107" i="117"/>
  <c r="I107" i="117" s="1"/>
  <c r="E109" i="122" s="1"/>
  <c r="I109" i="122" s="1"/>
  <c r="K109" i="122" s="1"/>
  <c r="K75" i="116"/>
  <c r="E75" i="117"/>
  <c r="I75" i="117" s="1"/>
  <c r="E77" i="122" s="1"/>
  <c r="I77" i="122" s="1"/>
  <c r="K77" i="122" s="1"/>
  <c r="K112" i="116"/>
  <c r="E112" i="117"/>
  <c r="I112" i="117" s="1"/>
  <c r="E114" i="122" s="1"/>
  <c r="I114" i="122" s="1"/>
  <c r="K114" i="122" s="1"/>
  <c r="K113" i="116"/>
  <c r="E113" i="117"/>
  <c r="I113" i="117" s="1"/>
  <c r="E115" i="122" s="1"/>
  <c r="I115" i="122" s="1"/>
  <c r="K115" i="122" s="1"/>
  <c r="K106" i="116"/>
  <c r="E106" i="117"/>
  <c r="I106" i="117" s="1"/>
  <c r="E108" i="122" s="1"/>
  <c r="I108" i="122" s="1"/>
  <c r="K108" i="122" s="1"/>
  <c r="K17" i="116"/>
  <c r="E17" i="117"/>
  <c r="I17" i="117" s="1"/>
  <c r="E17" i="122" s="1"/>
  <c r="E78" i="116"/>
  <c r="E137" i="116" s="1"/>
  <c r="I9" i="116"/>
  <c r="E9" i="117" s="1"/>
  <c r="E12" i="116"/>
  <c r="I111" i="116"/>
  <c r="E111" i="117" s="1"/>
  <c r="E118" i="116"/>
  <c r="E143" i="116" s="1"/>
  <c r="E141" i="116"/>
  <c r="I102" i="116"/>
  <c r="E102" i="117" s="1"/>
  <c r="I27" i="116"/>
  <c r="E27" i="117" s="1"/>
  <c r="E30" i="116"/>
  <c r="E135" i="116" s="1"/>
  <c r="K15" i="116"/>
  <c r="I19" i="116"/>
  <c r="I133" i="116" s="1"/>
  <c r="I52" i="116"/>
  <c r="E52" i="117" s="1"/>
  <c r="E109" i="116"/>
  <c r="E142" i="116" s="1"/>
  <c r="I105" i="116"/>
  <c r="E105" i="117" s="1"/>
  <c r="E19" i="116"/>
  <c r="E133" i="116" s="1"/>
  <c r="K74" i="116"/>
  <c r="I78" i="116"/>
  <c r="I137" i="116" s="1"/>
  <c r="I87" i="115"/>
  <c r="I12" i="115"/>
  <c r="K9" i="115"/>
  <c r="K12" i="115" s="1"/>
  <c r="K105" i="115"/>
  <c r="K109" i="115" s="1"/>
  <c r="K142" i="115" s="1"/>
  <c r="I109" i="115"/>
  <c r="I142" i="115" s="1"/>
  <c r="I118" i="115"/>
  <c r="I143" i="115" s="1"/>
  <c r="K111" i="115"/>
  <c r="K118" i="115" s="1"/>
  <c r="K143" i="115" s="1"/>
  <c r="E132" i="115"/>
  <c r="I22" i="115"/>
  <c r="E22" i="116" s="1"/>
  <c r="E24" i="115"/>
  <c r="E134" i="115" s="1"/>
  <c r="I141" i="115"/>
  <c r="K102" i="115"/>
  <c r="K141" i="115" s="1"/>
  <c r="I30" i="115"/>
  <c r="I135" i="115" s="1"/>
  <c r="K27" i="115"/>
  <c r="K30" i="115" s="1"/>
  <c r="K135" i="115" s="1"/>
  <c r="K65" i="126" l="1"/>
  <c r="J86" i="121"/>
  <c r="J124" i="121" s="1"/>
  <c r="J149" i="121" s="1"/>
  <c r="E65" i="144"/>
  <c r="I65" i="144" s="1"/>
  <c r="J65" i="144" s="1"/>
  <c r="J82" i="144" s="1"/>
  <c r="J173" i="144" s="1"/>
  <c r="J182" i="144" s="1"/>
  <c r="J140" i="126"/>
  <c r="J149" i="126" s="1"/>
  <c r="J151" i="126" s="1"/>
  <c r="K65" i="124"/>
  <c r="J142" i="128"/>
  <c r="J151" i="128" s="1"/>
  <c r="J153" i="128" s="1"/>
  <c r="K65" i="130"/>
  <c r="J65" i="129"/>
  <c r="J80" i="129" s="1"/>
  <c r="J96" i="129" s="1"/>
  <c r="J134" i="129" s="1"/>
  <c r="K65" i="121"/>
  <c r="J140" i="124"/>
  <c r="J149" i="124" s="1"/>
  <c r="J151" i="124" s="1"/>
  <c r="K65" i="128"/>
  <c r="E65" i="145"/>
  <c r="I65" i="145" s="1"/>
  <c r="J65" i="145" s="1"/>
  <c r="J84" i="145" s="1"/>
  <c r="K65" i="123"/>
  <c r="J189" i="149"/>
  <c r="J65" i="131"/>
  <c r="J80" i="131" s="1"/>
  <c r="J98" i="131" s="1"/>
  <c r="I80" i="131"/>
  <c r="I98" i="131" s="1"/>
  <c r="J150" i="130"/>
  <c r="J159" i="130" s="1"/>
  <c r="J136" i="130"/>
  <c r="E150" i="131"/>
  <c r="E159" i="131" s="1"/>
  <c r="E136" i="131"/>
  <c r="K78" i="116"/>
  <c r="K137" i="116" s="1"/>
  <c r="K65" i="127"/>
  <c r="J140" i="127"/>
  <c r="J149" i="127" s="1"/>
  <c r="J88" i="127"/>
  <c r="J126" i="127" s="1"/>
  <c r="J88" i="125"/>
  <c r="J126" i="125" s="1"/>
  <c r="J140" i="125"/>
  <c r="J149" i="125" s="1"/>
  <c r="K65" i="125"/>
  <c r="J138" i="123"/>
  <c r="J147" i="123" s="1"/>
  <c r="J86" i="123"/>
  <c r="J124" i="123" s="1"/>
  <c r="I17" i="122"/>
  <c r="K17" i="122" s="1"/>
  <c r="E15" i="119"/>
  <c r="I15" i="119" s="1"/>
  <c r="E15" i="120" s="1"/>
  <c r="E15" i="122"/>
  <c r="E74" i="119"/>
  <c r="I74" i="119" s="1"/>
  <c r="E74" i="120" s="1"/>
  <c r="E76" i="122"/>
  <c r="K76" i="119"/>
  <c r="E76" i="120"/>
  <c r="I76" i="120" s="1"/>
  <c r="K63" i="119"/>
  <c r="E63" i="120"/>
  <c r="I63" i="120" s="1"/>
  <c r="K59" i="119"/>
  <c r="E59" i="120"/>
  <c r="I59" i="120" s="1"/>
  <c r="K92" i="119"/>
  <c r="E92" i="120"/>
  <c r="I92" i="120" s="1"/>
  <c r="K116" i="119"/>
  <c r="E116" i="120"/>
  <c r="I116" i="120" s="1"/>
  <c r="K88" i="119"/>
  <c r="E88" i="120"/>
  <c r="I88" i="120" s="1"/>
  <c r="K112" i="117"/>
  <c r="E112" i="119"/>
  <c r="I112" i="119" s="1"/>
  <c r="K91" i="117"/>
  <c r="E91" i="119"/>
  <c r="I91" i="119" s="1"/>
  <c r="K16" i="117"/>
  <c r="E16" i="119"/>
  <c r="I16" i="119" s="1"/>
  <c r="K107" i="117"/>
  <c r="E107" i="119"/>
  <c r="I107" i="119" s="1"/>
  <c r="K89" i="117"/>
  <c r="E89" i="119"/>
  <c r="I89" i="119" s="1"/>
  <c r="K113" i="117"/>
  <c r="E113" i="119"/>
  <c r="I113" i="119" s="1"/>
  <c r="K115" i="117"/>
  <c r="E115" i="119"/>
  <c r="I115" i="119" s="1"/>
  <c r="K106" i="117"/>
  <c r="E106" i="119"/>
  <c r="I106" i="119" s="1"/>
  <c r="K28" i="117"/>
  <c r="E28" i="119"/>
  <c r="I28" i="119" s="1"/>
  <c r="K114" i="117"/>
  <c r="E114" i="119"/>
  <c r="I114" i="119" s="1"/>
  <c r="K17" i="117"/>
  <c r="E17" i="119"/>
  <c r="I17" i="119" s="1"/>
  <c r="K75" i="117"/>
  <c r="E75" i="119"/>
  <c r="I75" i="119" s="1"/>
  <c r="K10" i="117"/>
  <c r="E10" i="119"/>
  <c r="I10" i="119" s="1"/>
  <c r="K53" i="117"/>
  <c r="E53" i="119"/>
  <c r="I53" i="119" s="1"/>
  <c r="K90" i="117"/>
  <c r="E90" i="119"/>
  <c r="I90" i="119" s="1"/>
  <c r="K19" i="116"/>
  <c r="K133" i="116" s="1"/>
  <c r="E78" i="117"/>
  <c r="E137" i="117" s="1"/>
  <c r="E19" i="117"/>
  <c r="E133" i="117" s="1"/>
  <c r="I52" i="117"/>
  <c r="E70" i="117"/>
  <c r="E136" i="117" s="1"/>
  <c r="I27" i="117"/>
  <c r="E30" i="117"/>
  <c r="E135" i="117" s="1"/>
  <c r="I9" i="117"/>
  <c r="E12" i="117"/>
  <c r="E109" i="117"/>
  <c r="E142" i="117" s="1"/>
  <c r="I105" i="117"/>
  <c r="I102" i="117"/>
  <c r="E141" i="117"/>
  <c r="K74" i="117"/>
  <c r="I78" i="117"/>
  <c r="I137" i="117" s="1"/>
  <c r="I19" i="117"/>
  <c r="I133" i="117" s="1"/>
  <c r="K15" i="117"/>
  <c r="I111" i="117"/>
  <c r="E118" i="117"/>
  <c r="E143" i="117" s="1"/>
  <c r="I22" i="116"/>
  <c r="E22" i="117" s="1"/>
  <c r="E24" i="116"/>
  <c r="E134" i="116" s="1"/>
  <c r="K87" i="115"/>
  <c r="K94" i="115" s="1"/>
  <c r="K139" i="115" s="1"/>
  <c r="E87" i="116"/>
  <c r="K105" i="116"/>
  <c r="K109" i="116" s="1"/>
  <c r="K142" i="116" s="1"/>
  <c r="I109" i="116"/>
  <c r="I142" i="116" s="1"/>
  <c r="K102" i="116"/>
  <c r="K141" i="116" s="1"/>
  <c r="I141" i="116"/>
  <c r="E132" i="116"/>
  <c r="K52" i="116"/>
  <c r="K70" i="116" s="1"/>
  <c r="K136" i="116" s="1"/>
  <c r="I70" i="116"/>
  <c r="I136" i="116" s="1"/>
  <c r="K27" i="116"/>
  <c r="K30" i="116" s="1"/>
  <c r="K135" i="116" s="1"/>
  <c r="I30" i="116"/>
  <c r="I135" i="116" s="1"/>
  <c r="K111" i="116"/>
  <c r="K118" i="116" s="1"/>
  <c r="K143" i="116" s="1"/>
  <c r="I118" i="116"/>
  <c r="I143" i="116" s="1"/>
  <c r="I12" i="116"/>
  <c r="K9" i="116"/>
  <c r="K12" i="116" s="1"/>
  <c r="I94" i="115"/>
  <c r="I139" i="115" s="1"/>
  <c r="I24" i="115"/>
  <c r="I134" i="115" s="1"/>
  <c r="K22" i="115"/>
  <c r="K24" i="115" s="1"/>
  <c r="K134" i="115" s="1"/>
  <c r="I132" i="115"/>
  <c r="K132" i="115"/>
  <c r="J101" i="144" l="1"/>
  <c r="J141" i="144" s="1"/>
  <c r="J184" i="144" s="1"/>
  <c r="K65" i="144"/>
  <c r="K65" i="129"/>
  <c r="J148" i="129"/>
  <c r="J157" i="129" s="1"/>
  <c r="J159" i="129" s="1"/>
  <c r="K65" i="145"/>
  <c r="J174" i="145"/>
  <c r="J183" i="145" s="1"/>
  <c r="J102" i="145"/>
  <c r="J142" i="145" s="1"/>
  <c r="K65" i="131"/>
  <c r="K80" i="131" s="1"/>
  <c r="K98" i="131" s="1"/>
  <c r="K136" i="131" s="1"/>
  <c r="K172" i="131" s="1"/>
  <c r="I150" i="131"/>
  <c r="I159" i="131" s="1"/>
  <c r="I136" i="131"/>
  <c r="J161" i="130"/>
  <c r="E161" i="131"/>
  <c r="J136" i="131"/>
  <c r="J150" i="131"/>
  <c r="J159" i="131" s="1"/>
  <c r="J151" i="127"/>
  <c r="J151" i="125"/>
  <c r="J149" i="123"/>
  <c r="E102" i="119"/>
  <c r="I102" i="119" s="1"/>
  <c r="E102" i="120" s="1"/>
  <c r="E104" i="122"/>
  <c r="E9" i="119"/>
  <c r="E12" i="119" s="1"/>
  <c r="E9" i="122"/>
  <c r="E52" i="119"/>
  <c r="I52" i="119" s="1"/>
  <c r="E52" i="120" s="1"/>
  <c r="E52" i="122"/>
  <c r="E105" i="119"/>
  <c r="I105" i="119" s="1"/>
  <c r="E105" i="120" s="1"/>
  <c r="E107" i="122"/>
  <c r="K88" i="120"/>
  <c r="E90" i="121"/>
  <c r="I90" i="121" s="1"/>
  <c r="E92" i="126" s="1"/>
  <c r="I92" i="126" s="1"/>
  <c r="K92" i="126" s="1"/>
  <c r="K92" i="120"/>
  <c r="E94" i="121"/>
  <c r="I94" i="121" s="1"/>
  <c r="E96" i="126" s="1"/>
  <c r="I96" i="126" s="1"/>
  <c r="K96" i="126" s="1"/>
  <c r="K63" i="120"/>
  <c r="E63" i="121"/>
  <c r="I63" i="121" s="1"/>
  <c r="E63" i="126" s="1"/>
  <c r="I63" i="126" s="1"/>
  <c r="K63" i="126" s="1"/>
  <c r="I76" i="122"/>
  <c r="E80" i="122"/>
  <c r="E139" i="122" s="1"/>
  <c r="E111" i="119"/>
  <c r="E118" i="119" s="1"/>
  <c r="E143" i="119" s="1"/>
  <c r="E113" i="122"/>
  <c r="E27" i="119"/>
  <c r="E30" i="119" s="1"/>
  <c r="E135" i="119" s="1"/>
  <c r="E27" i="122"/>
  <c r="K116" i="120"/>
  <c r="E118" i="121"/>
  <c r="I118" i="121" s="1"/>
  <c r="E120" i="126" s="1"/>
  <c r="I120" i="126" s="1"/>
  <c r="K120" i="126" s="1"/>
  <c r="K59" i="120"/>
  <c r="E59" i="121"/>
  <c r="I59" i="121" s="1"/>
  <c r="E59" i="126" s="1"/>
  <c r="I59" i="126" s="1"/>
  <c r="K59" i="126" s="1"/>
  <c r="K76" i="120"/>
  <c r="E78" i="121"/>
  <c r="I78" i="121" s="1"/>
  <c r="E80" i="126" s="1"/>
  <c r="I80" i="126" s="1"/>
  <c r="K80" i="126" s="1"/>
  <c r="I15" i="122"/>
  <c r="I19" i="122" s="1"/>
  <c r="E19" i="122"/>
  <c r="E135" i="122" s="1"/>
  <c r="K78" i="117"/>
  <c r="K137" i="117" s="1"/>
  <c r="K90" i="119"/>
  <c r="E90" i="120"/>
  <c r="I90" i="120" s="1"/>
  <c r="K17" i="119"/>
  <c r="E17" i="120"/>
  <c r="I17" i="120" s="1"/>
  <c r="K115" i="119"/>
  <c r="E115" i="120"/>
  <c r="I115" i="120" s="1"/>
  <c r="K16" i="119"/>
  <c r="E16" i="120"/>
  <c r="I16" i="120" s="1"/>
  <c r="K114" i="119"/>
  <c r="E114" i="120"/>
  <c r="I114" i="120" s="1"/>
  <c r="K113" i="119"/>
  <c r="E113" i="120"/>
  <c r="I113" i="120" s="1"/>
  <c r="K107" i="119"/>
  <c r="E107" i="120"/>
  <c r="I107" i="120" s="1"/>
  <c r="K91" i="119"/>
  <c r="E91" i="120"/>
  <c r="I91" i="120" s="1"/>
  <c r="K10" i="119"/>
  <c r="E10" i="120"/>
  <c r="I10" i="120" s="1"/>
  <c r="K28" i="119"/>
  <c r="E28" i="120"/>
  <c r="I28" i="120" s="1"/>
  <c r="K89" i="119"/>
  <c r="E89" i="120"/>
  <c r="I89" i="120" s="1"/>
  <c r="I74" i="120"/>
  <c r="E76" i="121" s="1"/>
  <c r="K112" i="119"/>
  <c r="E112" i="120"/>
  <c r="I112" i="120" s="1"/>
  <c r="K53" i="119"/>
  <c r="E53" i="120"/>
  <c r="I53" i="120" s="1"/>
  <c r="K75" i="119"/>
  <c r="E75" i="120"/>
  <c r="I75" i="120" s="1"/>
  <c r="K106" i="119"/>
  <c r="E106" i="120"/>
  <c r="I106" i="120" s="1"/>
  <c r="I15" i="120"/>
  <c r="E15" i="121" s="1"/>
  <c r="K19" i="117"/>
  <c r="K133" i="117" s="1"/>
  <c r="E78" i="119"/>
  <c r="E137" i="119" s="1"/>
  <c r="K74" i="119"/>
  <c r="I78" i="119"/>
  <c r="I137" i="119" s="1"/>
  <c r="K15" i="119"/>
  <c r="I19" i="119"/>
  <c r="I133" i="119" s="1"/>
  <c r="E19" i="119"/>
  <c r="E133" i="119" s="1"/>
  <c r="E84" i="116"/>
  <c r="K105" i="117"/>
  <c r="K109" i="117" s="1"/>
  <c r="K142" i="117" s="1"/>
  <c r="I109" i="117"/>
  <c r="I142" i="117" s="1"/>
  <c r="I118" i="117"/>
  <c r="I143" i="117" s="1"/>
  <c r="K111" i="117"/>
  <c r="K118" i="117" s="1"/>
  <c r="K143" i="117" s="1"/>
  <c r="I30" i="117"/>
  <c r="I135" i="117" s="1"/>
  <c r="K27" i="117"/>
  <c r="K30" i="117" s="1"/>
  <c r="K135" i="117" s="1"/>
  <c r="E132" i="117"/>
  <c r="E24" i="117"/>
  <c r="E134" i="117" s="1"/>
  <c r="I22" i="117"/>
  <c r="I141" i="117"/>
  <c r="K102" i="117"/>
  <c r="K141" i="117" s="1"/>
  <c r="I12" i="117"/>
  <c r="K9" i="117"/>
  <c r="K12" i="117" s="1"/>
  <c r="K52" i="117"/>
  <c r="K70" i="117" s="1"/>
  <c r="K136" i="117" s="1"/>
  <c r="I70" i="117"/>
  <c r="I136" i="117" s="1"/>
  <c r="E94" i="116"/>
  <c r="I87" i="116"/>
  <c r="E87" i="117" s="1"/>
  <c r="I132" i="116"/>
  <c r="K132" i="116"/>
  <c r="I24" i="116"/>
  <c r="I134" i="116" s="1"/>
  <c r="K22" i="116"/>
  <c r="K24" i="116" s="1"/>
  <c r="K134" i="116" s="1"/>
  <c r="J185" i="145" l="1"/>
  <c r="K150" i="131"/>
  <c r="K159" i="131" s="1"/>
  <c r="K161" i="131" s="1"/>
  <c r="J161" i="131"/>
  <c r="I161" i="131"/>
  <c r="K78" i="119"/>
  <c r="K137" i="119" s="1"/>
  <c r="I27" i="119"/>
  <c r="E27" i="120" s="1"/>
  <c r="E30" i="120" s="1"/>
  <c r="E135" i="120" s="1"/>
  <c r="E109" i="119"/>
  <c r="E142" i="119" s="1"/>
  <c r="K94" i="121"/>
  <c r="E94" i="123"/>
  <c r="I94" i="123" s="1"/>
  <c r="K59" i="121"/>
  <c r="E59" i="123"/>
  <c r="I59" i="123" s="1"/>
  <c r="I111" i="119"/>
  <c r="E111" i="120" s="1"/>
  <c r="I111" i="120" s="1"/>
  <c r="E113" i="121" s="1"/>
  <c r="K78" i="121"/>
  <c r="E78" i="123"/>
  <c r="I78" i="123" s="1"/>
  <c r="K118" i="121"/>
  <c r="E118" i="123"/>
  <c r="I118" i="123" s="1"/>
  <c r="E70" i="119"/>
  <c r="E136" i="119" s="1"/>
  <c r="K63" i="121"/>
  <c r="E63" i="123"/>
  <c r="I63" i="123" s="1"/>
  <c r="K90" i="121"/>
  <c r="E90" i="123"/>
  <c r="I90" i="123" s="1"/>
  <c r="E141" i="119"/>
  <c r="K89" i="120"/>
  <c r="E91" i="121"/>
  <c r="I91" i="121" s="1"/>
  <c r="E93" i="126" s="1"/>
  <c r="I93" i="126" s="1"/>
  <c r="K93" i="126" s="1"/>
  <c r="K10" i="120"/>
  <c r="E10" i="121"/>
  <c r="I10" i="121" s="1"/>
  <c r="E10" i="126" s="1"/>
  <c r="I10" i="126" s="1"/>
  <c r="K10" i="126" s="1"/>
  <c r="K107" i="120"/>
  <c r="E109" i="121"/>
  <c r="I109" i="121" s="1"/>
  <c r="E111" i="126" s="1"/>
  <c r="I111" i="126" s="1"/>
  <c r="K111" i="126" s="1"/>
  <c r="K114" i="120"/>
  <c r="E116" i="121"/>
  <c r="I116" i="121" s="1"/>
  <c r="E118" i="126" s="1"/>
  <c r="I118" i="126" s="1"/>
  <c r="K118" i="126" s="1"/>
  <c r="K115" i="120"/>
  <c r="E117" i="121"/>
  <c r="I117" i="121" s="1"/>
  <c r="E119" i="126" s="1"/>
  <c r="I119" i="126" s="1"/>
  <c r="K119" i="126" s="1"/>
  <c r="K90" i="120"/>
  <c r="E92" i="121"/>
  <c r="I92" i="121" s="1"/>
  <c r="E94" i="126" s="1"/>
  <c r="I94" i="126" s="1"/>
  <c r="K94" i="126" s="1"/>
  <c r="K15" i="122"/>
  <c r="K19" i="122" s="1"/>
  <c r="K135" i="122" s="1"/>
  <c r="I135" i="122"/>
  <c r="I27" i="122"/>
  <c r="E30" i="122"/>
  <c r="E137" i="122" s="1"/>
  <c r="E111" i="122"/>
  <c r="E144" i="122" s="1"/>
  <c r="I107" i="122"/>
  <c r="I9" i="122"/>
  <c r="E12" i="122"/>
  <c r="E22" i="119"/>
  <c r="I22" i="119" s="1"/>
  <c r="E22" i="120" s="1"/>
  <c r="E22" i="122"/>
  <c r="K75" i="120"/>
  <c r="E77" i="121"/>
  <c r="I77" i="121" s="1"/>
  <c r="E79" i="126" s="1"/>
  <c r="I79" i="126" s="1"/>
  <c r="K79" i="126" s="1"/>
  <c r="K112" i="120"/>
  <c r="E114" i="121"/>
  <c r="I114" i="121" s="1"/>
  <c r="E116" i="126" s="1"/>
  <c r="I116" i="126" s="1"/>
  <c r="K116" i="126" s="1"/>
  <c r="K76" i="122"/>
  <c r="K80" i="122" s="1"/>
  <c r="K139" i="122" s="1"/>
  <c r="I80" i="122"/>
  <c r="I139" i="122" s="1"/>
  <c r="I9" i="119"/>
  <c r="E9" i="120" s="1"/>
  <c r="I9" i="120" s="1"/>
  <c r="E9" i="121" s="1"/>
  <c r="I15" i="121"/>
  <c r="E15" i="126" s="1"/>
  <c r="K28" i="120"/>
  <c r="E28" i="121"/>
  <c r="I28" i="121" s="1"/>
  <c r="E28" i="126" s="1"/>
  <c r="I28" i="126" s="1"/>
  <c r="K28" i="126" s="1"/>
  <c r="K91" i="120"/>
  <c r="E93" i="121"/>
  <c r="I93" i="121" s="1"/>
  <c r="E95" i="126" s="1"/>
  <c r="I95" i="126" s="1"/>
  <c r="K95" i="126" s="1"/>
  <c r="K113" i="120"/>
  <c r="E115" i="121"/>
  <c r="I115" i="121" s="1"/>
  <c r="E117" i="126" s="1"/>
  <c r="I117" i="126" s="1"/>
  <c r="K117" i="126" s="1"/>
  <c r="K16" i="120"/>
  <c r="E16" i="121"/>
  <c r="I16" i="121" s="1"/>
  <c r="E16" i="126" s="1"/>
  <c r="I16" i="126" s="1"/>
  <c r="K16" i="126" s="1"/>
  <c r="K17" i="120"/>
  <c r="E17" i="121"/>
  <c r="I17" i="121" s="1"/>
  <c r="E17" i="126" s="1"/>
  <c r="I17" i="126" s="1"/>
  <c r="K17" i="126" s="1"/>
  <c r="E120" i="122"/>
  <c r="E145" i="122" s="1"/>
  <c r="I113" i="122"/>
  <c r="I52" i="122"/>
  <c r="E72" i="122"/>
  <c r="E138" i="122" s="1"/>
  <c r="I104" i="122"/>
  <c r="E143" i="122"/>
  <c r="K106" i="120"/>
  <c r="E108" i="121"/>
  <c r="I108" i="121" s="1"/>
  <c r="E110" i="126" s="1"/>
  <c r="I110" i="126" s="1"/>
  <c r="K110" i="126" s="1"/>
  <c r="K53" i="120"/>
  <c r="E53" i="121"/>
  <c r="I53" i="121" s="1"/>
  <c r="E53" i="126" s="1"/>
  <c r="I53" i="126" s="1"/>
  <c r="K53" i="126" s="1"/>
  <c r="I76" i="121"/>
  <c r="E78" i="126" s="1"/>
  <c r="K19" i="119"/>
  <c r="K133" i="119" s="1"/>
  <c r="E78" i="120"/>
  <c r="E137" i="120" s="1"/>
  <c r="I105" i="120"/>
  <c r="E107" i="121" s="1"/>
  <c r="E109" i="120"/>
  <c r="E142" i="120" s="1"/>
  <c r="I27" i="120"/>
  <c r="E27" i="121" s="1"/>
  <c r="E141" i="120"/>
  <c r="I102" i="120"/>
  <c r="E104" i="121" s="1"/>
  <c r="K74" i="120"/>
  <c r="I78" i="120"/>
  <c r="I137" i="120" s="1"/>
  <c r="I19" i="120"/>
  <c r="I133" i="120" s="1"/>
  <c r="K15" i="120"/>
  <c r="I52" i="120"/>
  <c r="E52" i="121" s="1"/>
  <c r="E70" i="120"/>
  <c r="E136" i="120" s="1"/>
  <c r="E19" i="120"/>
  <c r="E133" i="120" s="1"/>
  <c r="I141" i="119"/>
  <c r="K102" i="119"/>
  <c r="K141" i="119" s="1"/>
  <c r="E132" i="119"/>
  <c r="K52" i="119"/>
  <c r="K70" i="119" s="1"/>
  <c r="K136" i="119" s="1"/>
  <c r="I70" i="119"/>
  <c r="I136" i="119" s="1"/>
  <c r="I109" i="119"/>
  <c r="I142" i="119" s="1"/>
  <c r="K105" i="119"/>
  <c r="K109" i="119" s="1"/>
  <c r="K142" i="119" s="1"/>
  <c r="E84" i="117"/>
  <c r="E94" i="117"/>
  <c r="I87" i="117"/>
  <c r="K132" i="117"/>
  <c r="I24" i="117"/>
  <c r="I134" i="117" s="1"/>
  <c r="K22" i="117"/>
  <c r="K24" i="117" s="1"/>
  <c r="K134" i="117" s="1"/>
  <c r="I132" i="117"/>
  <c r="K84" i="116"/>
  <c r="I84" i="116"/>
  <c r="I94" i="116"/>
  <c r="K87" i="116"/>
  <c r="K94" i="116" s="1"/>
  <c r="E120" i="116"/>
  <c r="E122" i="116" s="1"/>
  <c r="E139" i="116"/>
  <c r="E145" i="116" s="1"/>
  <c r="I30" i="119" l="1"/>
  <c r="I135" i="119" s="1"/>
  <c r="E118" i="120"/>
  <c r="E143" i="120" s="1"/>
  <c r="K27" i="119"/>
  <c r="K30" i="119" s="1"/>
  <c r="K135" i="119" s="1"/>
  <c r="I15" i="126"/>
  <c r="E19" i="126"/>
  <c r="E137" i="126" s="1"/>
  <c r="I78" i="126"/>
  <c r="E82" i="126"/>
  <c r="E141" i="126" s="1"/>
  <c r="K63" i="123"/>
  <c r="E63" i="124"/>
  <c r="I63" i="124" s="1"/>
  <c r="I118" i="119"/>
  <c r="I143" i="119" s="1"/>
  <c r="K78" i="123"/>
  <c r="E80" i="124"/>
  <c r="I80" i="124" s="1"/>
  <c r="K118" i="123"/>
  <c r="E120" i="124"/>
  <c r="I120" i="124" s="1"/>
  <c r="K59" i="123"/>
  <c r="E59" i="124"/>
  <c r="I59" i="124" s="1"/>
  <c r="K111" i="119"/>
  <c r="K118" i="119" s="1"/>
  <c r="K143" i="119" s="1"/>
  <c r="K90" i="123"/>
  <c r="E92" i="124"/>
  <c r="I92" i="124" s="1"/>
  <c r="K94" i="123"/>
  <c r="E96" i="124"/>
  <c r="I96" i="124" s="1"/>
  <c r="E76" i="123"/>
  <c r="E15" i="123"/>
  <c r="I15" i="123" s="1"/>
  <c r="E15" i="124" s="1"/>
  <c r="K9" i="119"/>
  <c r="K12" i="119" s="1"/>
  <c r="K132" i="119" s="1"/>
  <c r="E12" i="120"/>
  <c r="E132" i="120" s="1"/>
  <c r="E24" i="119"/>
  <c r="E134" i="119" s="1"/>
  <c r="K108" i="121"/>
  <c r="E108" i="123"/>
  <c r="I108" i="123" s="1"/>
  <c r="K17" i="121"/>
  <c r="E17" i="123"/>
  <c r="I17" i="123" s="1"/>
  <c r="K115" i="121"/>
  <c r="E115" i="123"/>
  <c r="I115" i="123" s="1"/>
  <c r="K28" i="121"/>
  <c r="E28" i="123"/>
  <c r="I28" i="123" s="1"/>
  <c r="K77" i="121"/>
  <c r="E77" i="123"/>
  <c r="I77" i="123" s="1"/>
  <c r="K92" i="121"/>
  <c r="E92" i="123"/>
  <c r="I92" i="123" s="1"/>
  <c r="K116" i="121"/>
  <c r="E116" i="123"/>
  <c r="I116" i="123" s="1"/>
  <c r="K10" i="121"/>
  <c r="E10" i="123"/>
  <c r="I10" i="123" s="1"/>
  <c r="I12" i="119"/>
  <c r="I132" i="119" s="1"/>
  <c r="K53" i="121"/>
  <c r="E53" i="123"/>
  <c r="I53" i="123" s="1"/>
  <c r="K16" i="121"/>
  <c r="E16" i="123"/>
  <c r="I16" i="123" s="1"/>
  <c r="K93" i="121"/>
  <c r="E93" i="123"/>
  <c r="I93" i="123" s="1"/>
  <c r="K114" i="121"/>
  <c r="E114" i="123"/>
  <c r="I114" i="123" s="1"/>
  <c r="K117" i="121"/>
  <c r="E117" i="123"/>
  <c r="I117" i="123" s="1"/>
  <c r="K109" i="121"/>
  <c r="E109" i="123"/>
  <c r="I109" i="123" s="1"/>
  <c r="K91" i="121"/>
  <c r="E91" i="123"/>
  <c r="I91" i="123" s="1"/>
  <c r="E72" i="121"/>
  <c r="E138" i="121" s="1"/>
  <c r="K78" i="120"/>
  <c r="K137" i="120" s="1"/>
  <c r="I107" i="121"/>
  <c r="E109" i="126" s="1"/>
  <c r="E111" i="121"/>
  <c r="E144" i="121" s="1"/>
  <c r="K76" i="121"/>
  <c r="I80" i="121"/>
  <c r="I139" i="121" s="1"/>
  <c r="K52" i="122"/>
  <c r="K72" i="122" s="1"/>
  <c r="K138" i="122" s="1"/>
  <c r="I72" i="122"/>
  <c r="I138" i="122" s="1"/>
  <c r="E134" i="122"/>
  <c r="E143" i="121"/>
  <c r="I104" i="121"/>
  <c r="E106" i="126" s="1"/>
  <c r="I120" i="122"/>
  <c r="I145" i="122" s="1"/>
  <c r="K113" i="122"/>
  <c r="K120" i="122" s="1"/>
  <c r="K145" i="122" s="1"/>
  <c r="K15" i="121"/>
  <c r="I19" i="121"/>
  <c r="I135" i="121" s="1"/>
  <c r="I12" i="122"/>
  <c r="K9" i="122"/>
  <c r="K12" i="122" s="1"/>
  <c r="K27" i="122"/>
  <c r="K30" i="122" s="1"/>
  <c r="K137" i="122" s="1"/>
  <c r="I30" i="122"/>
  <c r="I137" i="122" s="1"/>
  <c r="E87" i="119"/>
  <c r="I87" i="119" s="1"/>
  <c r="E87" i="120" s="1"/>
  <c r="E89" i="122"/>
  <c r="I52" i="121"/>
  <c r="E52" i="126" s="1"/>
  <c r="E12" i="121"/>
  <c r="I9" i="121"/>
  <c r="E9" i="126" s="1"/>
  <c r="E30" i="121"/>
  <c r="E137" i="121" s="1"/>
  <c r="I27" i="121"/>
  <c r="E27" i="126" s="1"/>
  <c r="K104" i="122"/>
  <c r="K143" i="122" s="1"/>
  <c r="I143" i="122"/>
  <c r="E19" i="121"/>
  <c r="E135" i="121" s="1"/>
  <c r="E24" i="122"/>
  <c r="E136" i="122" s="1"/>
  <c r="I22" i="122"/>
  <c r="K107" i="122"/>
  <c r="K111" i="122" s="1"/>
  <c r="K144" i="122" s="1"/>
  <c r="I111" i="122"/>
  <c r="I144" i="122" s="1"/>
  <c r="K19" i="120"/>
  <c r="K133" i="120" s="1"/>
  <c r="I113" i="121"/>
  <c r="E115" i="126" s="1"/>
  <c r="E120" i="121"/>
  <c r="E145" i="121" s="1"/>
  <c r="E80" i="121"/>
  <c r="E139" i="121" s="1"/>
  <c r="K52" i="120"/>
  <c r="K70" i="120" s="1"/>
  <c r="K136" i="120" s="1"/>
  <c r="I70" i="120"/>
  <c r="I136" i="120" s="1"/>
  <c r="I30" i="120"/>
  <c r="I135" i="120" s="1"/>
  <c r="K27" i="120"/>
  <c r="K30" i="120" s="1"/>
  <c r="K135" i="120" s="1"/>
  <c r="K111" i="120"/>
  <c r="K118" i="120" s="1"/>
  <c r="K143" i="120" s="1"/>
  <c r="I118" i="120"/>
  <c r="I143" i="120" s="1"/>
  <c r="I141" i="120"/>
  <c r="K102" i="120"/>
  <c r="K141" i="120" s="1"/>
  <c r="I12" i="120"/>
  <c r="K9" i="120"/>
  <c r="K12" i="120" s="1"/>
  <c r="I22" i="120"/>
  <c r="E22" i="121" s="1"/>
  <c r="E24" i="120"/>
  <c r="E134" i="120" s="1"/>
  <c r="I109" i="120"/>
  <c r="I142" i="120" s="1"/>
  <c r="K105" i="120"/>
  <c r="K109" i="120" s="1"/>
  <c r="K142" i="120" s="1"/>
  <c r="K22" i="119"/>
  <c r="K24" i="119" s="1"/>
  <c r="K134" i="119" s="1"/>
  <c r="I24" i="119"/>
  <c r="I134" i="119" s="1"/>
  <c r="E139" i="117"/>
  <c r="E145" i="117" s="1"/>
  <c r="E120" i="117"/>
  <c r="E122" i="117" s="1"/>
  <c r="I84" i="117"/>
  <c r="K84" i="117"/>
  <c r="K87" i="117"/>
  <c r="K94" i="117" s="1"/>
  <c r="I94" i="117"/>
  <c r="E147" i="116"/>
  <c r="I139" i="116"/>
  <c r="I145" i="116" s="1"/>
  <c r="I120" i="116"/>
  <c r="I122" i="116" s="1"/>
  <c r="K139" i="116"/>
  <c r="K145" i="116" s="1"/>
  <c r="K120" i="116"/>
  <c r="K122" i="116" s="1"/>
  <c r="E84" i="119" l="1"/>
  <c r="E12" i="126"/>
  <c r="I9" i="126"/>
  <c r="I115" i="126"/>
  <c r="E122" i="126"/>
  <c r="E147" i="126" s="1"/>
  <c r="E145" i="126"/>
  <c r="I106" i="126"/>
  <c r="E113" i="126"/>
  <c r="E146" i="126" s="1"/>
  <c r="I109" i="126"/>
  <c r="I27" i="126"/>
  <c r="E30" i="126"/>
  <c r="E139" i="126" s="1"/>
  <c r="I52" i="126"/>
  <c r="E74" i="126"/>
  <c r="E140" i="126" s="1"/>
  <c r="I19" i="126"/>
  <c r="I137" i="126" s="1"/>
  <c r="K15" i="126"/>
  <c r="K19" i="126" s="1"/>
  <c r="K137" i="126" s="1"/>
  <c r="E80" i="123"/>
  <c r="E139" i="123" s="1"/>
  <c r="K78" i="126"/>
  <c r="K82" i="126" s="1"/>
  <c r="K141" i="126" s="1"/>
  <c r="I82" i="126"/>
  <c r="I141" i="126" s="1"/>
  <c r="I76" i="123"/>
  <c r="E78" i="124" s="1"/>
  <c r="I78" i="124" s="1"/>
  <c r="E78" i="125" s="1"/>
  <c r="K92" i="124"/>
  <c r="E92" i="125"/>
  <c r="I92" i="125" s="1"/>
  <c r="K120" i="124"/>
  <c r="E120" i="125"/>
  <c r="I120" i="125" s="1"/>
  <c r="K96" i="124"/>
  <c r="E96" i="125"/>
  <c r="I96" i="125" s="1"/>
  <c r="K63" i="124"/>
  <c r="E63" i="125"/>
  <c r="I63" i="125" s="1"/>
  <c r="K59" i="124"/>
  <c r="E59" i="125"/>
  <c r="I59" i="125" s="1"/>
  <c r="K80" i="124"/>
  <c r="E80" i="125"/>
  <c r="I80" i="125" s="1"/>
  <c r="K16" i="123"/>
  <c r="E16" i="124"/>
  <c r="I16" i="124" s="1"/>
  <c r="K117" i="123"/>
  <c r="E119" i="124"/>
  <c r="I119" i="124" s="1"/>
  <c r="K116" i="123"/>
  <c r="E118" i="124"/>
  <c r="I118" i="124" s="1"/>
  <c r="K77" i="123"/>
  <c r="E79" i="124"/>
  <c r="I79" i="124" s="1"/>
  <c r="K115" i="123"/>
  <c r="E117" i="124"/>
  <c r="I117" i="124" s="1"/>
  <c r="K108" i="123"/>
  <c r="E110" i="124"/>
  <c r="I110" i="124" s="1"/>
  <c r="K93" i="123"/>
  <c r="E95" i="124"/>
  <c r="I95" i="124" s="1"/>
  <c r="K53" i="123"/>
  <c r="E53" i="124"/>
  <c r="I53" i="124" s="1"/>
  <c r="K109" i="123"/>
  <c r="E111" i="124"/>
  <c r="I111" i="124" s="1"/>
  <c r="K114" i="123"/>
  <c r="E116" i="124"/>
  <c r="I116" i="124" s="1"/>
  <c r="K10" i="123"/>
  <c r="E10" i="124"/>
  <c r="I10" i="124" s="1"/>
  <c r="K92" i="123"/>
  <c r="E94" i="124"/>
  <c r="I94" i="124" s="1"/>
  <c r="K28" i="123"/>
  <c r="E28" i="124"/>
  <c r="I28" i="124" s="1"/>
  <c r="K17" i="123"/>
  <c r="E17" i="124"/>
  <c r="I17" i="124" s="1"/>
  <c r="K91" i="123"/>
  <c r="E93" i="124"/>
  <c r="I93" i="124" s="1"/>
  <c r="E27" i="123"/>
  <c r="I27" i="123" s="1"/>
  <c r="E27" i="124" s="1"/>
  <c r="E9" i="123"/>
  <c r="E12" i="123" s="1"/>
  <c r="E113" i="123"/>
  <c r="I113" i="123" s="1"/>
  <c r="E115" i="124" s="1"/>
  <c r="E104" i="123"/>
  <c r="E143" i="123" s="1"/>
  <c r="E107" i="123"/>
  <c r="E111" i="123" s="1"/>
  <c r="E144" i="123" s="1"/>
  <c r="I15" i="124"/>
  <c r="E15" i="125" s="1"/>
  <c r="K80" i="121"/>
  <c r="K139" i="121" s="1"/>
  <c r="E19" i="123"/>
  <c r="E135" i="123" s="1"/>
  <c r="K15" i="123"/>
  <c r="I19" i="123"/>
  <c r="I135" i="123" s="1"/>
  <c r="I72" i="121"/>
  <c r="I138" i="121" s="1"/>
  <c r="E52" i="123"/>
  <c r="K19" i="121"/>
  <c r="K135" i="121" s="1"/>
  <c r="K76" i="123"/>
  <c r="E84" i="120"/>
  <c r="E86" i="122"/>
  <c r="I12" i="121"/>
  <c r="K9" i="121"/>
  <c r="K12" i="121" s="1"/>
  <c r="K134" i="122"/>
  <c r="E94" i="119"/>
  <c r="E139" i="119" s="1"/>
  <c r="E145" i="119" s="1"/>
  <c r="K113" i="121"/>
  <c r="K120" i="121" s="1"/>
  <c r="K145" i="121" s="1"/>
  <c r="I120" i="121"/>
  <c r="I145" i="121" s="1"/>
  <c r="I24" i="122"/>
  <c r="I136" i="122" s="1"/>
  <c r="K22" i="122"/>
  <c r="K24" i="122" s="1"/>
  <c r="K136" i="122" s="1"/>
  <c r="E134" i="121"/>
  <c r="I134" i="122"/>
  <c r="E24" i="121"/>
  <c r="E136" i="121" s="1"/>
  <c r="I22" i="121"/>
  <c r="E22" i="126" s="1"/>
  <c r="K27" i="121"/>
  <c r="K30" i="121" s="1"/>
  <c r="K137" i="121" s="1"/>
  <c r="I30" i="121"/>
  <c r="I137" i="121" s="1"/>
  <c r="K104" i="121"/>
  <c r="K143" i="121" s="1"/>
  <c r="I143" i="121"/>
  <c r="I89" i="122"/>
  <c r="E96" i="122"/>
  <c r="K52" i="121"/>
  <c r="K107" i="121"/>
  <c r="K111" i="121" s="1"/>
  <c r="K144" i="121" s="1"/>
  <c r="I111" i="121"/>
  <c r="I144" i="121" s="1"/>
  <c r="I87" i="120"/>
  <c r="E89" i="121" s="1"/>
  <c r="E94" i="120"/>
  <c r="K22" i="120"/>
  <c r="K24" i="120" s="1"/>
  <c r="K134" i="120" s="1"/>
  <c r="I24" i="120"/>
  <c r="I134" i="120" s="1"/>
  <c r="K132" i="120"/>
  <c r="I132" i="120"/>
  <c r="K84" i="119"/>
  <c r="I84" i="119"/>
  <c r="I94" i="119"/>
  <c r="K87" i="119"/>
  <c r="K94" i="119" s="1"/>
  <c r="E147" i="117"/>
  <c r="I139" i="117"/>
  <c r="I145" i="117" s="1"/>
  <c r="I120" i="117"/>
  <c r="I122" i="117" s="1"/>
  <c r="K139" i="117"/>
  <c r="K145" i="117" s="1"/>
  <c r="K120" i="117"/>
  <c r="K122" i="117" s="1"/>
  <c r="I147" i="116"/>
  <c r="K147" i="116"/>
  <c r="E90" i="130" l="1"/>
  <c r="I90" i="130" s="1"/>
  <c r="K90" i="130" s="1"/>
  <c r="E130" i="130"/>
  <c r="I130" i="130" s="1"/>
  <c r="K130" i="130" s="1"/>
  <c r="E63" i="130"/>
  <c r="I63" i="130" s="1"/>
  <c r="K63" i="130" s="1"/>
  <c r="E59" i="130"/>
  <c r="I59" i="130" s="1"/>
  <c r="K59" i="130" s="1"/>
  <c r="E106" i="130"/>
  <c r="I106" i="130" s="1"/>
  <c r="K106" i="130" s="1"/>
  <c r="E102" i="130"/>
  <c r="I102" i="130" s="1"/>
  <c r="K102" i="130" s="1"/>
  <c r="I80" i="123"/>
  <c r="I139" i="123" s="1"/>
  <c r="E120" i="119"/>
  <c r="E122" i="119" s="1"/>
  <c r="E147" i="119" s="1"/>
  <c r="E94" i="115"/>
  <c r="E139" i="115" s="1"/>
  <c r="K96" i="125"/>
  <c r="E96" i="127"/>
  <c r="I96" i="127" s="1"/>
  <c r="K80" i="125"/>
  <c r="E80" i="127"/>
  <c r="I80" i="127" s="1"/>
  <c r="K63" i="125"/>
  <c r="E63" i="127"/>
  <c r="I63" i="127" s="1"/>
  <c r="K59" i="125"/>
  <c r="E59" i="127"/>
  <c r="I59" i="127" s="1"/>
  <c r="K92" i="125"/>
  <c r="E92" i="127"/>
  <c r="I92" i="127" s="1"/>
  <c r="K120" i="125"/>
  <c r="E120" i="127"/>
  <c r="I120" i="127" s="1"/>
  <c r="K27" i="126"/>
  <c r="K30" i="126" s="1"/>
  <c r="K139" i="126" s="1"/>
  <c r="I30" i="126"/>
  <c r="I139" i="126" s="1"/>
  <c r="K80" i="123"/>
  <c r="K139" i="123" s="1"/>
  <c r="E30" i="123"/>
  <c r="E137" i="123" s="1"/>
  <c r="I113" i="126"/>
  <c r="I146" i="126" s="1"/>
  <c r="K109" i="126"/>
  <c r="K113" i="126" s="1"/>
  <c r="K146" i="126" s="1"/>
  <c r="E24" i="126"/>
  <c r="E138" i="126" s="1"/>
  <c r="I22" i="126"/>
  <c r="K52" i="126"/>
  <c r="K74" i="126" s="1"/>
  <c r="K140" i="126" s="1"/>
  <c r="I74" i="126"/>
  <c r="I140" i="126" s="1"/>
  <c r="K115" i="126"/>
  <c r="K122" i="126" s="1"/>
  <c r="K147" i="126" s="1"/>
  <c r="I122" i="126"/>
  <c r="I147" i="126" s="1"/>
  <c r="E136" i="126"/>
  <c r="K106" i="126"/>
  <c r="K145" i="126" s="1"/>
  <c r="I145" i="126"/>
  <c r="K9" i="126"/>
  <c r="K12" i="126" s="1"/>
  <c r="I12" i="126"/>
  <c r="K93" i="124"/>
  <c r="E93" i="125"/>
  <c r="I93" i="125" s="1"/>
  <c r="K10" i="124"/>
  <c r="E10" i="125"/>
  <c r="I10" i="125" s="1"/>
  <c r="K95" i="124"/>
  <c r="E95" i="125"/>
  <c r="I95" i="125" s="1"/>
  <c r="K116" i="124"/>
  <c r="E116" i="125"/>
  <c r="I116" i="125" s="1"/>
  <c r="K28" i="124"/>
  <c r="E28" i="125"/>
  <c r="K117" i="124"/>
  <c r="E117" i="125"/>
  <c r="I117" i="125" s="1"/>
  <c r="K16" i="124"/>
  <c r="E16" i="125"/>
  <c r="I16" i="125" s="1"/>
  <c r="I15" i="125"/>
  <c r="E15" i="130" s="1"/>
  <c r="I78" i="125"/>
  <c r="E88" i="130" s="1"/>
  <c r="K111" i="124"/>
  <c r="E111" i="125"/>
  <c r="I111" i="125" s="1"/>
  <c r="K118" i="124"/>
  <c r="E118" i="125"/>
  <c r="I118" i="125" s="1"/>
  <c r="K17" i="124"/>
  <c r="E17" i="125"/>
  <c r="I17" i="125" s="1"/>
  <c r="K94" i="124"/>
  <c r="E94" i="125"/>
  <c r="I94" i="125" s="1"/>
  <c r="K53" i="124"/>
  <c r="E53" i="125"/>
  <c r="I53" i="125" s="1"/>
  <c r="K110" i="124"/>
  <c r="E110" i="125"/>
  <c r="I110" i="125" s="1"/>
  <c r="K79" i="124"/>
  <c r="E79" i="125"/>
  <c r="I79" i="125" s="1"/>
  <c r="K119" i="124"/>
  <c r="E119" i="125"/>
  <c r="I119" i="125" s="1"/>
  <c r="E120" i="123"/>
  <c r="E145" i="123" s="1"/>
  <c r="K19" i="123"/>
  <c r="K135" i="123" s="1"/>
  <c r="I107" i="123"/>
  <c r="E109" i="124" s="1"/>
  <c r="I109" i="124" s="1"/>
  <c r="E109" i="125" s="1"/>
  <c r="I104" i="123"/>
  <c r="E106" i="124" s="1"/>
  <c r="E145" i="124" s="1"/>
  <c r="E19" i="124"/>
  <c r="E137" i="124" s="1"/>
  <c r="E82" i="124"/>
  <c r="E141" i="124" s="1"/>
  <c r="I9" i="123"/>
  <c r="E9" i="124" s="1"/>
  <c r="E12" i="124" s="1"/>
  <c r="K78" i="124"/>
  <c r="I82" i="124"/>
  <c r="I141" i="124" s="1"/>
  <c r="K15" i="124"/>
  <c r="I19" i="124"/>
  <c r="I137" i="124" s="1"/>
  <c r="I115" i="124"/>
  <c r="E115" i="125" s="1"/>
  <c r="E122" i="124"/>
  <c r="E147" i="124" s="1"/>
  <c r="I27" i="124"/>
  <c r="E27" i="125" s="1"/>
  <c r="I27" i="125" s="1"/>
  <c r="E27" i="130" s="1"/>
  <c r="E30" i="124"/>
  <c r="E139" i="124" s="1"/>
  <c r="E22" i="123"/>
  <c r="I22" i="123" s="1"/>
  <c r="E22" i="124" s="1"/>
  <c r="I52" i="123"/>
  <c r="E52" i="124" s="1"/>
  <c r="E72" i="123"/>
  <c r="E138" i="123" s="1"/>
  <c r="K113" i="123"/>
  <c r="K120" i="123" s="1"/>
  <c r="K145" i="123" s="1"/>
  <c r="I120" i="123"/>
  <c r="I145" i="123" s="1"/>
  <c r="I30" i="123"/>
  <c r="I137" i="123" s="1"/>
  <c r="K27" i="123"/>
  <c r="K30" i="123" s="1"/>
  <c r="K137" i="123" s="1"/>
  <c r="E134" i="123"/>
  <c r="E86" i="121"/>
  <c r="K72" i="121"/>
  <c r="K138" i="121" s="1"/>
  <c r="K86" i="122"/>
  <c r="K134" i="121"/>
  <c r="K89" i="122"/>
  <c r="K96" i="122" s="1"/>
  <c r="I96" i="122"/>
  <c r="I89" i="121"/>
  <c r="E91" i="126" s="1"/>
  <c r="E96" i="121"/>
  <c r="K22" i="121"/>
  <c r="K24" i="121" s="1"/>
  <c r="K136" i="121" s="1"/>
  <c r="I24" i="121"/>
  <c r="I136" i="121" s="1"/>
  <c r="E141" i="122"/>
  <c r="E147" i="122" s="1"/>
  <c r="E122" i="122"/>
  <c r="E124" i="122" s="1"/>
  <c r="I86" i="122"/>
  <c r="I134" i="121"/>
  <c r="I84" i="120"/>
  <c r="K84" i="120"/>
  <c r="E120" i="120"/>
  <c r="E122" i="120" s="1"/>
  <c r="E139" i="120"/>
  <c r="E145" i="120" s="1"/>
  <c r="K87" i="120"/>
  <c r="K94" i="120" s="1"/>
  <c r="I94" i="120"/>
  <c r="K120" i="119"/>
  <c r="K122" i="119" s="1"/>
  <c r="K139" i="119"/>
  <c r="K145" i="119" s="1"/>
  <c r="I139" i="119"/>
  <c r="I145" i="119" s="1"/>
  <c r="I120" i="119"/>
  <c r="I122" i="119" s="1"/>
  <c r="K147" i="117"/>
  <c r="I147" i="117"/>
  <c r="I15" i="130" l="1"/>
  <c r="E129" i="130"/>
  <c r="I129" i="130" s="1"/>
  <c r="K129" i="130" s="1"/>
  <c r="E120" i="130"/>
  <c r="I120" i="130" s="1"/>
  <c r="K120" i="130" s="1"/>
  <c r="E104" i="130"/>
  <c r="I104" i="130" s="1"/>
  <c r="K104" i="130" s="1"/>
  <c r="E128" i="130"/>
  <c r="I128" i="130" s="1"/>
  <c r="K128" i="130" s="1"/>
  <c r="I88" i="130"/>
  <c r="E127" i="130"/>
  <c r="I127" i="130" s="1"/>
  <c r="K127" i="130" s="1"/>
  <c r="E126" i="130"/>
  <c r="I126" i="130" s="1"/>
  <c r="K126" i="130" s="1"/>
  <c r="E10" i="130"/>
  <c r="I10" i="130" s="1"/>
  <c r="K10" i="130" s="1"/>
  <c r="K80" i="127"/>
  <c r="E82" i="128"/>
  <c r="I82" i="128" s="1"/>
  <c r="I27" i="130"/>
  <c r="E53" i="130"/>
  <c r="I53" i="130" s="1"/>
  <c r="K53" i="130" s="1"/>
  <c r="E121" i="130"/>
  <c r="E16" i="130"/>
  <c r="I16" i="130" s="1"/>
  <c r="K16" i="130" s="1"/>
  <c r="E105" i="130"/>
  <c r="I105" i="130" s="1"/>
  <c r="K105" i="130" s="1"/>
  <c r="E103" i="130"/>
  <c r="I103" i="130" s="1"/>
  <c r="K103" i="130" s="1"/>
  <c r="K120" i="127"/>
  <c r="E122" i="128"/>
  <c r="I122" i="128" s="1"/>
  <c r="K59" i="127"/>
  <c r="E59" i="128"/>
  <c r="I59" i="128" s="1"/>
  <c r="E89" i="130"/>
  <c r="I89" i="130" s="1"/>
  <c r="K89" i="130" s="1"/>
  <c r="E17" i="130"/>
  <c r="I17" i="130" s="1"/>
  <c r="K17" i="130" s="1"/>
  <c r="K92" i="127"/>
  <c r="E94" i="128"/>
  <c r="I94" i="128" s="1"/>
  <c r="K63" i="127"/>
  <c r="E63" i="128"/>
  <c r="I63" i="128" s="1"/>
  <c r="K96" i="127"/>
  <c r="E98" i="128"/>
  <c r="I98" i="128" s="1"/>
  <c r="E78" i="127"/>
  <c r="I78" i="127" s="1"/>
  <c r="E80" i="128" s="1"/>
  <c r="E15" i="127"/>
  <c r="I15" i="127" s="1"/>
  <c r="E15" i="128" s="1"/>
  <c r="E27" i="127"/>
  <c r="I27" i="127" s="1"/>
  <c r="E27" i="128" s="1"/>
  <c r="E99" i="115"/>
  <c r="I96" i="115"/>
  <c r="I42" i="115"/>
  <c r="E70" i="115"/>
  <c r="I143" i="123"/>
  <c r="I73" i="115"/>
  <c r="E78" i="115"/>
  <c r="E137" i="115" s="1"/>
  <c r="K19" i="124"/>
  <c r="K137" i="124" s="1"/>
  <c r="K82" i="124"/>
  <c r="K141" i="124" s="1"/>
  <c r="K79" i="125"/>
  <c r="E79" i="127"/>
  <c r="I79" i="127" s="1"/>
  <c r="K53" i="125"/>
  <c r="E53" i="127"/>
  <c r="I53" i="127" s="1"/>
  <c r="K17" i="125"/>
  <c r="E17" i="127"/>
  <c r="I17" i="127" s="1"/>
  <c r="K111" i="125"/>
  <c r="E111" i="127"/>
  <c r="I111" i="127" s="1"/>
  <c r="K16" i="125"/>
  <c r="E16" i="127"/>
  <c r="I16" i="127" s="1"/>
  <c r="K95" i="125"/>
  <c r="E95" i="127"/>
  <c r="I95" i="127" s="1"/>
  <c r="K93" i="125"/>
  <c r="E93" i="127"/>
  <c r="I93" i="127" s="1"/>
  <c r="K119" i="125"/>
  <c r="E119" i="127"/>
  <c r="I119" i="127" s="1"/>
  <c r="K110" i="125"/>
  <c r="E110" i="127"/>
  <c r="I110" i="127" s="1"/>
  <c r="K94" i="125"/>
  <c r="E94" i="127"/>
  <c r="I94" i="127" s="1"/>
  <c r="K118" i="125"/>
  <c r="E118" i="127"/>
  <c r="I118" i="127" s="1"/>
  <c r="K117" i="125"/>
  <c r="E117" i="127"/>
  <c r="I117" i="127" s="1"/>
  <c r="K116" i="125"/>
  <c r="E116" i="127"/>
  <c r="I116" i="127" s="1"/>
  <c r="K10" i="125"/>
  <c r="E10" i="127"/>
  <c r="I10" i="127" s="1"/>
  <c r="I106" i="124"/>
  <c r="E106" i="125" s="1"/>
  <c r="E145" i="125" s="1"/>
  <c r="E88" i="126"/>
  <c r="I91" i="126"/>
  <c r="E98" i="126"/>
  <c r="I24" i="126"/>
  <c r="I138" i="126" s="1"/>
  <c r="K22" i="126"/>
  <c r="K24" i="126" s="1"/>
  <c r="K138" i="126" s="1"/>
  <c r="K107" i="123"/>
  <c r="K111" i="123" s="1"/>
  <c r="K144" i="123" s="1"/>
  <c r="K136" i="126"/>
  <c r="I12" i="123"/>
  <c r="I134" i="123" s="1"/>
  <c r="I136" i="126"/>
  <c r="E19" i="125"/>
  <c r="E137" i="125" s="1"/>
  <c r="K104" i="123"/>
  <c r="K143" i="123" s="1"/>
  <c r="I115" i="125"/>
  <c r="E125" i="130" s="1"/>
  <c r="E122" i="125"/>
  <c r="E147" i="125" s="1"/>
  <c r="I19" i="125"/>
  <c r="I137" i="125" s="1"/>
  <c r="K15" i="125"/>
  <c r="E82" i="125"/>
  <c r="E141" i="125" s="1"/>
  <c r="E30" i="125"/>
  <c r="E139" i="125" s="1"/>
  <c r="I28" i="125"/>
  <c r="E28" i="130" s="1"/>
  <c r="I28" i="130" s="1"/>
  <c r="K28" i="130" s="1"/>
  <c r="K27" i="125"/>
  <c r="I109" i="125"/>
  <c r="E119" i="130" s="1"/>
  <c r="I119" i="130" s="1"/>
  <c r="E113" i="125"/>
  <c r="E146" i="125" s="1"/>
  <c r="K78" i="125"/>
  <c r="I82" i="125"/>
  <c r="I141" i="125" s="1"/>
  <c r="I9" i="124"/>
  <c r="E9" i="125" s="1"/>
  <c r="K9" i="123"/>
  <c r="K12" i="123" s="1"/>
  <c r="K134" i="123" s="1"/>
  <c r="I111" i="123"/>
  <c r="I144" i="123" s="1"/>
  <c r="E113" i="124"/>
  <c r="E146" i="124" s="1"/>
  <c r="E24" i="123"/>
  <c r="E136" i="123" s="1"/>
  <c r="E74" i="124"/>
  <c r="E140" i="124" s="1"/>
  <c r="I52" i="124"/>
  <c r="E52" i="125" s="1"/>
  <c r="I30" i="124"/>
  <c r="I139" i="124" s="1"/>
  <c r="K27" i="124"/>
  <c r="K30" i="124" s="1"/>
  <c r="K139" i="124" s="1"/>
  <c r="I122" i="124"/>
  <c r="I147" i="124" s="1"/>
  <c r="K115" i="124"/>
  <c r="K122" i="124" s="1"/>
  <c r="K147" i="124" s="1"/>
  <c r="E89" i="123"/>
  <c r="E96" i="123" s="1"/>
  <c r="E24" i="124"/>
  <c r="E138" i="124" s="1"/>
  <c r="I22" i="124"/>
  <c r="E22" i="125" s="1"/>
  <c r="E136" i="124"/>
  <c r="K109" i="124"/>
  <c r="K113" i="124" s="1"/>
  <c r="K146" i="124" s="1"/>
  <c r="I113" i="124"/>
  <c r="I146" i="124" s="1"/>
  <c r="I24" i="123"/>
  <c r="I136" i="123" s="1"/>
  <c r="K22" i="123"/>
  <c r="K24" i="123" s="1"/>
  <c r="K136" i="123" s="1"/>
  <c r="K52" i="123"/>
  <c r="K72" i="123" s="1"/>
  <c r="K138" i="123" s="1"/>
  <c r="I72" i="123"/>
  <c r="I138" i="123" s="1"/>
  <c r="K86" i="121"/>
  <c r="E149" i="122"/>
  <c r="I96" i="121"/>
  <c r="K89" i="121"/>
  <c r="K96" i="121" s="1"/>
  <c r="I141" i="122"/>
  <c r="I147" i="122" s="1"/>
  <c r="I122" i="122"/>
  <c r="I124" i="122" s="1"/>
  <c r="I86" i="121"/>
  <c r="E141" i="121"/>
  <c r="E147" i="121" s="1"/>
  <c r="E122" i="121"/>
  <c r="E124" i="121" s="1"/>
  <c r="K141" i="122"/>
  <c r="K147" i="122" s="1"/>
  <c r="K122" i="122"/>
  <c r="K124" i="122" s="1"/>
  <c r="I139" i="120"/>
  <c r="I145" i="120" s="1"/>
  <c r="I120" i="120"/>
  <c r="I122" i="120" s="1"/>
  <c r="K139" i="120"/>
  <c r="K145" i="120" s="1"/>
  <c r="K120" i="120"/>
  <c r="K122" i="120" s="1"/>
  <c r="E147" i="120"/>
  <c r="K147" i="119"/>
  <c r="I147" i="119"/>
  <c r="K19" i="125" l="1"/>
  <c r="K137" i="125" s="1"/>
  <c r="E92" i="130"/>
  <c r="E151" i="130" s="1"/>
  <c r="K94" i="127"/>
  <c r="E96" i="128"/>
  <c r="I96" i="128" s="1"/>
  <c r="K95" i="127"/>
  <c r="E97" i="128"/>
  <c r="I97" i="128" s="1"/>
  <c r="K82" i="128"/>
  <c r="E88" i="129"/>
  <c r="I88" i="129" s="1"/>
  <c r="E93" i="144" s="1"/>
  <c r="I93" i="144" s="1"/>
  <c r="K116" i="127"/>
  <c r="E118" i="128"/>
  <c r="I118" i="128" s="1"/>
  <c r="K110" i="127"/>
  <c r="E112" i="128"/>
  <c r="I112" i="128" s="1"/>
  <c r="K16" i="127"/>
  <c r="E16" i="128"/>
  <c r="I16" i="128" s="1"/>
  <c r="K98" i="128"/>
  <c r="E104" i="129"/>
  <c r="I104" i="129" s="1"/>
  <c r="E109" i="144" s="1"/>
  <c r="I109" i="144" s="1"/>
  <c r="E112" i="147" s="1"/>
  <c r="I112" i="147" s="1"/>
  <c r="E113" i="150" s="1"/>
  <c r="I113" i="150" s="1"/>
  <c r="E115" i="153" s="1"/>
  <c r="I115" i="153" s="1"/>
  <c r="K115" i="153" s="1"/>
  <c r="K122" i="128"/>
  <c r="E128" i="129"/>
  <c r="I128" i="129" s="1"/>
  <c r="E134" i="144" s="1"/>
  <c r="I134" i="144" s="1"/>
  <c r="E137" i="147" s="1"/>
  <c r="I137" i="147" s="1"/>
  <c r="E140" i="150" s="1"/>
  <c r="I140" i="150" s="1"/>
  <c r="E142" i="153" s="1"/>
  <c r="I142" i="153" s="1"/>
  <c r="K142" i="153" s="1"/>
  <c r="E123" i="130"/>
  <c r="E156" i="130" s="1"/>
  <c r="I121" i="130"/>
  <c r="K121" i="130" s="1"/>
  <c r="I30" i="130"/>
  <c r="I149" i="130" s="1"/>
  <c r="K27" i="130"/>
  <c r="K30" i="130" s="1"/>
  <c r="K149" i="130" s="1"/>
  <c r="E19" i="130"/>
  <c r="E147" i="130" s="1"/>
  <c r="K119" i="127"/>
  <c r="E121" i="128"/>
  <c r="I121" i="128" s="1"/>
  <c r="K111" i="127"/>
  <c r="E113" i="128"/>
  <c r="I113" i="128" s="1"/>
  <c r="K53" i="127"/>
  <c r="E53" i="128"/>
  <c r="I53" i="128" s="1"/>
  <c r="K63" i="128"/>
  <c r="E63" i="129"/>
  <c r="I63" i="129" s="1"/>
  <c r="E63" i="144" s="1"/>
  <c r="I63" i="144" s="1"/>
  <c r="E63" i="147" s="1"/>
  <c r="I63" i="147" s="1"/>
  <c r="E63" i="150" s="1"/>
  <c r="I63" i="150" s="1"/>
  <c r="E65" i="153" s="1"/>
  <c r="I65" i="153" s="1"/>
  <c r="K65" i="153" s="1"/>
  <c r="K59" i="128"/>
  <c r="E59" i="129"/>
  <c r="I59" i="129" s="1"/>
  <c r="E59" i="144" s="1"/>
  <c r="I59" i="144" s="1"/>
  <c r="E59" i="147" s="1"/>
  <c r="I59" i="147" s="1"/>
  <c r="E59" i="150" s="1"/>
  <c r="I59" i="150" s="1"/>
  <c r="E59" i="153" s="1"/>
  <c r="I59" i="153" s="1"/>
  <c r="K59" i="153" s="1"/>
  <c r="K88" i="130"/>
  <c r="K92" i="130" s="1"/>
  <c r="K151" i="130" s="1"/>
  <c r="I92" i="130"/>
  <c r="I151" i="130" s="1"/>
  <c r="K119" i="130"/>
  <c r="I125" i="130"/>
  <c r="E132" i="130"/>
  <c r="E157" i="130" s="1"/>
  <c r="K118" i="127"/>
  <c r="E120" i="128"/>
  <c r="I120" i="128" s="1"/>
  <c r="K93" i="127"/>
  <c r="E95" i="128"/>
  <c r="I95" i="128" s="1"/>
  <c r="K17" i="127"/>
  <c r="E17" i="128"/>
  <c r="I17" i="128" s="1"/>
  <c r="K79" i="127"/>
  <c r="E81" i="128"/>
  <c r="I81" i="128" s="1"/>
  <c r="K94" i="128"/>
  <c r="E100" i="129"/>
  <c r="I100" i="129" s="1"/>
  <c r="E105" i="144" s="1"/>
  <c r="I105" i="144" s="1"/>
  <c r="E108" i="147" s="1"/>
  <c r="I108" i="147" s="1"/>
  <c r="E109" i="150" s="1"/>
  <c r="I109" i="150" s="1"/>
  <c r="E111" i="153" s="1"/>
  <c r="I111" i="153" s="1"/>
  <c r="K111" i="153" s="1"/>
  <c r="K10" i="127"/>
  <c r="E10" i="128"/>
  <c r="I10" i="128" s="1"/>
  <c r="K117" i="127"/>
  <c r="E119" i="128"/>
  <c r="I119" i="128" s="1"/>
  <c r="E30" i="130"/>
  <c r="E149" i="130" s="1"/>
  <c r="I19" i="130"/>
  <c r="I147" i="130" s="1"/>
  <c r="K15" i="130"/>
  <c r="K19" i="130" s="1"/>
  <c r="K147" i="130" s="1"/>
  <c r="I15" i="128"/>
  <c r="E15" i="129" s="1"/>
  <c r="E109" i="127"/>
  <c r="I109" i="127" s="1"/>
  <c r="E111" i="128" s="1"/>
  <c r="E115" i="127"/>
  <c r="I115" i="127" s="1"/>
  <c r="E117" i="128" s="1"/>
  <c r="I27" i="128"/>
  <c r="E27" i="129" s="1"/>
  <c r="I80" i="128"/>
  <c r="E86" i="129" s="1"/>
  <c r="I30" i="125"/>
  <c r="I139" i="125" s="1"/>
  <c r="K82" i="125"/>
  <c r="K141" i="125" s="1"/>
  <c r="I99" i="115"/>
  <c r="K96" i="115"/>
  <c r="K99" i="115" s="1"/>
  <c r="K106" i="124"/>
  <c r="K145" i="124" s="1"/>
  <c r="I78" i="115"/>
  <c r="I137" i="115" s="1"/>
  <c r="J73" i="115"/>
  <c r="J78" i="115" s="1"/>
  <c r="J137" i="115" s="1"/>
  <c r="E136" i="115"/>
  <c r="E84" i="115"/>
  <c r="E140" i="115"/>
  <c r="E120" i="115"/>
  <c r="J42" i="115"/>
  <c r="J70" i="115" s="1"/>
  <c r="I70" i="115"/>
  <c r="I145" i="124"/>
  <c r="I106" i="125"/>
  <c r="E116" i="130" s="1"/>
  <c r="E82" i="127"/>
  <c r="E141" i="127" s="1"/>
  <c r="K78" i="127"/>
  <c r="K82" i="127" s="1"/>
  <c r="K141" i="127" s="1"/>
  <c r="I82" i="127"/>
  <c r="I141" i="127" s="1"/>
  <c r="I19" i="127"/>
  <c r="I137" i="127" s="1"/>
  <c r="K15" i="127"/>
  <c r="K27" i="127"/>
  <c r="K28" i="125"/>
  <c r="K30" i="125" s="1"/>
  <c r="K139" i="125" s="1"/>
  <c r="E28" i="127"/>
  <c r="E19" i="127"/>
  <c r="E137" i="127" s="1"/>
  <c r="I88" i="126"/>
  <c r="K9" i="124"/>
  <c r="K12" i="124" s="1"/>
  <c r="K136" i="124" s="1"/>
  <c r="K88" i="126"/>
  <c r="I12" i="124"/>
  <c r="I136" i="124" s="1"/>
  <c r="E143" i="126"/>
  <c r="E149" i="126" s="1"/>
  <c r="E124" i="126"/>
  <c r="E126" i="126" s="1"/>
  <c r="E86" i="123"/>
  <c r="I98" i="126"/>
  <c r="K91" i="126"/>
  <c r="K98" i="126" s="1"/>
  <c r="I52" i="125"/>
  <c r="E52" i="130" s="1"/>
  <c r="E74" i="125"/>
  <c r="E140" i="125" s="1"/>
  <c r="E24" i="125"/>
  <c r="E138" i="125" s="1"/>
  <c r="I22" i="125"/>
  <c r="E22" i="130" s="1"/>
  <c r="K115" i="125"/>
  <c r="K122" i="125" s="1"/>
  <c r="K147" i="125" s="1"/>
  <c r="I122" i="125"/>
  <c r="I147" i="125" s="1"/>
  <c r="E12" i="125"/>
  <c r="I9" i="125"/>
  <c r="E9" i="130" s="1"/>
  <c r="K109" i="125"/>
  <c r="K113" i="125" s="1"/>
  <c r="K146" i="125" s="1"/>
  <c r="I113" i="125"/>
  <c r="I146" i="125" s="1"/>
  <c r="K52" i="124"/>
  <c r="K74" i="124" s="1"/>
  <c r="K140" i="124" s="1"/>
  <c r="I74" i="124"/>
  <c r="I140" i="124" s="1"/>
  <c r="E88" i="124"/>
  <c r="I89" i="123"/>
  <c r="E91" i="124" s="1"/>
  <c r="I91" i="124" s="1"/>
  <c r="E91" i="125" s="1"/>
  <c r="I24" i="124"/>
  <c r="I138" i="124" s="1"/>
  <c r="K22" i="124"/>
  <c r="K24" i="124" s="1"/>
  <c r="K138" i="124" s="1"/>
  <c r="K86" i="123"/>
  <c r="I86" i="123"/>
  <c r="E141" i="123"/>
  <c r="E147" i="123" s="1"/>
  <c r="E122" i="123"/>
  <c r="I147" i="120"/>
  <c r="I149" i="122"/>
  <c r="K149" i="122"/>
  <c r="K141" i="121"/>
  <c r="K147" i="121" s="1"/>
  <c r="K122" i="121"/>
  <c r="K124" i="121" s="1"/>
  <c r="E149" i="121"/>
  <c r="I141" i="121"/>
  <c r="I147" i="121" s="1"/>
  <c r="I122" i="121"/>
  <c r="I124" i="121" s="1"/>
  <c r="K147" i="120"/>
  <c r="K113" i="150" l="1"/>
  <c r="E115" i="151"/>
  <c r="I115" i="151" s="1"/>
  <c r="K63" i="150"/>
  <c r="E63" i="151"/>
  <c r="I63" i="151" s="1"/>
  <c r="K109" i="150"/>
  <c r="E111" i="151"/>
  <c r="I111" i="151" s="1"/>
  <c r="K140" i="150"/>
  <c r="E142" i="151"/>
  <c r="I142" i="151" s="1"/>
  <c r="K59" i="150"/>
  <c r="E59" i="151"/>
  <c r="I59" i="151" s="1"/>
  <c r="K108" i="147"/>
  <c r="E108" i="148"/>
  <c r="I108" i="148" s="1"/>
  <c r="K63" i="147"/>
  <c r="E63" i="148"/>
  <c r="I63" i="148" s="1"/>
  <c r="K137" i="147"/>
  <c r="E139" i="148"/>
  <c r="I139" i="148" s="1"/>
  <c r="K112" i="147"/>
  <c r="E112" i="148"/>
  <c r="I112" i="148" s="1"/>
  <c r="K59" i="147"/>
  <c r="E59" i="148"/>
  <c r="I59" i="148" s="1"/>
  <c r="E94" i="145"/>
  <c r="I96" i="147"/>
  <c r="K109" i="144"/>
  <c r="E110" i="145"/>
  <c r="I110" i="145" s="1"/>
  <c r="K63" i="144"/>
  <c r="E63" i="145"/>
  <c r="I63" i="145" s="1"/>
  <c r="K105" i="144"/>
  <c r="E106" i="145"/>
  <c r="I106" i="145" s="1"/>
  <c r="K134" i="144"/>
  <c r="E135" i="145"/>
  <c r="I135" i="145" s="1"/>
  <c r="K59" i="144"/>
  <c r="E59" i="145"/>
  <c r="I59" i="145" s="1"/>
  <c r="K93" i="144"/>
  <c r="K100" i="129"/>
  <c r="E100" i="135"/>
  <c r="I100" i="135" s="1"/>
  <c r="K100" i="135" s="1"/>
  <c r="K104" i="129"/>
  <c r="E104" i="135"/>
  <c r="I104" i="135" s="1"/>
  <c r="K104" i="135" s="1"/>
  <c r="K88" i="129"/>
  <c r="E88" i="135"/>
  <c r="I88" i="135" s="1"/>
  <c r="K88" i="135" s="1"/>
  <c r="K63" i="129"/>
  <c r="E63" i="135"/>
  <c r="I63" i="135" s="1"/>
  <c r="K63" i="135" s="1"/>
  <c r="K128" i="129"/>
  <c r="E128" i="135"/>
  <c r="I128" i="135" s="1"/>
  <c r="K128" i="135" s="1"/>
  <c r="K59" i="129"/>
  <c r="E59" i="135"/>
  <c r="I59" i="135" s="1"/>
  <c r="K59" i="135" s="1"/>
  <c r="E113" i="127"/>
  <c r="E146" i="127" s="1"/>
  <c r="E84" i="128"/>
  <c r="E143" i="128" s="1"/>
  <c r="K123" i="130"/>
  <c r="K156" i="130" s="1"/>
  <c r="E12" i="130"/>
  <c r="I9" i="130"/>
  <c r="K96" i="128"/>
  <c r="E102" i="129"/>
  <c r="I102" i="129" s="1"/>
  <c r="E107" i="144" s="1"/>
  <c r="I107" i="144" s="1"/>
  <c r="E110" i="147" s="1"/>
  <c r="I110" i="147" s="1"/>
  <c r="E111" i="150" s="1"/>
  <c r="I111" i="150" s="1"/>
  <c r="E113" i="153" s="1"/>
  <c r="I113" i="153" s="1"/>
  <c r="K113" i="153" s="1"/>
  <c r="K19" i="127"/>
  <c r="K137" i="127" s="1"/>
  <c r="E80" i="130"/>
  <c r="E150" i="130" s="1"/>
  <c r="I52" i="130"/>
  <c r="I27" i="129"/>
  <c r="I15" i="129"/>
  <c r="K119" i="128"/>
  <c r="E125" i="129"/>
  <c r="I125" i="129" s="1"/>
  <c r="E131" i="144" s="1"/>
  <c r="I131" i="144" s="1"/>
  <c r="E134" i="147" s="1"/>
  <c r="I134" i="147" s="1"/>
  <c r="E137" i="150" s="1"/>
  <c r="I137" i="150" s="1"/>
  <c r="E139" i="153" s="1"/>
  <c r="I139" i="153" s="1"/>
  <c r="K139" i="153" s="1"/>
  <c r="K17" i="128"/>
  <c r="E17" i="129"/>
  <c r="I17" i="129" s="1"/>
  <c r="K120" i="128"/>
  <c r="E126" i="129"/>
  <c r="I126" i="129" s="1"/>
  <c r="E132" i="144" s="1"/>
  <c r="I132" i="144" s="1"/>
  <c r="E135" i="147" s="1"/>
  <c r="I135" i="147" s="1"/>
  <c r="E138" i="150" s="1"/>
  <c r="I123" i="130"/>
  <c r="I156" i="130" s="1"/>
  <c r="K53" i="128"/>
  <c r="E53" i="129"/>
  <c r="I53" i="129" s="1"/>
  <c r="E53" i="144" s="1"/>
  <c r="I53" i="144" s="1"/>
  <c r="E53" i="147" s="1"/>
  <c r="I53" i="147" s="1"/>
  <c r="E53" i="150" s="1"/>
  <c r="I53" i="150" s="1"/>
  <c r="E53" i="153" s="1"/>
  <c r="I53" i="153" s="1"/>
  <c r="K53" i="153" s="1"/>
  <c r="K121" i="128"/>
  <c r="E127" i="129"/>
  <c r="I127" i="129" s="1"/>
  <c r="E133" i="144" s="1"/>
  <c r="I133" i="144" s="1"/>
  <c r="E136" i="147" s="1"/>
  <c r="I136" i="147" s="1"/>
  <c r="E139" i="150" s="1"/>
  <c r="I139" i="150" s="1"/>
  <c r="E141" i="153" s="1"/>
  <c r="I141" i="153" s="1"/>
  <c r="K141" i="153" s="1"/>
  <c r="I22" i="130"/>
  <c r="E24" i="130"/>
  <c r="E148" i="130" s="1"/>
  <c r="K112" i="128"/>
  <c r="E118" i="129"/>
  <c r="I118" i="129" s="1"/>
  <c r="E122" i="127"/>
  <c r="E147" i="127" s="1"/>
  <c r="K10" i="128"/>
  <c r="E10" i="129"/>
  <c r="I10" i="129" s="1"/>
  <c r="E10" i="144" s="1"/>
  <c r="I10" i="144" s="1"/>
  <c r="E10" i="147" s="1"/>
  <c r="I10" i="147" s="1"/>
  <c r="E10" i="150" s="1"/>
  <c r="I10" i="150" s="1"/>
  <c r="E10" i="153" s="1"/>
  <c r="I10" i="153" s="1"/>
  <c r="K10" i="153" s="1"/>
  <c r="K81" i="128"/>
  <c r="E87" i="129"/>
  <c r="I87" i="129" s="1"/>
  <c r="E91" i="144" s="1"/>
  <c r="I91" i="144" s="1"/>
  <c r="K95" i="128"/>
  <c r="E101" i="129"/>
  <c r="I101" i="129" s="1"/>
  <c r="E106" i="144" s="1"/>
  <c r="I106" i="144" s="1"/>
  <c r="E109" i="147" s="1"/>
  <c r="I109" i="147" s="1"/>
  <c r="E110" i="150" s="1"/>
  <c r="K113" i="128"/>
  <c r="E119" i="129"/>
  <c r="I119" i="129" s="1"/>
  <c r="E125" i="144" s="1"/>
  <c r="I125" i="144" s="1"/>
  <c r="E128" i="147" s="1"/>
  <c r="I128" i="147" s="1"/>
  <c r="E131" i="150" s="1"/>
  <c r="I131" i="150" s="1"/>
  <c r="E133" i="153" s="1"/>
  <c r="I133" i="153" s="1"/>
  <c r="K133" i="153" s="1"/>
  <c r="E155" i="130"/>
  <c r="I116" i="130"/>
  <c r="I86" i="129"/>
  <c r="E19" i="128"/>
  <c r="E139" i="128" s="1"/>
  <c r="K125" i="130"/>
  <c r="K132" i="130" s="1"/>
  <c r="K157" i="130" s="1"/>
  <c r="I132" i="130"/>
  <c r="I157" i="130" s="1"/>
  <c r="K16" i="128"/>
  <c r="E16" i="129"/>
  <c r="I16" i="129" s="1"/>
  <c r="E16" i="144" s="1"/>
  <c r="I16" i="144" s="1"/>
  <c r="E16" i="147" s="1"/>
  <c r="I16" i="147" s="1"/>
  <c r="E16" i="150" s="1"/>
  <c r="K118" i="128"/>
  <c r="E124" i="129"/>
  <c r="I124" i="129" s="1"/>
  <c r="E130" i="144" s="1"/>
  <c r="I130" i="144" s="1"/>
  <c r="E133" i="147" s="1"/>
  <c r="I133" i="147" s="1"/>
  <c r="E136" i="150" s="1"/>
  <c r="I136" i="150" s="1"/>
  <c r="E138" i="153" s="1"/>
  <c r="I138" i="153" s="1"/>
  <c r="K138" i="153" s="1"/>
  <c r="K97" i="128"/>
  <c r="E103" i="129"/>
  <c r="I103" i="129" s="1"/>
  <c r="E108" i="144" s="1"/>
  <c r="I108" i="144" s="1"/>
  <c r="E111" i="147" s="1"/>
  <c r="I111" i="147" s="1"/>
  <c r="E112" i="150" s="1"/>
  <c r="I112" i="150" s="1"/>
  <c r="E114" i="153" s="1"/>
  <c r="I114" i="153" s="1"/>
  <c r="K114" i="153" s="1"/>
  <c r="E9" i="127"/>
  <c r="I9" i="127" s="1"/>
  <c r="E9" i="128" s="1"/>
  <c r="E22" i="127"/>
  <c r="I22" i="127" s="1"/>
  <c r="E22" i="128" s="1"/>
  <c r="E115" i="128"/>
  <c r="E148" i="128" s="1"/>
  <c r="I111" i="128"/>
  <c r="E117" i="129" s="1"/>
  <c r="K27" i="128"/>
  <c r="E106" i="127"/>
  <c r="I106" i="127" s="1"/>
  <c r="I117" i="128"/>
  <c r="E123" i="129" s="1"/>
  <c r="E124" i="128"/>
  <c r="E149" i="128" s="1"/>
  <c r="E52" i="127"/>
  <c r="I52" i="127" s="1"/>
  <c r="E52" i="128" s="1"/>
  <c r="K80" i="128"/>
  <c r="I84" i="128"/>
  <c r="I143" i="128" s="1"/>
  <c r="K15" i="128"/>
  <c r="I19" i="128"/>
  <c r="I139" i="128" s="1"/>
  <c r="E145" i="115"/>
  <c r="K42" i="115"/>
  <c r="K70" i="115" s="1"/>
  <c r="K136" i="115" s="1"/>
  <c r="K106" i="125"/>
  <c r="K145" i="125" s="1"/>
  <c r="E122" i="115"/>
  <c r="I145" i="125"/>
  <c r="K73" i="115"/>
  <c r="K78" i="115" s="1"/>
  <c r="K137" i="115" s="1"/>
  <c r="K140" i="115"/>
  <c r="K120" i="115"/>
  <c r="I136" i="115"/>
  <c r="I84" i="115"/>
  <c r="J136" i="115"/>
  <c r="J145" i="115" s="1"/>
  <c r="J84" i="115"/>
  <c r="J122" i="115" s="1"/>
  <c r="I140" i="115"/>
  <c r="I120" i="115"/>
  <c r="E124" i="123"/>
  <c r="E149" i="123" s="1"/>
  <c r="E151" i="126"/>
  <c r="I122" i="127"/>
  <c r="I147" i="127" s="1"/>
  <c r="K115" i="127"/>
  <c r="K122" i="127" s="1"/>
  <c r="K147" i="127" s="1"/>
  <c r="I28" i="127"/>
  <c r="E28" i="128" s="1"/>
  <c r="I28" i="128" s="1"/>
  <c r="E30" i="127"/>
  <c r="E139" i="127" s="1"/>
  <c r="K109" i="127"/>
  <c r="K113" i="127" s="1"/>
  <c r="K146" i="127" s="1"/>
  <c r="I113" i="127"/>
  <c r="I146" i="127" s="1"/>
  <c r="K143" i="126"/>
  <c r="K149" i="126" s="1"/>
  <c r="K124" i="126"/>
  <c r="K126" i="126" s="1"/>
  <c r="I143" i="126"/>
  <c r="I149" i="126" s="1"/>
  <c r="I124" i="126"/>
  <c r="I126" i="126" s="1"/>
  <c r="I91" i="125"/>
  <c r="E101" i="130" s="1"/>
  <c r="E98" i="125"/>
  <c r="K9" i="125"/>
  <c r="K12" i="125" s="1"/>
  <c r="I12" i="125"/>
  <c r="K22" i="125"/>
  <c r="K24" i="125" s="1"/>
  <c r="K138" i="125" s="1"/>
  <c r="I24" i="125"/>
  <c r="I138" i="125" s="1"/>
  <c r="E88" i="125"/>
  <c r="E136" i="125"/>
  <c r="K52" i="125"/>
  <c r="K74" i="125" s="1"/>
  <c r="K140" i="125" s="1"/>
  <c r="I74" i="125"/>
  <c r="I140" i="125" s="1"/>
  <c r="E98" i="124"/>
  <c r="E124" i="124" s="1"/>
  <c r="E126" i="124" s="1"/>
  <c r="K89" i="123"/>
  <c r="K96" i="123" s="1"/>
  <c r="K141" i="123" s="1"/>
  <c r="K147" i="123" s="1"/>
  <c r="I96" i="123"/>
  <c r="I122" i="123" s="1"/>
  <c r="I124" i="123" s="1"/>
  <c r="I88" i="124"/>
  <c r="I98" i="124"/>
  <c r="K91" i="124"/>
  <c r="K98" i="124" s="1"/>
  <c r="K88" i="124"/>
  <c r="K149" i="121"/>
  <c r="I149" i="121"/>
  <c r="I145" i="115" l="1"/>
  <c r="K96" i="147"/>
  <c r="E98" i="150"/>
  <c r="I98" i="150" s="1"/>
  <c r="K142" i="151"/>
  <c r="E142" i="152"/>
  <c r="I142" i="152" s="1"/>
  <c r="K142" i="152" s="1"/>
  <c r="K63" i="151"/>
  <c r="E63" i="152"/>
  <c r="I63" i="152" s="1"/>
  <c r="K63" i="152" s="1"/>
  <c r="K59" i="151"/>
  <c r="E59" i="152"/>
  <c r="I59" i="152" s="1"/>
  <c r="K59" i="152" s="1"/>
  <c r="K111" i="151"/>
  <c r="E111" i="152"/>
  <c r="I111" i="152" s="1"/>
  <c r="K111" i="152" s="1"/>
  <c r="K115" i="151"/>
  <c r="E115" i="152"/>
  <c r="I115" i="152" s="1"/>
  <c r="K115" i="152" s="1"/>
  <c r="K111" i="150"/>
  <c r="E113" i="151"/>
  <c r="I113" i="151" s="1"/>
  <c r="K136" i="150"/>
  <c r="E138" i="151"/>
  <c r="I138" i="151" s="1"/>
  <c r="K10" i="150"/>
  <c r="E10" i="151"/>
  <c r="I10" i="151" s="1"/>
  <c r="K137" i="150"/>
  <c r="E139" i="151"/>
  <c r="I139" i="151" s="1"/>
  <c r="K139" i="150"/>
  <c r="E141" i="151"/>
  <c r="I141" i="151" s="1"/>
  <c r="K53" i="150"/>
  <c r="E53" i="151"/>
  <c r="I53" i="151" s="1"/>
  <c r="K112" i="150"/>
  <c r="E114" i="151"/>
  <c r="I114" i="151" s="1"/>
  <c r="K131" i="150"/>
  <c r="E133" i="151"/>
  <c r="I133" i="151" s="1"/>
  <c r="I110" i="150"/>
  <c r="E112" i="153" s="1"/>
  <c r="I112" i="153" s="1"/>
  <c r="K112" i="153" s="1"/>
  <c r="I16" i="150"/>
  <c r="E16" i="153" s="1"/>
  <c r="I16" i="153" s="1"/>
  <c r="K16" i="153" s="1"/>
  <c r="I138" i="150"/>
  <c r="E140" i="153" s="1"/>
  <c r="I140" i="153" s="1"/>
  <c r="K140" i="153" s="1"/>
  <c r="K112" i="148"/>
  <c r="E112" i="149"/>
  <c r="I112" i="149" s="1"/>
  <c r="K112" i="149" s="1"/>
  <c r="K63" i="148"/>
  <c r="E63" i="149"/>
  <c r="I63" i="149" s="1"/>
  <c r="K63" i="149" s="1"/>
  <c r="K59" i="148"/>
  <c r="E59" i="149"/>
  <c r="I59" i="149" s="1"/>
  <c r="K59" i="149" s="1"/>
  <c r="K139" i="148"/>
  <c r="E139" i="149"/>
  <c r="I139" i="149" s="1"/>
  <c r="K139" i="149" s="1"/>
  <c r="K108" i="148"/>
  <c r="E108" i="149"/>
  <c r="I108" i="149" s="1"/>
  <c r="K108" i="149" s="1"/>
  <c r="K53" i="147"/>
  <c r="E53" i="148"/>
  <c r="I53" i="148" s="1"/>
  <c r="K145" i="115"/>
  <c r="K111" i="147"/>
  <c r="E111" i="148"/>
  <c r="I111" i="148" s="1"/>
  <c r="K16" i="147"/>
  <c r="E16" i="148"/>
  <c r="I16" i="148" s="1"/>
  <c r="K128" i="147"/>
  <c r="E130" i="148"/>
  <c r="I130" i="148" s="1"/>
  <c r="K136" i="147"/>
  <c r="E138" i="148"/>
  <c r="I138" i="148" s="1"/>
  <c r="K110" i="147"/>
  <c r="E110" i="148"/>
  <c r="I110" i="148" s="1"/>
  <c r="K133" i="147"/>
  <c r="E135" i="148"/>
  <c r="I135" i="148" s="1"/>
  <c r="K109" i="147"/>
  <c r="E109" i="148"/>
  <c r="I109" i="148" s="1"/>
  <c r="K10" i="147"/>
  <c r="E10" i="148"/>
  <c r="I10" i="148" s="1"/>
  <c r="K135" i="147"/>
  <c r="E137" i="148"/>
  <c r="I137" i="148" s="1"/>
  <c r="K134" i="147"/>
  <c r="E136" i="148"/>
  <c r="I136" i="148" s="1"/>
  <c r="K91" i="144"/>
  <c r="I94" i="147"/>
  <c r="E96" i="150" s="1"/>
  <c r="I96" i="150" s="1"/>
  <c r="K135" i="145"/>
  <c r="E135" i="146"/>
  <c r="I135" i="146" s="1"/>
  <c r="K135" i="146" s="1"/>
  <c r="K106" i="145"/>
  <c r="E106" i="146"/>
  <c r="K110" i="145"/>
  <c r="E110" i="146"/>
  <c r="I110" i="146" s="1"/>
  <c r="K110" i="146" s="1"/>
  <c r="K63" i="145"/>
  <c r="E63" i="146"/>
  <c r="I63" i="146" s="1"/>
  <c r="K63" i="146" s="1"/>
  <c r="K59" i="145"/>
  <c r="E59" i="146"/>
  <c r="I59" i="146" s="1"/>
  <c r="K59" i="146" s="1"/>
  <c r="K125" i="144"/>
  <c r="E126" i="145"/>
  <c r="I126" i="145" s="1"/>
  <c r="K106" i="144"/>
  <c r="E107" i="145"/>
  <c r="I107" i="145" s="1"/>
  <c r="K53" i="144"/>
  <c r="E53" i="145"/>
  <c r="I53" i="145" s="1"/>
  <c r="K133" i="144"/>
  <c r="E134" i="145"/>
  <c r="I134" i="145" s="1"/>
  <c r="K107" i="144"/>
  <c r="E108" i="145"/>
  <c r="I108" i="145" s="1"/>
  <c r="K108" i="144"/>
  <c r="E109" i="145"/>
  <c r="I109" i="145" s="1"/>
  <c r="K16" i="144"/>
  <c r="E16" i="145"/>
  <c r="I16" i="145" s="1"/>
  <c r="E17" i="144"/>
  <c r="I17" i="144" s="1"/>
  <c r="K17" i="144" s="1"/>
  <c r="E17" i="145"/>
  <c r="I17" i="145" s="1"/>
  <c r="E17" i="147" s="1"/>
  <c r="I17" i="147" s="1"/>
  <c r="E17" i="150" s="1"/>
  <c r="I17" i="150" s="1"/>
  <c r="E17" i="153" s="1"/>
  <c r="I17" i="153" s="1"/>
  <c r="K17" i="153" s="1"/>
  <c r="K130" i="144"/>
  <c r="E131" i="145"/>
  <c r="I131" i="145" s="1"/>
  <c r="K10" i="144"/>
  <c r="E10" i="145"/>
  <c r="I10" i="145" s="1"/>
  <c r="K132" i="144"/>
  <c r="E133" i="145"/>
  <c r="I133" i="145" s="1"/>
  <c r="K131" i="144"/>
  <c r="E132" i="145"/>
  <c r="I132" i="145" s="1"/>
  <c r="I94" i="145"/>
  <c r="E94" i="146" s="1"/>
  <c r="E96" i="145"/>
  <c r="E15" i="135"/>
  <c r="I15" i="135" s="1"/>
  <c r="E15" i="144"/>
  <c r="E86" i="135"/>
  <c r="I86" i="135" s="1"/>
  <c r="E90" i="144"/>
  <c r="E27" i="135"/>
  <c r="I27" i="135" s="1"/>
  <c r="E27" i="144"/>
  <c r="K103" i="129"/>
  <c r="E103" i="135"/>
  <c r="I103" i="135" s="1"/>
  <c r="K103" i="135" s="1"/>
  <c r="K16" i="129"/>
  <c r="E16" i="135"/>
  <c r="I16" i="135" s="1"/>
  <c r="K16" i="135" s="1"/>
  <c r="K119" i="129"/>
  <c r="E119" i="135"/>
  <c r="I119" i="135" s="1"/>
  <c r="K119" i="135" s="1"/>
  <c r="K87" i="129"/>
  <c r="E87" i="135"/>
  <c r="I87" i="135" s="1"/>
  <c r="K87" i="135" s="1"/>
  <c r="K17" i="129"/>
  <c r="E17" i="135"/>
  <c r="I17" i="135" s="1"/>
  <c r="K17" i="135" s="1"/>
  <c r="K118" i="129"/>
  <c r="E118" i="135"/>
  <c r="I118" i="135" s="1"/>
  <c r="K118" i="135" s="1"/>
  <c r="K127" i="129"/>
  <c r="E127" i="135"/>
  <c r="I127" i="135" s="1"/>
  <c r="K127" i="135" s="1"/>
  <c r="K102" i="129"/>
  <c r="E102" i="135"/>
  <c r="I102" i="135" s="1"/>
  <c r="K102" i="135" s="1"/>
  <c r="K124" i="129"/>
  <c r="E124" i="135"/>
  <c r="I124" i="135" s="1"/>
  <c r="K124" i="135" s="1"/>
  <c r="K101" i="129"/>
  <c r="E101" i="135"/>
  <c r="I101" i="135" s="1"/>
  <c r="K101" i="135" s="1"/>
  <c r="K10" i="129"/>
  <c r="E10" i="135"/>
  <c r="I10" i="135" s="1"/>
  <c r="K10" i="135" s="1"/>
  <c r="K126" i="129"/>
  <c r="E126" i="135"/>
  <c r="I126" i="135" s="1"/>
  <c r="K126" i="135" s="1"/>
  <c r="K125" i="129"/>
  <c r="E125" i="135"/>
  <c r="I125" i="135" s="1"/>
  <c r="K125" i="135" s="1"/>
  <c r="K53" i="129"/>
  <c r="E53" i="135"/>
  <c r="I53" i="135" s="1"/>
  <c r="K53" i="135" s="1"/>
  <c r="E12" i="127"/>
  <c r="E136" i="127" s="1"/>
  <c r="E24" i="127"/>
  <c r="E138" i="127" s="1"/>
  <c r="K84" i="128"/>
  <c r="K143" i="128" s="1"/>
  <c r="E98" i="130"/>
  <c r="I123" i="129"/>
  <c r="E130" i="129"/>
  <c r="E155" i="129" s="1"/>
  <c r="K86" i="129"/>
  <c r="I90" i="129"/>
  <c r="I149" i="129" s="1"/>
  <c r="E19" i="129"/>
  <c r="E145" i="129" s="1"/>
  <c r="E90" i="129"/>
  <c r="E149" i="129" s="1"/>
  <c r="K9" i="130"/>
  <c r="K12" i="130" s="1"/>
  <c r="I12" i="130"/>
  <c r="I101" i="130"/>
  <c r="E108" i="130"/>
  <c r="E74" i="127"/>
  <c r="E140" i="127" s="1"/>
  <c r="K19" i="128"/>
  <c r="K139" i="128" s="1"/>
  <c r="E121" i="129"/>
  <c r="E154" i="129" s="1"/>
  <c r="I117" i="129"/>
  <c r="K27" i="129"/>
  <c r="I24" i="130"/>
  <c r="I148" i="130" s="1"/>
  <c r="K22" i="130"/>
  <c r="K24" i="130" s="1"/>
  <c r="K148" i="130" s="1"/>
  <c r="K52" i="130"/>
  <c r="K80" i="130" s="1"/>
  <c r="K150" i="130" s="1"/>
  <c r="I80" i="130"/>
  <c r="I150" i="130" s="1"/>
  <c r="I145" i="127"/>
  <c r="E108" i="128"/>
  <c r="I108" i="128" s="1"/>
  <c r="E114" i="129" s="1"/>
  <c r="I19" i="129"/>
  <c r="I145" i="129" s="1"/>
  <c r="K15" i="129"/>
  <c r="K28" i="128"/>
  <c r="K30" i="128" s="1"/>
  <c r="K141" i="128" s="1"/>
  <c r="E28" i="129"/>
  <c r="I155" i="130"/>
  <c r="K116" i="130"/>
  <c r="K155" i="130" s="1"/>
  <c r="E146" i="130"/>
  <c r="I30" i="128"/>
  <c r="I141" i="128" s="1"/>
  <c r="E30" i="128"/>
  <c r="E141" i="128" s="1"/>
  <c r="K106" i="127"/>
  <c r="K145" i="127" s="1"/>
  <c r="K117" i="128"/>
  <c r="K124" i="128" s="1"/>
  <c r="K149" i="128" s="1"/>
  <c r="I124" i="128"/>
  <c r="I149" i="128" s="1"/>
  <c r="E24" i="128"/>
  <c r="E140" i="128" s="1"/>
  <c r="I22" i="128"/>
  <c r="E22" i="129" s="1"/>
  <c r="E91" i="127"/>
  <c r="I91" i="127" s="1"/>
  <c r="E93" i="128" s="1"/>
  <c r="E76" i="128"/>
  <c r="E142" i="128" s="1"/>
  <c r="I52" i="128"/>
  <c r="E52" i="129" s="1"/>
  <c r="K111" i="128"/>
  <c r="K115" i="128" s="1"/>
  <c r="K148" i="128" s="1"/>
  <c r="I115" i="128"/>
  <c r="I148" i="128" s="1"/>
  <c r="I9" i="128"/>
  <c r="E9" i="129" s="1"/>
  <c r="E12" i="128"/>
  <c r="E145" i="127"/>
  <c r="E147" i="115"/>
  <c r="K84" i="115"/>
  <c r="K122" i="115" s="1"/>
  <c r="I122" i="115"/>
  <c r="I147" i="115" s="1"/>
  <c r="J147" i="115"/>
  <c r="I12" i="127"/>
  <c r="I136" i="127" s="1"/>
  <c r="K9" i="127"/>
  <c r="K12" i="127" s="1"/>
  <c r="K136" i="127" s="1"/>
  <c r="K52" i="127"/>
  <c r="K74" i="127" s="1"/>
  <c r="K140" i="127" s="1"/>
  <c r="I74" i="127"/>
  <c r="I140" i="127" s="1"/>
  <c r="K28" i="127"/>
  <c r="K30" i="127" s="1"/>
  <c r="K139" i="127" s="1"/>
  <c r="I30" i="127"/>
  <c r="I139" i="127" s="1"/>
  <c r="I24" i="127"/>
  <c r="K22" i="127"/>
  <c r="K24" i="127" s="1"/>
  <c r="I141" i="123"/>
  <c r="I147" i="123" s="1"/>
  <c r="I149" i="123" s="1"/>
  <c r="K151" i="126"/>
  <c r="I151" i="126"/>
  <c r="I88" i="125"/>
  <c r="I136" i="125"/>
  <c r="K136" i="125"/>
  <c r="K88" i="125"/>
  <c r="E143" i="125"/>
  <c r="E149" i="125" s="1"/>
  <c r="E124" i="125"/>
  <c r="E126" i="125" s="1"/>
  <c r="E143" i="124"/>
  <c r="E149" i="124" s="1"/>
  <c r="E151" i="124" s="1"/>
  <c r="K91" i="125"/>
  <c r="K98" i="125" s="1"/>
  <c r="I98" i="125"/>
  <c r="K122" i="123"/>
  <c r="K124" i="123" s="1"/>
  <c r="K149" i="123" s="1"/>
  <c r="I124" i="124"/>
  <c r="I126" i="124" s="1"/>
  <c r="I143" i="124"/>
  <c r="I149" i="124" s="1"/>
  <c r="K143" i="124"/>
  <c r="K149" i="124" s="1"/>
  <c r="K124" i="124"/>
  <c r="K126" i="124" s="1"/>
  <c r="E98" i="153" l="1"/>
  <c r="I98" i="153" s="1"/>
  <c r="K98" i="153" s="1"/>
  <c r="K96" i="150"/>
  <c r="E98" i="151"/>
  <c r="I98" i="151" s="1"/>
  <c r="E100" i="153"/>
  <c r="I100" i="153" s="1"/>
  <c r="K100" i="153" s="1"/>
  <c r="K98" i="150"/>
  <c r="E100" i="151"/>
  <c r="I100" i="151" s="1"/>
  <c r="K114" i="151"/>
  <c r="E114" i="152"/>
  <c r="I114" i="152" s="1"/>
  <c r="K114" i="152" s="1"/>
  <c r="K141" i="151"/>
  <c r="E141" i="152"/>
  <c r="I141" i="152" s="1"/>
  <c r="K141" i="152" s="1"/>
  <c r="K10" i="151"/>
  <c r="E10" i="152"/>
  <c r="K113" i="151"/>
  <c r="E113" i="152"/>
  <c r="I113" i="152" s="1"/>
  <c r="K113" i="152" s="1"/>
  <c r="K133" i="151"/>
  <c r="E133" i="152"/>
  <c r="K53" i="151"/>
  <c r="E53" i="152"/>
  <c r="I53" i="152" s="1"/>
  <c r="K53" i="152" s="1"/>
  <c r="K139" i="151"/>
  <c r="E139" i="152"/>
  <c r="I139" i="152" s="1"/>
  <c r="K139" i="152" s="1"/>
  <c r="K138" i="151"/>
  <c r="E138" i="152"/>
  <c r="I138" i="152" s="1"/>
  <c r="K138" i="152" s="1"/>
  <c r="K17" i="150"/>
  <c r="E17" i="151"/>
  <c r="I17" i="151" s="1"/>
  <c r="K138" i="150"/>
  <c r="E140" i="151"/>
  <c r="I140" i="151" s="1"/>
  <c r="K16" i="150"/>
  <c r="E16" i="151"/>
  <c r="I16" i="151" s="1"/>
  <c r="K110" i="150"/>
  <c r="E112" i="151"/>
  <c r="I112" i="151" s="1"/>
  <c r="K147" i="115"/>
  <c r="K53" i="148"/>
  <c r="E53" i="149"/>
  <c r="I53" i="149" s="1"/>
  <c r="K53" i="149" s="1"/>
  <c r="K137" i="148"/>
  <c r="E137" i="149"/>
  <c r="I137" i="149" s="1"/>
  <c r="K137" i="149" s="1"/>
  <c r="K109" i="148"/>
  <c r="E109" i="149"/>
  <c r="I109" i="149" s="1"/>
  <c r="K109" i="149" s="1"/>
  <c r="K110" i="148"/>
  <c r="E110" i="149"/>
  <c r="I110" i="149" s="1"/>
  <c r="K110" i="149" s="1"/>
  <c r="K130" i="148"/>
  <c r="E130" i="149"/>
  <c r="I130" i="149" s="1"/>
  <c r="K130" i="149" s="1"/>
  <c r="K111" i="148"/>
  <c r="E111" i="149"/>
  <c r="I111" i="149" s="1"/>
  <c r="K111" i="149" s="1"/>
  <c r="K136" i="148"/>
  <c r="E136" i="149"/>
  <c r="I136" i="149" s="1"/>
  <c r="K136" i="149" s="1"/>
  <c r="K10" i="148"/>
  <c r="E10" i="149"/>
  <c r="I10" i="149" s="1"/>
  <c r="K10" i="149" s="1"/>
  <c r="K135" i="148"/>
  <c r="E135" i="149"/>
  <c r="I135" i="149" s="1"/>
  <c r="K135" i="149" s="1"/>
  <c r="K138" i="148"/>
  <c r="E138" i="149"/>
  <c r="I138" i="149" s="1"/>
  <c r="K138" i="149" s="1"/>
  <c r="K16" i="148"/>
  <c r="E16" i="149"/>
  <c r="I16" i="149" s="1"/>
  <c r="K16" i="149" s="1"/>
  <c r="K94" i="147"/>
  <c r="E95" i="148"/>
  <c r="I95" i="148" s="1"/>
  <c r="K17" i="147"/>
  <c r="E17" i="148"/>
  <c r="I17" i="148" s="1"/>
  <c r="K133" i="145"/>
  <c r="E133" i="146"/>
  <c r="I133" i="146" s="1"/>
  <c r="K133" i="146" s="1"/>
  <c r="K131" i="145"/>
  <c r="E131" i="146"/>
  <c r="I131" i="146" s="1"/>
  <c r="K131" i="146" s="1"/>
  <c r="K108" i="145"/>
  <c r="E108" i="146"/>
  <c r="I108" i="146" s="1"/>
  <c r="K108" i="146" s="1"/>
  <c r="K126" i="145"/>
  <c r="E126" i="146"/>
  <c r="I126" i="146" s="1"/>
  <c r="K126" i="146" s="1"/>
  <c r="I106" i="146"/>
  <c r="I94" i="146"/>
  <c r="E96" i="146"/>
  <c r="E175" i="146" s="1"/>
  <c r="K132" i="145"/>
  <c r="E132" i="146"/>
  <c r="I132" i="146" s="1"/>
  <c r="K132" i="146" s="1"/>
  <c r="K109" i="145"/>
  <c r="E109" i="146"/>
  <c r="I109" i="146" s="1"/>
  <c r="K109" i="146" s="1"/>
  <c r="K134" i="145"/>
  <c r="E134" i="146"/>
  <c r="I134" i="146" s="1"/>
  <c r="K134" i="146" s="1"/>
  <c r="K107" i="145"/>
  <c r="E107" i="146"/>
  <c r="I107" i="146" s="1"/>
  <c r="K107" i="146" s="1"/>
  <c r="K10" i="145"/>
  <c r="E10" i="146"/>
  <c r="I10" i="146" s="1"/>
  <c r="K10" i="146" s="1"/>
  <c r="K17" i="145"/>
  <c r="E17" i="146"/>
  <c r="I17" i="146" s="1"/>
  <c r="K17" i="146" s="1"/>
  <c r="K16" i="145"/>
  <c r="E16" i="146"/>
  <c r="I16" i="146" s="1"/>
  <c r="K16" i="146" s="1"/>
  <c r="K53" i="145"/>
  <c r="E53" i="146"/>
  <c r="I53" i="146" s="1"/>
  <c r="K53" i="146" s="1"/>
  <c r="E175" i="145"/>
  <c r="K94" i="145"/>
  <c r="K96" i="145" s="1"/>
  <c r="I96" i="145"/>
  <c r="E117" i="135"/>
  <c r="I117" i="135" s="1"/>
  <c r="E123" i="144"/>
  <c r="I90" i="144"/>
  <c r="E95" i="144"/>
  <c r="E174" i="144" s="1"/>
  <c r="I27" i="144"/>
  <c r="I15" i="144"/>
  <c r="E19" i="144"/>
  <c r="E170" i="144" s="1"/>
  <c r="E123" i="135"/>
  <c r="I123" i="135" s="1"/>
  <c r="E129" i="144"/>
  <c r="E90" i="135"/>
  <c r="E168" i="135" s="1"/>
  <c r="K86" i="135"/>
  <c r="K90" i="135" s="1"/>
  <c r="K168" i="135" s="1"/>
  <c r="I90" i="135"/>
  <c r="I168" i="135" s="1"/>
  <c r="E19" i="135"/>
  <c r="E164" i="135" s="1"/>
  <c r="K27" i="135"/>
  <c r="K15" i="135"/>
  <c r="K19" i="135" s="1"/>
  <c r="K164" i="135" s="1"/>
  <c r="I19" i="135"/>
  <c r="I164" i="135" s="1"/>
  <c r="K19" i="129"/>
  <c r="K145" i="129" s="1"/>
  <c r="K90" i="129"/>
  <c r="K149" i="129" s="1"/>
  <c r="E147" i="128"/>
  <c r="K98" i="130"/>
  <c r="E88" i="127"/>
  <c r="I98" i="130"/>
  <c r="K146" i="130"/>
  <c r="I9" i="129"/>
  <c r="E12" i="129"/>
  <c r="E24" i="129"/>
  <c r="E146" i="129" s="1"/>
  <c r="I22" i="129"/>
  <c r="I28" i="129"/>
  <c r="E30" i="129"/>
  <c r="E147" i="129" s="1"/>
  <c r="E153" i="130"/>
  <c r="E159" i="130" s="1"/>
  <c r="E134" i="130"/>
  <c r="E136" i="130" s="1"/>
  <c r="I146" i="130"/>
  <c r="E153" i="129"/>
  <c r="I114" i="129"/>
  <c r="I121" i="129"/>
  <c r="I154" i="129" s="1"/>
  <c r="K117" i="129"/>
  <c r="K121" i="129" s="1"/>
  <c r="K154" i="129" s="1"/>
  <c r="E98" i="127"/>
  <c r="E124" i="127" s="1"/>
  <c r="I52" i="129"/>
  <c r="E80" i="129"/>
  <c r="E148" i="129" s="1"/>
  <c r="I108" i="130"/>
  <c r="K101" i="130"/>
  <c r="K108" i="130" s="1"/>
  <c r="K123" i="129"/>
  <c r="K130" i="129" s="1"/>
  <c r="K155" i="129" s="1"/>
  <c r="I130" i="129"/>
  <c r="I155" i="129" s="1"/>
  <c r="E138" i="128"/>
  <c r="E90" i="128"/>
  <c r="K52" i="128"/>
  <c r="K76" i="128" s="1"/>
  <c r="K142" i="128" s="1"/>
  <c r="I76" i="128"/>
  <c r="K22" i="128"/>
  <c r="K24" i="128" s="1"/>
  <c r="K140" i="128" s="1"/>
  <c r="I24" i="128"/>
  <c r="I140" i="128" s="1"/>
  <c r="I93" i="128"/>
  <c r="E99" i="129" s="1"/>
  <c r="E100" i="128"/>
  <c r="K9" i="128"/>
  <c r="K12" i="128" s="1"/>
  <c r="I12" i="128"/>
  <c r="I138" i="128" s="1"/>
  <c r="I147" i="128"/>
  <c r="K108" i="128"/>
  <c r="K147" i="128" s="1"/>
  <c r="K91" i="127"/>
  <c r="K98" i="127" s="1"/>
  <c r="I98" i="127"/>
  <c r="I138" i="127"/>
  <c r="I88" i="127"/>
  <c r="K138" i="127"/>
  <c r="K88" i="127"/>
  <c r="E151" i="125"/>
  <c r="I143" i="125"/>
  <c r="I149" i="125" s="1"/>
  <c r="I124" i="125"/>
  <c r="I126" i="125" s="1"/>
  <c r="K143" i="125"/>
  <c r="K149" i="125" s="1"/>
  <c r="K124" i="125"/>
  <c r="K126" i="125" s="1"/>
  <c r="I151" i="124"/>
  <c r="K151" i="124"/>
  <c r="K100" i="151" l="1"/>
  <c r="E100" i="152"/>
  <c r="I100" i="152" s="1"/>
  <c r="K100" i="152" s="1"/>
  <c r="K98" i="151"/>
  <c r="E98" i="152"/>
  <c r="I98" i="152" s="1"/>
  <c r="K98" i="152" s="1"/>
  <c r="K140" i="151"/>
  <c r="E140" i="152"/>
  <c r="I140" i="152" s="1"/>
  <c r="K140" i="152" s="1"/>
  <c r="K16" i="151"/>
  <c r="E16" i="152"/>
  <c r="I16" i="152" s="1"/>
  <c r="K16" i="152" s="1"/>
  <c r="K17" i="151"/>
  <c r="E17" i="152"/>
  <c r="I17" i="152" s="1"/>
  <c r="K17" i="152" s="1"/>
  <c r="I133" i="152"/>
  <c r="K133" i="152" s="1"/>
  <c r="I10" i="152"/>
  <c r="K10" i="152" s="1"/>
  <c r="K112" i="151"/>
  <c r="E112" i="152"/>
  <c r="I112" i="152" s="1"/>
  <c r="K112" i="152" s="1"/>
  <c r="K95" i="148"/>
  <c r="E95" i="149"/>
  <c r="I95" i="149" s="1"/>
  <c r="K95" i="149" s="1"/>
  <c r="K17" i="148"/>
  <c r="E17" i="149"/>
  <c r="I17" i="149" s="1"/>
  <c r="K17" i="149" s="1"/>
  <c r="E27" i="145"/>
  <c r="I27" i="145" s="1"/>
  <c r="E27" i="146" s="1"/>
  <c r="E27" i="147"/>
  <c r="E15" i="145"/>
  <c r="E19" i="145" s="1"/>
  <c r="E171" i="145" s="1"/>
  <c r="E15" i="147"/>
  <c r="K94" i="146"/>
  <c r="K96" i="146" s="1"/>
  <c r="K175" i="146" s="1"/>
  <c r="I96" i="146"/>
  <c r="I175" i="146" s="1"/>
  <c r="I93" i="147"/>
  <c r="E98" i="147"/>
  <c r="K106" i="146"/>
  <c r="I175" i="145"/>
  <c r="K175" i="145"/>
  <c r="E121" i="135"/>
  <c r="E173" i="135" s="1"/>
  <c r="E131" i="135"/>
  <c r="E174" i="135" s="1"/>
  <c r="E22" i="135"/>
  <c r="E24" i="135" s="1"/>
  <c r="E165" i="135" s="1"/>
  <c r="E22" i="144"/>
  <c r="E52" i="135"/>
  <c r="E80" i="135" s="1"/>
  <c r="E167" i="135" s="1"/>
  <c r="E52" i="144"/>
  <c r="E114" i="135"/>
  <c r="E172" i="135" s="1"/>
  <c r="E119" i="144"/>
  <c r="K15" i="144"/>
  <c r="K19" i="144" s="1"/>
  <c r="K170" i="144" s="1"/>
  <c r="I19" i="144"/>
  <c r="I170" i="144" s="1"/>
  <c r="K90" i="144"/>
  <c r="K95" i="144" s="1"/>
  <c r="K174" i="144" s="1"/>
  <c r="I95" i="144"/>
  <c r="I174" i="144" s="1"/>
  <c r="I129" i="144"/>
  <c r="E137" i="144"/>
  <c r="E180" i="144" s="1"/>
  <c r="E127" i="144"/>
  <c r="E179" i="144" s="1"/>
  <c r="I123" i="144"/>
  <c r="E28" i="135"/>
  <c r="I28" i="135" s="1"/>
  <c r="E28" i="144"/>
  <c r="E9" i="135"/>
  <c r="I9" i="135" s="1"/>
  <c r="E9" i="144"/>
  <c r="K27" i="144"/>
  <c r="K117" i="135"/>
  <c r="K121" i="135" s="1"/>
  <c r="K173" i="135" s="1"/>
  <c r="I121" i="135"/>
  <c r="I173" i="135" s="1"/>
  <c r="K123" i="135"/>
  <c r="K131" i="135" s="1"/>
  <c r="K174" i="135" s="1"/>
  <c r="I131" i="135"/>
  <c r="I174" i="135" s="1"/>
  <c r="E161" i="130"/>
  <c r="E126" i="127"/>
  <c r="E143" i="127"/>
  <c r="E149" i="127" s="1"/>
  <c r="E96" i="129"/>
  <c r="K153" i="130"/>
  <c r="K159" i="130" s="1"/>
  <c r="K134" i="130"/>
  <c r="K136" i="130" s="1"/>
  <c r="K9" i="129"/>
  <c r="K12" i="129" s="1"/>
  <c r="I12" i="129"/>
  <c r="I153" i="130"/>
  <c r="I159" i="130" s="1"/>
  <c r="I134" i="130"/>
  <c r="I136" i="130" s="1"/>
  <c r="I99" i="129"/>
  <c r="E105" i="145" s="1"/>
  <c r="E106" i="129"/>
  <c r="K52" i="129"/>
  <c r="K80" i="129" s="1"/>
  <c r="K148" i="129" s="1"/>
  <c r="I80" i="129"/>
  <c r="I148" i="129" s="1"/>
  <c r="K114" i="129"/>
  <c r="K153" i="129" s="1"/>
  <c r="I153" i="129"/>
  <c r="K28" i="129"/>
  <c r="K30" i="129" s="1"/>
  <c r="K147" i="129" s="1"/>
  <c r="I30" i="129"/>
  <c r="I147" i="129" s="1"/>
  <c r="E144" i="129"/>
  <c r="I24" i="129"/>
  <c r="I146" i="129" s="1"/>
  <c r="K22" i="129"/>
  <c r="K24" i="129" s="1"/>
  <c r="K146" i="129" s="1"/>
  <c r="K138" i="128"/>
  <c r="K90" i="128"/>
  <c r="E126" i="128"/>
  <c r="E128" i="128" s="1"/>
  <c r="E145" i="128"/>
  <c r="E151" i="128" s="1"/>
  <c r="K93" i="128"/>
  <c r="K100" i="128" s="1"/>
  <c r="I100" i="128"/>
  <c r="I143" i="127"/>
  <c r="I149" i="127" s="1"/>
  <c r="I124" i="127"/>
  <c r="I126" i="127" s="1"/>
  <c r="K143" i="127"/>
  <c r="K149" i="127" s="1"/>
  <c r="K124" i="127"/>
  <c r="K126" i="127" s="1"/>
  <c r="K151" i="125"/>
  <c r="I151" i="125"/>
  <c r="E94" i="148" l="1"/>
  <c r="I94" i="148" s="1"/>
  <c r="E94" i="149" s="1"/>
  <c r="E95" i="150"/>
  <c r="I114" i="135"/>
  <c r="I172" i="135" s="1"/>
  <c r="I15" i="145"/>
  <c r="E15" i="146" s="1"/>
  <c r="E19" i="146" s="1"/>
  <c r="E171" i="146" s="1"/>
  <c r="E12" i="135"/>
  <c r="E163" i="135" s="1"/>
  <c r="I15" i="147"/>
  <c r="E19" i="147"/>
  <c r="E173" i="147" s="1"/>
  <c r="I27" i="147"/>
  <c r="E124" i="145"/>
  <c r="E128" i="145" s="1"/>
  <c r="E180" i="145" s="1"/>
  <c r="E126" i="147"/>
  <c r="I22" i="135"/>
  <c r="I24" i="135" s="1"/>
  <c r="I165" i="135" s="1"/>
  <c r="E130" i="145"/>
  <c r="I130" i="145" s="1"/>
  <c r="E130" i="146" s="1"/>
  <c r="E132" i="147"/>
  <c r="E177" i="147"/>
  <c r="K93" i="147"/>
  <c r="K98" i="147" s="1"/>
  <c r="I98" i="147"/>
  <c r="I27" i="146"/>
  <c r="K27" i="145"/>
  <c r="I105" i="145"/>
  <c r="E105" i="146" s="1"/>
  <c r="E112" i="145"/>
  <c r="E177" i="145" s="1"/>
  <c r="E30" i="135"/>
  <c r="E166" i="135" s="1"/>
  <c r="I52" i="135"/>
  <c r="K52" i="135" s="1"/>
  <c r="K80" i="135" s="1"/>
  <c r="K167" i="135" s="1"/>
  <c r="I28" i="144"/>
  <c r="E30" i="144"/>
  <c r="E172" i="144" s="1"/>
  <c r="E82" i="144"/>
  <c r="E173" i="144" s="1"/>
  <c r="I52" i="144"/>
  <c r="K129" i="144"/>
  <c r="K137" i="144" s="1"/>
  <c r="K180" i="144" s="1"/>
  <c r="I137" i="144"/>
  <c r="I180" i="144" s="1"/>
  <c r="E12" i="144"/>
  <c r="I9" i="144"/>
  <c r="K123" i="144"/>
  <c r="K127" i="144" s="1"/>
  <c r="K179" i="144" s="1"/>
  <c r="I127" i="144"/>
  <c r="I179" i="144" s="1"/>
  <c r="E121" i="144"/>
  <c r="E178" i="144"/>
  <c r="I119" i="144"/>
  <c r="E120" i="145" s="1"/>
  <c r="I22" i="144"/>
  <c r="E24" i="144"/>
  <c r="E171" i="144" s="1"/>
  <c r="E99" i="135"/>
  <c r="I99" i="135" s="1"/>
  <c r="E104" i="144"/>
  <c r="K28" i="135"/>
  <c r="K30" i="135" s="1"/>
  <c r="K166" i="135" s="1"/>
  <c r="I30" i="135"/>
  <c r="I166" i="135" s="1"/>
  <c r="E151" i="127"/>
  <c r="I12" i="135"/>
  <c r="K9" i="135"/>
  <c r="K12" i="135" s="1"/>
  <c r="K96" i="129"/>
  <c r="I96" i="129"/>
  <c r="I161" i="130"/>
  <c r="K144" i="129"/>
  <c r="K161" i="130"/>
  <c r="K99" i="129"/>
  <c r="K106" i="129" s="1"/>
  <c r="I106" i="129"/>
  <c r="I144" i="129"/>
  <c r="E151" i="129"/>
  <c r="E157" i="129" s="1"/>
  <c r="E132" i="129"/>
  <c r="E134" i="129" s="1"/>
  <c r="E153" i="128"/>
  <c r="K145" i="128"/>
  <c r="K151" i="128" s="1"/>
  <c r="K126" i="128"/>
  <c r="K128" i="128" s="1"/>
  <c r="I145" i="128"/>
  <c r="I126" i="128"/>
  <c r="K151" i="127"/>
  <c r="I151" i="127"/>
  <c r="I90" i="128"/>
  <c r="I142" i="128"/>
  <c r="E98" i="148" l="1"/>
  <c r="E179" i="148" s="1"/>
  <c r="I95" i="150"/>
  <c r="E99" i="150"/>
  <c r="E180" i="150" s="1"/>
  <c r="E27" i="148"/>
  <c r="I27" i="148" s="1"/>
  <c r="E27" i="149" s="1"/>
  <c r="E27" i="150"/>
  <c r="E15" i="148"/>
  <c r="I15" i="148" s="1"/>
  <c r="E15" i="149" s="1"/>
  <c r="E15" i="150"/>
  <c r="I94" i="149"/>
  <c r="E98" i="149"/>
  <c r="E179" i="149" s="1"/>
  <c r="I19" i="145"/>
  <c r="I171" i="145" s="1"/>
  <c r="I15" i="146"/>
  <c r="I19" i="146" s="1"/>
  <c r="I171" i="146" s="1"/>
  <c r="K94" i="148"/>
  <c r="K98" i="148" s="1"/>
  <c r="I98" i="148"/>
  <c r="I124" i="145"/>
  <c r="E124" i="146" s="1"/>
  <c r="I124" i="146" s="1"/>
  <c r="K15" i="145"/>
  <c r="K19" i="145" s="1"/>
  <c r="K171" i="145" s="1"/>
  <c r="K114" i="135"/>
  <c r="K172" i="135" s="1"/>
  <c r="E138" i="145"/>
  <c r="E181" i="145" s="1"/>
  <c r="E96" i="135"/>
  <c r="E28" i="145"/>
  <c r="I28" i="145" s="1"/>
  <c r="E28" i="146" s="1"/>
  <c r="E28" i="147"/>
  <c r="K27" i="147"/>
  <c r="E9" i="145"/>
  <c r="I9" i="145" s="1"/>
  <c r="E9" i="146" s="1"/>
  <c r="E9" i="147"/>
  <c r="I126" i="147"/>
  <c r="E130" i="147"/>
  <c r="E182" i="147" s="1"/>
  <c r="K22" i="135"/>
  <c r="K24" i="135" s="1"/>
  <c r="K165" i="135" s="1"/>
  <c r="I132" i="147"/>
  <c r="E140" i="147"/>
  <c r="E183" i="147" s="1"/>
  <c r="I105" i="146"/>
  <c r="E112" i="146"/>
  <c r="E177" i="146" s="1"/>
  <c r="E52" i="145"/>
  <c r="E84" i="145" s="1"/>
  <c r="E174" i="145" s="1"/>
  <c r="E52" i="147"/>
  <c r="E22" i="145"/>
  <c r="I22" i="145" s="1"/>
  <c r="E22" i="146" s="1"/>
  <c r="E22" i="147"/>
  <c r="K15" i="147"/>
  <c r="K19" i="147" s="1"/>
  <c r="K173" i="147" s="1"/>
  <c r="I19" i="147"/>
  <c r="I173" i="147" s="1"/>
  <c r="I130" i="146"/>
  <c r="E138" i="146"/>
  <c r="E181" i="146" s="1"/>
  <c r="I177" i="147"/>
  <c r="K177" i="147"/>
  <c r="K27" i="146"/>
  <c r="I80" i="135"/>
  <c r="I167" i="135" s="1"/>
  <c r="I112" i="145"/>
  <c r="I177" i="145" s="1"/>
  <c r="K105" i="145"/>
  <c r="K112" i="145" s="1"/>
  <c r="K177" i="145" s="1"/>
  <c r="E179" i="145"/>
  <c r="I120" i="145"/>
  <c r="E122" i="145"/>
  <c r="K130" i="145"/>
  <c r="K138" i="145" s="1"/>
  <c r="K181" i="145" s="1"/>
  <c r="I138" i="145"/>
  <c r="I181" i="145" s="1"/>
  <c r="E106" i="135"/>
  <c r="E133" i="135" s="1"/>
  <c r="E169" i="144"/>
  <c r="E101" i="144"/>
  <c r="I82" i="144"/>
  <c r="I173" i="144" s="1"/>
  <c r="K52" i="144"/>
  <c r="K82" i="144" s="1"/>
  <c r="K173" i="144" s="1"/>
  <c r="K22" i="144"/>
  <c r="K24" i="144" s="1"/>
  <c r="K171" i="144" s="1"/>
  <c r="I24" i="144"/>
  <c r="I171" i="144" s="1"/>
  <c r="I104" i="144"/>
  <c r="E107" i="147" s="1"/>
  <c r="E111" i="144"/>
  <c r="I121" i="144"/>
  <c r="I178" i="144"/>
  <c r="K119" i="144"/>
  <c r="I12" i="144"/>
  <c r="K9" i="144"/>
  <c r="K12" i="144" s="1"/>
  <c r="K28" i="144"/>
  <c r="K30" i="144" s="1"/>
  <c r="K172" i="144" s="1"/>
  <c r="I30" i="144"/>
  <c r="I172" i="144" s="1"/>
  <c r="K163" i="135"/>
  <c r="I163" i="135"/>
  <c r="I106" i="135"/>
  <c r="K99" i="135"/>
  <c r="K106" i="135" s="1"/>
  <c r="E159" i="129"/>
  <c r="K132" i="129"/>
  <c r="K134" i="129" s="1"/>
  <c r="K151" i="129"/>
  <c r="K157" i="129" s="1"/>
  <c r="I151" i="129"/>
  <c r="I157" i="129" s="1"/>
  <c r="I132" i="129"/>
  <c r="I134" i="129" s="1"/>
  <c r="I151" i="128"/>
  <c r="K153" i="128"/>
  <c r="I128" i="128"/>
  <c r="E97" i="153" l="1"/>
  <c r="E97" i="151"/>
  <c r="K95" i="150"/>
  <c r="K99" i="150" s="1"/>
  <c r="K180" i="150" s="1"/>
  <c r="I99" i="150"/>
  <c r="I180" i="150" s="1"/>
  <c r="E19" i="148"/>
  <c r="E175" i="148" s="1"/>
  <c r="I27" i="150"/>
  <c r="E134" i="148"/>
  <c r="E142" i="148" s="1"/>
  <c r="E185" i="148" s="1"/>
  <c r="E135" i="150"/>
  <c r="I15" i="150"/>
  <c r="E19" i="150"/>
  <c r="E176" i="150" s="1"/>
  <c r="E128" i="148"/>
  <c r="I128" i="148" s="1"/>
  <c r="E128" i="149" s="1"/>
  <c r="E129" i="150"/>
  <c r="I27" i="149"/>
  <c r="E19" i="149"/>
  <c r="E175" i="149" s="1"/>
  <c r="I15" i="149"/>
  <c r="K94" i="149"/>
  <c r="K98" i="149" s="1"/>
  <c r="K179" i="149" s="1"/>
  <c r="I98" i="149"/>
  <c r="I179" i="149" s="1"/>
  <c r="K179" i="148"/>
  <c r="I179" i="148"/>
  <c r="K15" i="146"/>
  <c r="K19" i="146" s="1"/>
  <c r="K171" i="146" s="1"/>
  <c r="K124" i="145"/>
  <c r="K128" i="145" s="1"/>
  <c r="K180" i="145" s="1"/>
  <c r="E30" i="145"/>
  <c r="E173" i="145" s="1"/>
  <c r="E128" i="146"/>
  <c r="E180" i="146" s="1"/>
  <c r="I128" i="145"/>
  <c r="I180" i="145" s="1"/>
  <c r="K96" i="135"/>
  <c r="E140" i="145"/>
  <c r="E170" i="135"/>
  <c r="E176" i="135" s="1"/>
  <c r="I52" i="145"/>
  <c r="E52" i="146" s="1"/>
  <c r="I52" i="146" s="1"/>
  <c r="E12" i="145"/>
  <c r="E170" i="145" s="1"/>
  <c r="I19" i="148"/>
  <c r="I175" i="148" s="1"/>
  <c r="K15" i="148"/>
  <c r="K19" i="148" s="1"/>
  <c r="K175" i="148" s="1"/>
  <c r="E135" i="135"/>
  <c r="K27" i="148"/>
  <c r="I107" i="147"/>
  <c r="E114" i="147"/>
  <c r="E179" i="147" s="1"/>
  <c r="E24" i="145"/>
  <c r="E172" i="145" s="1"/>
  <c r="I52" i="147"/>
  <c r="E84" i="147"/>
  <c r="E176" i="147" s="1"/>
  <c r="K126" i="147"/>
  <c r="K130" i="147" s="1"/>
  <c r="K182" i="147" s="1"/>
  <c r="I130" i="147"/>
  <c r="I182" i="147" s="1"/>
  <c r="K132" i="147"/>
  <c r="K140" i="147" s="1"/>
  <c r="K183" i="147" s="1"/>
  <c r="I140" i="147"/>
  <c r="I183" i="147" s="1"/>
  <c r="I9" i="147"/>
  <c r="E12" i="147"/>
  <c r="I28" i="147"/>
  <c r="E30" i="147"/>
  <c r="E175" i="147" s="1"/>
  <c r="K105" i="146"/>
  <c r="K112" i="146" s="1"/>
  <c r="K177" i="146" s="1"/>
  <c r="I112" i="146"/>
  <c r="I177" i="146" s="1"/>
  <c r="E24" i="147"/>
  <c r="E174" i="147" s="1"/>
  <c r="I22" i="147"/>
  <c r="I138" i="146"/>
  <c r="I181" i="146" s="1"/>
  <c r="K130" i="146"/>
  <c r="K138" i="146" s="1"/>
  <c r="K181" i="146" s="1"/>
  <c r="E122" i="147"/>
  <c r="E120" i="146"/>
  <c r="K124" i="146"/>
  <c r="K128" i="146" s="1"/>
  <c r="K180" i="146" s="1"/>
  <c r="I128" i="146"/>
  <c r="I180" i="146" s="1"/>
  <c r="E24" i="146"/>
  <c r="E172" i="146" s="1"/>
  <c r="I22" i="146"/>
  <c r="I9" i="146"/>
  <c r="E12" i="146"/>
  <c r="I28" i="146"/>
  <c r="E30" i="146"/>
  <c r="E173" i="146" s="1"/>
  <c r="I96" i="135"/>
  <c r="K120" i="145"/>
  <c r="I179" i="145"/>
  <c r="I122" i="145"/>
  <c r="K28" i="145"/>
  <c r="K30" i="145" s="1"/>
  <c r="K173" i="145" s="1"/>
  <c r="I30" i="145"/>
  <c r="I173" i="145" s="1"/>
  <c r="K22" i="145"/>
  <c r="K24" i="145" s="1"/>
  <c r="K172" i="145" s="1"/>
  <c r="I24" i="145"/>
  <c r="I172" i="145" s="1"/>
  <c r="K9" i="145"/>
  <c r="K12" i="145" s="1"/>
  <c r="I12" i="145"/>
  <c r="K178" i="144"/>
  <c r="K121" i="144"/>
  <c r="K104" i="144"/>
  <c r="K111" i="144" s="1"/>
  <c r="I111" i="144"/>
  <c r="K169" i="144"/>
  <c r="K101" i="144"/>
  <c r="I169" i="144"/>
  <c r="I101" i="144"/>
  <c r="E139" i="144"/>
  <c r="E141" i="144" s="1"/>
  <c r="E176" i="144"/>
  <c r="E182" i="144" s="1"/>
  <c r="K170" i="135"/>
  <c r="K176" i="135" s="1"/>
  <c r="K133" i="135"/>
  <c r="I170" i="135"/>
  <c r="I176" i="135" s="1"/>
  <c r="I133" i="135"/>
  <c r="K159" i="129"/>
  <c r="I159" i="129"/>
  <c r="I153" i="128"/>
  <c r="I97" i="151" l="1"/>
  <c r="E101" i="151"/>
  <c r="E182" i="151" s="1"/>
  <c r="I97" i="153"/>
  <c r="E101" i="153"/>
  <c r="E182" i="153" s="1"/>
  <c r="E27" i="151"/>
  <c r="I27" i="151" s="1"/>
  <c r="E27" i="152" s="1"/>
  <c r="E27" i="153"/>
  <c r="E15" i="151"/>
  <c r="I15" i="151" s="1"/>
  <c r="E15" i="152" s="1"/>
  <c r="E15" i="153"/>
  <c r="E132" i="148"/>
  <c r="E184" i="148" s="1"/>
  <c r="I134" i="148"/>
  <c r="E134" i="149" s="1"/>
  <c r="I134" i="149" s="1"/>
  <c r="E22" i="148"/>
  <c r="I22" i="148" s="1"/>
  <c r="E22" i="149" s="1"/>
  <c r="E22" i="150"/>
  <c r="E133" i="150"/>
  <c r="E185" i="150" s="1"/>
  <c r="I129" i="150"/>
  <c r="I135" i="150"/>
  <c r="E143" i="150"/>
  <c r="E186" i="150" s="1"/>
  <c r="E107" i="148"/>
  <c r="I107" i="148" s="1"/>
  <c r="E107" i="149" s="1"/>
  <c r="E108" i="150"/>
  <c r="E9" i="148"/>
  <c r="I9" i="148" s="1"/>
  <c r="E9" i="149" s="1"/>
  <c r="E9" i="150"/>
  <c r="E28" i="148"/>
  <c r="I28" i="148" s="1"/>
  <c r="E28" i="149" s="1"/>
  <c r="E28" i="150"/>
  <c r="E52" i="148"/>
  <c r="E83" i="148" s="1"/>
  <c r="E178" i="148" s="1"/>
  <c r="E52" i="150"/>
  <c r="K15" i="150"/>
  <c r="K19" i="150" s="1"/>
  <c r="K176" i="150" s="1"/>
  <c r="I19" i="150"/>
  <c r="I176" i="150" s="1"/>
  <c r="K27" i="150"/>
  <c r="I19" i="149"/>
  <c r="I175" i="149" s="1"/>
  <c r="K15" i="149"/>
  <c r="K19" i="149" s="1"/>
  <c r="K175" i="149" s="1"/>
  <c r="I128" i="149"/>
  <c r="E132" i="149"/>
  <c r="E184" i="149" s="1"/>
  <c r="K27" i="149"/>
  <c r="K135" i="135"/>
  <c r="K178" i="135" s="1"/>
  <c r="E178" i="135"/>
  <c r="I135" i="135"/>
  <c r="I178" i="135" s="1"/>
  <c r="I140" i="145"/>
  <c r="E84" i="146"/>
  <c r="E174" i="146" s="1"/>
  <c r="K52" i="145"/>
  <c r="K84" i="145" s="1"/>
  <c r="K174" i="145" s="1"/>
  <c r="I84" i="145"/>
  <c r="I174" i="145" s="1"/>
  <c r="E183" i="145"/>
  <c r="E102" i="145"/>
  <c r="E142" i="145" s="1"/>
  <c r="I142" i="148"/>
  <c r="I185" i="148" s="1"/>
  <c r="K128" i="148"/>
  <c r="K132" i="148" s="1"/>
  <c r="K184" i="148" s="1"/>
  <c r="I132" i="148"/>
  <c r="I184" i="148" s="1"/>
  <c r="E172" i="147"/>
  <c r="E104" i="147"/>
  <c r="K52" i="147"/>
  <c r="K84" i="147" s="1"/>
  <c r="K176" i="147" s="1"/>
  <c r="I84" i="147"/>
  <c r="I176" i="147" s="1"/>
  <c r="K9" i="147"/>
  <c r="K12" i="147" s="1"/>
  <c r="I12" i="147"/>
  <c r="I24" i="147"/>
  <c r="I174" i="147" s="1"/>
  <c r="K22" i="147"/>
  <c r="K24" i="147" s="1"/>
  <c r="K174" i="147" s="1"/>
  <c r="K28" i="147"/>
  <c r="K30" i="147" s="1"/>
  <c r="K175" i="147" s="1"/>
  <c r="I30" i="147"/>
  <c r="I175" i="147" s="1"/>
  <c r="I114" i="147"/>
  <c r="I179" i="147" s="1"/>
  <c r="K107" i="147"/>
  <c r="K114" i="147" s="1"/>
  <c r="K179" i="147" s="1"/>
  <c r="I120" i="146"/>
  <c r="E179" i="146"/>
  <c r="E122" i="146"/>
  <c r="E140" i="146" s="1"/>
  <c r="E181" i="147"/>
  <c r="I122" i="147"/>
  <c r="E124" i="147"/>
  <c r="E142" i="147" s="1"/>
  <c r="K52" i="146"/>
  <c r="K84" i="146" s="1"/>
  <c r="K174" i="146" s="1"/>
  <c r="I84" i="146"/>
  <c r="I174" i="146" s="1"/>
  <c r="E170" i="146"/>
  <c r="K9" i="146"/>
  <c r="K12" i="146" s="1"/>
  <c r="I12" i="146"/>
  <c r="K22" i="146"/>
  <c r="K24" i="146" s="1"/>
  <c r="K172" i="146" s="1"/>
  <c r="I24" i="146"/>
  <c r="I172" i="146" s="1"/>
  <c r="K28" i="146"/>
  <c r="K30" i="146" s="1"/>
  <c r="K173" i="146" s="1"/>
  <c r="I30" i="146"/>
  <c r="I173" i="146" s="1"/>
  <c r="I170" i="145"/>
  <c r="K179" i="145"/>
  <c r="K122" i="145"/>
  <c r="K140" i="145" s="1"/>
  <c r="K170" i="145"/>
  <c r="K139" i="144"/>
  <c r="K141" i="144" s="1"/>
  <c r="K176" i="144"/>
  <c r="K182" i="144" s="1"/>
  <c r="E184" i="144"/>
  <c r="I176" i="144"/>
  <c r="I182" i="144" s="1"/>
  <c r="I139" i="144"/>
  <c r="I141" i="144" s="1"/>
  <c r="K97" i="153" l="1"/>
  <c r="K101" i="153" s="1"/>
  <c r="K182" i="153" s="1"/>
  <c r="I101" i="153"/>
  <c r="I182" i="153" s="1"/>
  <c r="K97" i="151"/>
  <c r="K101" i="151" s="1"/>
  <c r="K182" i="151" s="1"/>
  <c r="E97" i="152"/>
  <c r="I101" i="151"/>
  <c r="I182" i="151" s="1"/>
  <c r="E19" i="151"/>
  <c r="E178" i="151" s="1"/>
  <c r="E30" i="148"/>
  <c r="E177" i="148" s="1"/>
  <c r="K134" i="148"/>
  <c r="K142" i="148" s="1"/>
  <c r="K185" i="148" s="1"/>
  <c r="I15" i="153"/>
  <c r="E19" i="153"/>
  <c r="E178" i="153" s="1"/>
  <c r="E137" i="151"/>
  <c r="E145" i="151" s="1"/>
  <c r="E188" i="151" s="1"/>
  <c r="E137" i="153"/>
  <c r="I27" i="153"/>
  <c r="E116" i="148"/>
  <c r="E181" i="148" s="1"/>
  <c r="E131" i="151"/>
  <c r="I131" i="151" s="1"/>
  <c r="E131" i="152" s="1"/>
  <c r="E131" i="153"/>
  <c r="E19" i="152"/>
  <c r="E178" i="152" s="1"/>
  <c r="I15" i="152"/>
  <c r="I27" i="152"/>
  <c r="I52" i="148"/>
  <c r="E52" i="149" s="1"/>
  <c r="E83" i="149" s="1"/>
  <c r="E178" i="149" s="1"/>
  <c r="E142" i="149"/>
  <c r="E185" i="149" s="1"/>
  <c r="E102" i="146"/>
  <c r="E142" i="146" s="1"/>
  <c r="I19" i="151"/>
  <c r="I178" i="151" s="1"/>
  <c r="K15" i="151"/>
  <c r="K19" i="151" s="1"/>
  <c r="K178" i="151" s="1"/>
  <c r="K27" i="151"/>
  <c r="E24" i="148"/>
  <c r="E176" i="148" s="1"/>
  <c r="E12" i="148"/>
  <c r="E174" i="148" s="1"/>
  <c r="I52" i="150"/>
  <c r="E84" i="150"/>
  <c r="E179" i="150" s="1"/>
  <c r="I22" i="150"/>
  <c r="E24" i="150"/>
  <c r="E177" i="150" s="1"/>
  <c r="I28" i="150"/>
  <c r="E30" i="150"/>
  <c r="E178" i="150" s="1"/>
  <c r="I108" i="150"/>
  <c r="E117" i="150"/>
  <c r="K129" i="150"/>
  <c r="K133" i="150" s="1"/>
  <c r="K185" i="150" s="1"/>
  <c r="I133" i="150"/>
  <c r="I185" i="150" s="1"/>
  <c r="E12" i="150"/>
  <c r="I9" i="150"/>
  <c r="E124" i="148"/>
  <c r="E183" i="148" s="1"/>
  <c r="E125" i="150"/>
  <c r="I143" i="150"/>
  <c r="I186" i="150" s="1"/>
  <c r="K135" i="150"/>
  <c r="K143" i="150" s="1"/>
  <c r="K186" i="150" s="1"/>
  <c r="I22" i="149"/>
  <c r="E24" i="149"/>
  <c r="E176" i="149" s="1"/>
  <c r="I107" i="149"/>
  <c r="E116" i="149"/>
  <c r="I28" i="149"/>
  <c r="E30" i="149"/>
  <c r="E177" i="149" s="1"/>
  <c r="I9" i="149"/>
  <c r="E12" i="149"/>
  <c r="K128" i="149"/>
  <c r="K132" i="149" s="1"/>
  <c r="K184" i="149" s="1"/>
  <c r="I132" i="149"/>
  <c r="I184" i="149" s="1"/>
  <c r="K134" i="149"/>
  <c r="K142" i="149" s="1"/>
  <c r="K185" i="149" s="1"/>
  <c r="I142" i="149"/>
  <c r="I185" i="149" s="1"/>
  <c r="K102" i="145"/>
  <c r="K142" i="145" s="1"/>
  <c r="I183" i="145"/>
  <c r="E185" i="145"/>
  <c r="I102" i="145"/>
  <c r="I142" i="145" s="1"/>
  <c r="E185" i="147"/>
  <c r="I24" i="148"/>
  <c r="I176" i="148" s="1"/>
  <c r="K22" i="148"/>
  <c r="K24" i="148" s="1"/>
  <c r="K176" i="148" s="1"/>
  <c r="K28" i="148"/>
  <c r="K30" i="148" s="1"/>
  <c r="K177" i="148" s="1"/>
  <c r="I30" i="148"/>
  <c r="I177" i="148" s="1"/>
  <c r="I12" i="148"/>
  <c r="K9" i="148"/>
  <c r="K12" i="148" s="1"/>
  <c r="I116" i="148"/>
  <c r="K107" i="148"/>
  <c r="K116" i="148" s="1"/>
  <c r="K181" i="148" s="1"/>
  <c r="E144" i="147"/>
  <c r="I172" i="147"/>
  <c r="I104" i="147"/>
  <c r="K172" i="147"/>
  <c r="K104" i="147"/>
  <c r="K183" i="145"/>
  <c r="E183" i="146"/>
  <c r="I124" i="147"/>
  <c r="I142" i="147" s="1"/>
  <c r="I181" i="147"/>
  <c r="K122" i="147"/>
  <c r="K120" i="146"/>
  <c r="I179" i="146"/>
  <c r="I122" i="146"/>
  <c r="I140" i="146" s="1"/>
  <c r="I170" i="146"/>
  <c r="I102" i="146"/>
  <c r="K170" i="146"/>
  <c r="K102" i="146"/>
  <c r="K184" i="144"/>
  <c r="I184" i="144"/>
  <c r="I97" i="152" l="1"/>
  <c r="E101" i="152"/>
  <c r="E182" i="152" s="1"/>
  <c r="I52" i="149"/>
  <c r="I83" i="149" s="1"/>
  <c r="I178" i="149" s="1"/>
  <c r="I83" i="148"/>
  <c r="I178" i="148" s="1"/>
  <c r="K52" i="148"/>
  <c r="K83" i="148" s="1"/>
  <c r="K178" i="148" s="1"/>
  <c r="E135" i="151"/>
  <c r="E187" i="151" s="1"/>
  <c r="E22" i="151"/>
  <c r="E24" i="151" s="1"/>
  <c r="E179" i="151" s="1"/>
  <c r="E22" i="153"/>
  <c r="I137" i="151"/>
  <c r="E137" i="152" s="1"/>
  <c r="E145" i="152" s="1"/>
  <c r="E188" i="152" s="1"/>
  <c r="E9" i="151"/>
  <c r="E12" i="151" s="1"/>
  <c r="E9" i="153"/>
  <c r="I137" i="153"/>
  <c r="E145" i="153"/>
  <c r="E188" i="153" s="1"/>
  <c r="E110" i="151"/>
  <c r="I110" i="151" s="1"/>
  <c r="E110" i="152" s="1"/>
  <c r="E110" i="153"/>
  <c r="E28" i="151"/>
  <c r="I28" i="151" s="1"/>
  <c r="E28" i="152" s="1"/>
  <c r="E28" i="153"/>
  <c r="E52" i="151"/>
  <c r="I52" i="151" s="1"/>
  <c r="E52" i="152" s="1"/>
  <c r="E52" i="153"/>
  <c r="I131" i="153"/>
  <c r="E135" i="153"/>
  <c r="E187" i="153" s="1"/>
  <c r="K27" i="153"/>
  <c r="K15" i="153"/>
  <c r="K19" i="153" s="1"/>
  <c r="K178" i="153" s="1"/>
  <c r="I19" i="153"/>
  <c r="I178" i="153" s="1"/>
  <c r="K27" i="152"/>
  <c r="K15" i="152"/>
  <c r="K19" i="152" s="1"/>
  <c r="K178" i="152" s="1"/>
  <c r="I19" i="152"/>
  <c r="I178" i="152" s="1"/>
  <c r="I131" i="152"/>
  <c r="E135" i="152"/>
  <c r="E187" i="152" s="1"/>
  <c r="E104" i="148"/>
  <c r="I135" i="151"/>
  <c r="I187" i="151" s="1"/>
  <c r="K131" i="151"/>
  <c r="K135" i="151" s="1"/>
  <c r="K187" i="151" s="1"/>
  <c r="E126" i="148"/>
  <c r="E144" i="148" s="1"/>
  <c r="I124" i="148"/>
  <c r="E124" i="149" s="1"/>
  <c r="E126" i="149" s="1"/>
  <c r="E144" i="149" s="1"/>
  <c r="E175" i="150"/>
  <c r="E105" i="150"/>
  <c r="E182" i="150"/>
  <c r="E184" i="150"/>
  <c r="E127" i="150"/>
  <c r="E145" i="150" s="1"/>
  <c r="I125" i="150"/>
  <c r="K108" i="150"/>
  <c r="K117" i="150" s="1"/>
  <c r="K182" i="150" s="1"/>
  <c r="I117" i="150"/>
  <c r="K22" i="150"/>
  <c r="K24" i="150" s="1"/>
  <c r="K177" i="150" s="1"/>
  <c r="I24" i="150"/>
  <c r="I177" i="150" s="1"/>
  <c r="I12" i="150"/>
  <c r="K9" i="150"/>
  <c r="K12" i="150" s="1"/>
  <c r="K28" i="150"/>
  <c r="K30" i="150" s="1"/>
  <c r="K178" i="150" s="1"/>
  <c r="I30" i="150"/>
  <c r="I178" i="150" s="1"/>
  <c r="K52" i="150"/>
  <c r="K84" i="150" s="1"/>
  <c r="K179" i="150" s="1"/>
  <c r="I84" i="150"/>
  <c r="I179" i="150" s="1"/>
  <c r="K9" i="149"/>
  <c r="K12" i="149" s="1"/>
  <c r="I12" i="149"/>
  <c r="I116" i="149"/>
  <c r="I181" i="149" s="1"/>
  <c r="K107" i="149"/>
  <c r="K116" i="149" s="1"/>
  <c r="K181" i="149" s="1"/>
  <c r="K28" i="149"/>
  <c r="K30" i="149" s="1"/>
  <c r="K177" i="149" s="1"/>
  <c r="I30" i="149"/>
  <c r="I177" i="149" s="1"/>
  <c r="E174" i="149"/>
  <c r="E104" i="149"/>
  <c r="E181" i="149"/>
  <c r="I24" i="149"/>
  <c r="I176" i="149" s="1"/>
  <c r="K22" i="149"/>
  <c r="K24" i="149" s="1"/>
  <c r="K176" i="149" s="1"/>
  <c r="I185" i="145"/>
  <c r="E187" i="147"/>
  <c r="E185" i="146"/>
  <c r="I185" i="147"/>
  <c r="I181" i="148"/>
  <c r="K174" i="148"/>
  <c r="I174" i="148"/>
  <c r="E187" i="148"/>
  <c r="I144" i="147"/>
  <c r="K185" i="145"/>
  <c r="I142" i="146"/>
  <c r="I183" i="146"/>
  <c r="K122" i="146"/>
  <c r="K140" i="146" s="1"/>
  <c r="K142" i="146" s="1"/>
  <c r="K179" i="146"/>
  <c r="K183" i="146" s="1"/>
  <c r="K181" i="147"/>
  <c r="K185" i="147" s="1"/>
  <c r="K124" i="147"/>
  <c r="K142" i="147" s="1"/>
  <c r="K144" i="147" s="1"/>
  <c r="K52" i="149" l="1"/>
  <c r="K83" i="149" s="1"/>
  <c r="K178" i="149" s="1"/>
  <c r="I9" i="151"/>
  <c r="E9" i="152" s="1"/>
  <c r="E12" i="152" s="1"/>
  <c r="K104" i="148"/>
  <c r="I104" i="148"/>
  <c r="K97" i="152"/>
  <c r="K101" i="152" s="1"/>
  <c r="K182" i="152" s="1"/>
  <c r="I101" i="152"/>
  <c r="I182" i="152" s="1"/>
  <c r="I22" i="151"/>
  <c r="E22" i="152" s="1"/>
  <c r="E24" i="152" s="1"/>
  <c r="E179" i="152" s="1"/>
  <c r="E30" i="151"/>
  <c r="E180" i="151" s="1"/>
  <c r="E86" i="151"/>
  <c r="E181" i="151" s="1"/>
  <c r="E119" i="151"/>
  <c r="E184" i="151" s="1"/>
  <c r="I145" i="151"/>
  <c r="I188" i="151" s="1"/>
  <c r="I28" i="153"/>
  <c r="E30" i="153"/>
  <c r="E180" i="153" s="1"/>
  <c r="K137" i="151"/>
  <c r="K145" i="151" s="1"/>
  <c r="K188" i="151" s="1"/>
  <c r="I137" i="152"/>
  <c r="I145" i="152" s="1"/>
  <c r="I188" i="152" s="1"/>
  <c r="E146" i="148"/>
  <c r="E189" i="148" s="1"/>
  <c r="I135" i="153"/>
  <c r="I187" i="153" s="1"/>
  <c r="K131" i="153"/>
  <c r="K135" i="153" s="1"/>
  <c r="K187" i="153" s="1"/>
  <c r="K137" i="153"/>
  <c r="K145" i="153" s="1"/>
  <c r="K188" i="153" s="1"/>
  <c r="I145" i="153"/>
  <c r="I188" i="153" s="1"/>
  <c r="E24" i="153"/>
  <c r="E179" i="153" s="1"/>
  <c r="I22" i="153"/>
  <c r="E127" i="151"/>
  <c r="I127" i="151" s="1"/>
  <c r="E127" i="152" s="1"/>
  <c r="E127" i="153"/>
  <c r="I52" i="153"/>
  <c r="E86" i="153"/>
  <c r="E181" i="153" s="1"/>
  <c r="E119" i="153"/>
  <c r="I110" i="153"/>
  <c r="I9" i="153"/>
  <c r="E12" i="153"/>
  <c r="I183" i="148"/>
  <c r="I187" i="148" s="1"/>
  <c r="I28" i="152"/>
  <c r="E30" i="152"/>
  <c r="E180" i="152" s="1"/>
  <c r="K131" i="152"/>
  <c r="K135" i="152" s="1"/>
  <c r="K187" i="152" s="1"/>
  <c r="I135" i="152"/>
  <c r="I187" i="152" s="1"/>
  <c r="I110" i="152"/>
  <c r="E119" i="152"/>
  <c r="E86" i="152"/>
  <c r="E181" i="152" s="1"/>
  <c r="I52" i="152"/>
  <c r="E147" i="150"/>
  <c r="K28" i="151"/>
  <c r="K30" i="151" s="1"/>
  <c r="K180" i="151" s="1"/>
  <c r="I30" i="151"/>
  <c r="I180" i="151" s="1"/>
  <c r="K110" i="151"/>
  <c r="K119" i="151" s="1"/>
  <c r="I119" i="151"/>
  <c r="E177" i="151"/>
  <c r="K52" i="151"/>
  <c r="K86" i="151" s="1"/>
  <c r="K181" i="151" s="1"/>
  <c r="I86" i="151"/>
  <c r="I181" i="151" s="1"/>
  <c r="I124" i="149"/>
  <c r="I126" i="149" s="1"/>
  <c r="I144" i="149" s="1"/>
  <c r="E183" i="149"/>
  <c r="E187" i="149" s="1"/>
  <c r="K124" i="148"/>
  <c r="K126" i="148" s="1"/>
  <c r="K144" i="148" s="1"/>
  <c r="I126" i="148"/>
  <c r="I144" i="148" s="1"/>
  <c r="E188" i="150"/>
  <c r="I182" i="150"/>
  <c r="K125" i="150"/>
  <c r="I127" i="150"/>
  <c r="I145" i="150" s="1"/>
  <c r="I184" i="150"/>
  <c r="K105" i="150"/>
  <c r="K175" i="150"/>
  <c r="I175" i="150"/>
  <c r="I105" i="150"/>
  <c r="I174" i="149"/>
  <c r="I104" i="149"/>
  <c r="K174" i="149"/>
  <c r="E146" i="149"/>
  <c r="I187" i="147"/>
  <c r="I185" i="146"/>
  <c r="K185" i="146"/>
  <c r="K187" i="147"/>
  <c r="I9" i="152" l="1"/>
  <c r="K22" i="151"/>
  <c r="K24" i="151" s="1"/>
  <c r="K179" i="151" s="1"/>
  <c r="I24" i="151"/>
  <c r="I179" i="151" s="1"/>
  <c r="I12" i="151"/>
  <c r="K9" i="151"/>
  <c r="K12" i="151" s="1"/>
  <c r="K177" i="151" s="1"/>
  <c r="I146" i="148"/>
  <c r="I189" i="148" s="1"/>
  <c r="K146" i="148"/>
  <c r="I22" i="152"/>
  <c r="I24" i="152" s="1"/>
  <c r="I179" i="152" s="1"/>
  <c r="E107" i="151"/>
  <c r="K183" i="148"/>
  <c r="K187" i="148" s="1"/>
  <c r="K137" i="152"/>
  <c r="K145" i="152" s="1"/>
  <c r="K188" i="152" s="1"/>
  <c r="E190" i="150"/>
  <c r="E129" i="151"/>
  <c r="E147" i="151" s="1"/>
  <c r="K124" i="149"/>
  <c r="K126" i="149" s="1"/>
  <c r="K144" i="149" s="1"/>
  <c r="E186" i="151"/>
  <c r="E190" i="151" s="1"/>
  <c r="E177" i="153"/>
  <c r="E107" i="153"/>
  <c r="I24" i="153"/>
  <c r="I179" i="153" s="1"/>
  <c r="K22" i="153"/>
  <c r="K24" i="153" s="1"/>
  <c r="K179" i="153" s="1"/>
  <c r="K52" i="153"/>
  <c r="K86" i="153" s="1"/>
  <c r="K181" i="153" s="1"/>
  <c r="I86" i="153"/>
  <c r="I181" i="153" s="1"/>
  <c r="I119" i="153"/>
  <c r="K110" i="153"/>
  <c r="K119" i="153" s="1"/>
  <c r="E186" i="153"/>
  <c r="I127" i="153"/>
  <c r="E129" i="153"/>
  <c r="E147" i="153" s="1"/>
  <c r="K9" i="153"/>
  <c r="K12" i="153" s="1"/>
  <c r="I12" i="153"/>
  <c r="E184" i="153"/>
  <c r="K28" i="153"/>
  <c r="K30" i="153" s="1"/>
  <c r="K180" i="153" s="1"/>
  <c r="I30" i="153"/>
  <c r="I180" i="153" s="1"/>
  <c r="K110" i="152"/>
  <c r="K119" i="152" s="1"/>
  <c r="K184" i="152" s="1"/>
  <c r="I119" i="152"/>
  <c r="K28" i="152"/>
  <c r="K30" i="152" s="1"/>
  <c r="K180" i="152" s="1"/>
  <c r="I30" i="152"/>
  <c r="I180" i="152" s="1"/>
  <c r="E186" i="152"/>
  <c r="E129" i="152"/>
  <c r="E147" i="152" s="1"/>
  <c r="I127" i="152"/>
  <c r="E177" i="152"/>
  <c r="E107" i="152"/>
  <c r="K52" i="152"/>
  <c r="K86" i="152" s="1"/>
  <c r="K181" i="152" s="1"/>
  <c r="I86" i="152"/>
  <c r="I181" i="152" s="1"/>
  <c r="K9" i="152"/>
  <c r="K12" i="152" s="1"/>
  <c r="I12" i="152"/>
  <c r="E184" i="152"/>
  <c r="K184" i="151"/>
  <c r="I186" i="151"/>
  <c r="I129" i="151"/>
  <c r="I147" i="151" s="1"/>
  <c r="K127" i="151"/>
  <c r="I183" i="149"/>
  <c r="I187" i="149" s="1"/>
  <c r="I184" i="151"/>
  <c r="I177" i="151"/>
  <c r="I188" i="150"/>
  <c r="K104" i="149"/>
  <c r="E189" i="149"/>
  <c r="I147" i="150"/>
  <c r="K184" i="150"/>
  <c r="K188" i="150" s="1"/>
  <c r="K127" i="150"/>
  <c r="K145" i="150" s="1"/>
  <c r="K147" i="150" s="1"/>
  <c r="I146" i="149"/>
  <c r="K107" i="151" l="1"/>
  <c r="I107" i="151"/>
  <c r="I149" i="151" s="1"/>
  <c r="I152" i="151" s="1"/>
  <c r="K189" i="148"/>
  <c r="E149" i="151"/>
  <c r="E192" i="151" s="1"/>
  <c r="K22" i="152"/>
  <c r="K24" i="152" s="1"/>
  <c r="K179" i="152" s="1"/>
  <c r="K183" i="149"/>
  <c r="K187" i="149" s="1"/>
  <c r="K146" i="149"/>
  <c r="I150" i="150"/>
  <c r="E149" i="153"/>
  <c r="K177" i="153"/>
  <c r="K107" i="153"/>
  <c r="K184" i="153"/>
  <c r="I184" i="153"/>
  <c r="E190" i="153"/>
  <c r="I129" i="153"/>
  <c r="I147" i="153" s="1"/>
  <c r="K127" i="153"/>
  <c r="I186" i="153"/>
  <c r="E149" i="152"/>
  <c r="I177" i="153"/>
  <c r="I107" i="153"/>
  <c r="I184" i="152"/>
  <c r="I177" i="152"/>
  <c r="I107" i="152"/>
  <c r="K177" i="152"/>
  <c r="E190" i="152"/>
  <c r="K127" i="152"/>
  <c r="I129" i="152"/>
  <c r="I147" i="152" s="1"/>
  <c r="I186" i="152"/>
  <c r="K186" i="151"/>
  <c r="K190" i="151" s="1"/>
  <c r="K129" i="151"/>
  <c r="K147" i="151" s="1"/>
  <c r="I190" i="151"/>
  <c r="I190" i="150"/>
  <c r="K190" i="150"/>
  <c r="I189" i="149"/>
  <c r="K149" i="151" l="1"/>
  <c r="K107" i="152"/>
  <c r="E192" i="152"/>
  <c r="K189" i="149"/>
  <c r="E192" i="153"/>
  <c r="I190" i="152"/>
  <c r="I149" i="153"/>
  <c r="I152" i="153" s="1"/>
  <c r="K186" i="153"/>
  <c r="K190" i="153" s="1"/>
  <c r="K129" i="153"/>
  <c r="K147" i="153" s="1"/>
  <c r="K149" i="153" s="1"/>
  <c r="I190" i="153"/>
  <c r="K129" i="152"/>
  <c r="K147" i="152" s="1"/>
  <c r="K186" i="152"/>
  <c r="K190" i="152" s="1"/>
  <c r="I149" i="152"/>
  <c r="I152" i="152" s="1"/>
  <c r="I192" i="151"/>
  <c r="K192" i="151"/>
  <c r="K149" i="152" l="1"/>
  <c r="K192" i="152" s="1"/>
  <c r="I192" i="153"/>
  <c r="I192" i="152"/>
  <c r="I153" i="153"/>
  <c r="K192" i="153"/>
</calcChain>
</file>

<file path=xl/comments1.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10.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7" authorId="0" shapeId="0">
      <text>
        <r>
          <rPr>
            <b/>
            <sz val="8"/>
            <color indexed="81"/>
            <rFont val="Tahoma"/>
            <family val="2"/>
          </rPr>
          <t>Dani Weatherston:</t>
        </r>
        <r>
          <rPr>
            <sz val="8"/>
            <color indexed="81"/>
            <rFont val="Tahoma"/>
            <family val="2"/>
          </rPr>
          <t xml:space="preserve">
This is a payment to the Carbon Management Group
</t>
        </r>
      </text>
    </comment>
    <comment ref="D77" authorId="0" shapeId="0">
      <text>
        <r>
          <rPr>
            <b/>
            <sz val="8"/>
            <color indexed="81"/>
            <rFont val="Tahoma"/>
            <family val="2"/>
          </rPr>
          <t>Dani Weatherston:</t>
        </r>
        <r>
          <rPr>
            <sz val="8"/>
            <color indexed="81"/>
            <rFont val="Tahoma"/>
            <family val="2"/>
          </rPr>
          <t xml:space="preserve">
This is a payment to the Carbon Management Group
</t>
        </r>
      </text>
    </comment>
    <comment ref="C8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text>
        <r>
          <rPr>
            <b/>
            <sz val="8"/>
            <color indexed="81"/>
            <rFont val="Tahoma"/>
            <family val="2"/>
          </rPr>
          <t>MEKroge:</t>
        </r>
        <r>
          <rPr>
            <sz val="8"/>
            <color indexed="81"/>
            <rFont val="Tahoma"/>
            <family val="2"/>
          </rPr>
          <t xml:space="preserve">
75086</t>
        </r>
      </text>
    </comment>
    <comment ref="D115" authorId="3" shapeId="0">
      <text>
        <r>
          <rPr>
            <b/>
            <sz val="8"/>
            <color indexed="81"/>
            <rFont val="Tahoma"/>
            <family val="2"/>
          </rPr>
          <t>Business Unit:</t>
        </r>
        <r>
          <rPr>
            <sz val="8"/>
            <color indexed="81"/>
            <rFont val="Tahoma"/>
            <family val="2"/>
          </rPr>
          <t xml:space="preserve">
75086</t>
        </r>
      </text>
    </comment>
  </commentList>
</comments>
</file>

<file path=xl/comments11.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7" authorId="0" shapeId="0">
      <text>
        <r>
          <rPr>
            <b/>
            <sz val="8"/>
            <color indexed="81"/>
            <rFont val="Tahoma"/>
            <family val="2"/>
          </rPr>
          <t>Dani Weatherston:</t>
        </r>
        <r>
          <rPr>
            <sz val="8"/>
            <color indexed="81"/>
            <rFont val="Tahoma"/>
            <family val="2"/>
          </rPr>
          <t xml:space="preserve">
This is a payment to the Carbon Management Group
</t>
        </r>
      </text>
    </comment>
    <comment ref="D77" authorId="0" shapeId="0">
      <text>
        <r>
          <rPr>
            <b/>
            <sz val="8"/>
            <color indexed="81"/>
            <rFont val="Tahoma"/>
            <family val="2"/>
          </rPr>
          <t>Dani Weatherston:</t>
        </r>
        <r>
          <rPr>
            <sz val="8"/>
            <color indexed="81"/>
            <rFont val="Tahoma"/>
            <family val="2"/>
          </rPr>
          <t xml:space="preserve">
This is a payment to the Carbon Management Group
</t>
        </r>
      </text>
    </comment>
    <comment ref="C8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text>
        <r>
          <rPr>
            <b/>
            <sz val="8"/>
            <color indexed="81"/>
            <rFont val="Tahoma"/>
            <family val="2"/>
          </rPr>
          <t>MEKroge:</t>
        </r>
        <r>
          <rPr>
            <sz val="8"/>
            <color indexed="81"/>
            <rFont val="Tahoma"/>
            <family val="2"/>
          </rPr>
          <t xml:space="preserve">
75086</t>
        </r>
      </text>
    </comment>
    <comment ref="D115" authorId="3" shapeId="0">
      <text>
        <r>
          <rPr>
            <b/>
            <sz val="8"/>
            <color indexed="81"/>
            <rFont val="Tahoma"/>
            <family val="2"/>
          </rPr>
          <t>Business Unit:</t>
        </r>
        <r>
          <rPr>
            <sz val="8"/>
            <color indexed="81"/>
            <rFont val="Tahoma"/>
            <family val="2"/>
          </rPr>
          <t xml:space="preserve">
75086</t>
        </r>
      </text>
    </comment>
  </commentList>
</comments>
</file>

<file path=xl/comments12.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7" authorId="0" shapeId="0">
      <text>
        <r>
          <rPr>
            <b/>
            <sz val="8"/>
            <color indexed="81"/>
            <rFont val="Tahoma"/>
            <family val="2"/>
          </rPr>
          <t>Dani Weatherston:</t>
        </r>
        <r>
          <rPr>
            <sz val="8"/>
            <color indexed="81"/>
            <rFont val="Tahoma"/>
            <family val="2"/>
          </rPr>
          <t xml:space="preserve">
This is a payment to the Carbon Management Group
</t>
        </r>
      </text>
    </comment>
    <comment ref="D77" authorId="0" shapeId="0">
      <text>
        <r>
          <rPr>
            <b/>
            <sz val="8"/>
            <color indexed="81"/>
            <rFont val="Tahoma"/>
            <family val="2"/>
          </rPr>
          <t>Dani Weatherston:</t>
        </r>
        <r>
          <rPr>
            <sz val="8"/>
            <color indexed="81"/>
            <rFont val="Tahoma"/>
            <family val="2"/>
          </rPr>
          <t xml:space="preserve">
This is a payment to the Carbon Management Group
</t>
        </r>
      </text>
    </comment>
    <comment ref="C8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text>
        <r>
          <rPr>
            <b/>
            <sz val="8"/>
            <color indexed="81"/>
            <rFont val="Tahoma"/>
            <family val="2"/>
          </rPr>
          <t>MEKroge:</t>
        </r>
        <r>
          <rPr>
            <sz val="8"/>
            <color indexed="81"/>
            <rFont val="Tahoma"/>
            <family val="2"/>
          </rPr>
          <t xml:space="preserve">
75086</t>
        </r>
      </text>
    </comment>
    <comment ref="D115" authorId="3" shapeId="0">
      <text>
        <r>
          <rPr>
            <b/>
            <sz val="8"/>
            <color indexed="81"/>
            <rFont val="Tahoma"/>
            <family val="2"/>
          </rPr>
          <t>Business Unit:</t>
        </r>
        <r>
          <rPr>
            <sz val="8"/>
            <color indexed="81"/>
            <rFont val="Tahoma"/>
            <family val="2"/>
          </rPr>
          <t xml:space="preserve">
75086</t>
        </r>
      </text>
    </comment>
  </commentList>
</comments>
</file>

<file path=xl/comments13.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7" authorId="0" shapeId="0">
      <text>
        <r>
          <rPr>
            <b/>
            <sz val="8"/>
            <color indexed="81"/>
            <rFont val="Tahoma"/>
            <family val="2"/>
          </rPr>
          <t>Dani Weatherston:</t>
        </r>
        <r>
          <rPr>
            <sz val="8"/>
            <color indexed="81"/>
            <rFont val="Tahoma"/>
            <family val="2"/>
          </rPr>
          <t xml:space="preserve">
This is a payment to the Carbon Management Group
</t>
        </r>
      </text>
    </comment>
    <comment ref="D77" authorId="0" shapeId="0">
      <text>
        <r>
          <rPr>
            <b/>
            <sz val="8"/>
            <color indexed="81"/>
            <rFont val="Tahoma"/>
            <family val="2"/>
          </rPr>
          <t>Dani Weatherston:</t>
        </r>
        <r>
          <rPr>
            <sz val="8"/>
            <color indexed="81"/>
            <rFont val="Tahoma"/>
            <family val="2"/>
          </rPr>
          <t xml:space="preserve">
This is a payment to the Carbon Management Group
</t>
        </r>
      </text>
    </comment>
    <comment ref="C8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text>
        <r>
          <rPr>
            <b/>
            <sz val="8"/>
            <color indexed="81"/>
            <rFont val="Tahoma"/>
            <family val="2"/>
          </rPr>
          <t>MEKroge:</t>
        </r>
        <r>
          <rPr>
            <sz val="8"/>
            <color indexed="81"/>
            <rFont val="Tahoma"/>
            <family val="2"/>
          </rPr>
          <t xml:space="preserve">
75086</t>
        </r>
      </text>
    </comment>
    <comment ref="D115" authorId="3" shapeId="0">
      <text>
        <r>
          <rPr>
            <b/>
            <sz val="8"/>
            <color indexed="81"/>
            <rFont val="Tahoma"/>
            <family val="2"/>
          </rPr>
          <t>Business Unit:</t>
        </r>
        <r>
          <rPr>
            <sz val="8"/>
            <color indexed="81"/>
            <rFont val="Tahoma"/>
            <family val="2"/>
          </rPr>
          <t xml:space="preserve">
75086</t>
        </r>
      </text>
    </comment>
  </commentList>
</comments>
</file>

<file path=xl/comments14.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9" authorId="0" shapeId="0">
      <text>
        <r>
          <rPr>
            <b/>
            <sz val="8"/>
            <color indexed="81"/>
            <rFont val="Tahoma"/>
            <family val="2"/>
          </rPr>
          <t>Dani Weatherston:</t>
        </r>
        <r>
          <rPr>
            <sz val="8"/>
            <color indexed="81"/>
            <rFont val="Tahoma"/>
            <family val="2"/>
          </rPr>
          <t xml:space="preserve">
This is a payment to the Carbon Management Group
</t>
        </r>
      </text>
    </comment>
    <comment ref="D79" authorId="0" shapeId="0">
      <text>
        <r>
          <rPr>
            <b/>
            <sz val="8"/>
            <color indexed="81"/>
            <rFont val="Tahoma"/>
            <family val="2"/>
          </rPr>
          <t>Dani Weatherston:</t>
        </r>
        <r>
          <rPr>
            <sz val="8"/>
            <color indexed="81"/>
            <rFont val="Tahoma"/>
            <family val="2"/>
          </rPr>
          <t xml:space="preserve">
This is a payment to the Carbon Management Group
</t>
        </r>
      </text>
    </comment>
    <comment ref="C87"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7" authorId="3" shapeId="0">
      <text>
        <r>
          <rPr>
            <b/>
            <sz val="8"/>
            <color indexed="81"/>
            <rFont val="Tahoma"/>
            <family val="2"/>
          </rPr>
          <t>MEKroge:</t>
        </r>
        <r>
          <rPr>
            <sz val="8"/>
            <color indexed="81"/>
            <rFont val="Tahoma"/>
            <family val="2"/>
          </rPr>
          <t xml:space="preserve">
75086</t>
        </r>
      </text>
    </comment>
    <comment ref="D117" authorId="3" shapeId="0">
      <text>
        <r>
          <rPr>
            <b/>
            <sz val="8"/>
            <color indexed="81"/>
            <rFont val="Tahoma"/>
            <family val="2"/>
          </rPr>
          <t>Business Unit:</t>
        </r>
        <r>
          <rPr>
            <sz val="8"/>
            <color indexed="81"/>
            <rFont val="Tahoma"/>
            <family val="2"/>
          </rPr>
          <t xml:space="preserve">
75086</t>
        </r>
      </text>
    </comment>
  </commentList>
</comments>
</file>

<file path=xl/comments15.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16.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7" authorId="0" shapeId="0">
      <text>
        <r>
          <rPr>
            <b/>
            <sz val="8"/>
            <color indexed="81"/>
            <rFont val="Tahoma"/>
            <family val="2"/>
          </rPr>
          <t>Dani Weatherston:</t>
        </r>
        <r>
          <rPr>
            <sz val="8"/>
            <color indexed="81"/>
            <rFont val="Tahoma"/>
            <family val="2"/>
          </rPr>
          <t xml:space="preserve">
This is a payment to the Carbon Management Group
</t>
        </r>
      </text>
    </comment>
    <comment ref="D87" authorId="0" shapeId="0">
      <text>
        <r>
          <rPr>
            <b/>
            <sz val="8"/>
            <color indexed="81"/>
            <rFont val="Tahoma"/>
            <family val="2"/>
          </rPr>
          <t>Dani Weatherston:</t>
        </r>
        <r>
          <rPr>
            <sz val="8"/>
            <color indexed="81"/>
            <rFont val="Tahoma"/>
            <family val="2"/>
          </rPr>
          <t xml:space="preserve">
This is a payment to the Carbon Management Group
</t>
        </r>
      </text>
    </comment>
    <comment ref="C9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text>
        <r>
          <rPr>
            <b/>
            <sz val="8"/>
            <color indexed="81"/>
            <rFont val="Tahoma"/>
            <family val="2"/>
          </rPr>
          <t>MEKroge:</t>
        </r>
        <r>
          <rPr>
            <sz val="8"/>
            <color indexed="81"/>
            <rFont val="Tahoma"/>
            <family val="2"/>
          </rPr>
          <t xml:space="preserve">
75086</t>
        </r>
      </text>
    </comment>
    <comment ref="D125" authorId="3" shapeId="0">
      <text>
        <r>
          <rPr>
            <b/>
            <sz val="8"/>
            <color indexed="81"/>
            <rFont val="Tahoma"/>
            <family val="2"/>
          </rPr>
          <t>Business Unit:</t>
        </r>
        <r>
          <rPr>
            <sz val="8"/>
            <color indexed="81"/>
            <rFont val="Tahoma"/>
            <family val="2"/>
          </rPr>
          <t xml:space="preserve">
75086</t>
        </r>
      </text>
    </comment>
  </commentList>
</comments>
</file>

<file path=xl/comments17.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7" authorId="0" shapeId="0">
      <text>
        <r>
          <rPr>
            <b/>
            <sz val="8"/>
            <color indexed="81"/>
            <rFont val="Tahoma"/>
            <family val="2"/>
          </rPr>
          <t>Dani Weatherston:</t>
        </r>
        <r>
          <rPr>
            <sz val="8"/>
            <color indexed="81"/>
            <rFont val="Tahoma"/>
            <family val="2"/>
          </rPr>
          <t xml:space="preserve">
This is a payment to the Carbon Management Group
</t>
        </r>
      </text>
    </comment>
    <comment ref="D87" authorId="0" shapeId="0">
      <text>
        <r>
          <rPr>
            <b/>
            <sz val="8"/>
            <color indexed="81"/>
            <rFont val="Tahoma"/>
            <family val="2"/>
          </rPr>
          <t>Dani Weatherston:</t>
        </r>
        <r>
          <rPr>
            <sz val="8"/>
            <color indexed="81"/>
            <rFont val="Tahoma"/>
            <family val="2"/>
          </rPr>
          <t xml:space="preserve">
This is a payment to the Carbon Management Group
</t>
        </r>
      </text>
    </comment>
    <comment ref="C95"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text>
        <r>
          <rPr>
            <b/>
            <sz val="8"/>
            <color indexed="81"/>
            <rFont val="Tahoma"/>
            <family val="2"/>
          </rPr>
          <t>MEKroge:</t>
        </r>
        <r>
          <rPr>
            <sz val="8"/>
            <color indexed="81"/>
            <rFont val="Tahoma"/>
            <family val="2"/>
          </rPr>
          <t xml:space="preserve">
75086</t>
        </r>
      </text>
    </comment>
    <comment ref="D125" authorId="3" shapeId="0">
      <text>
        <r>
          <rPr>
            <b/>
            <sz val="8"/>
            <color indexed="81"/>
            <rFont val="Tahoma"/>
            <family val="2"/>
          </rPr>
          <t>Business Unit:</t>
        </r>
        <r>
          <rPr>
            <sz val="8"/>
            <color indexed="81"/>
            <rFont val="Tahoma"/>
            <family val="2"/>
          </rPr>
          <t xml:space="preserve">
75086</t>
        </r>
      </text>
    </comment>
  </commentList>
</comments>
</file>

<file path=xl/comments18.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19.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20.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1.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2.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3.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4.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5.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6.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7.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8.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29.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5" authorId="0" shapeId="0">
      <text>
        <r>
          <rPr>
            <b/>
            <sz val="8"/>
            <color indexed="81"/>
            <rFont val="Tahoma"/>
            <family val="2"/>
          </rPr>
          <t>Dani Weatherston:</t>
        </r>
        <r>
          <rPr>
            <sz val="8"/>
            <color indexed="81"/>
            <rFont val="Tahoma"/>
            <family val="2"/>
          </rPr>
          <t xml:space="preserve">
This is a payment to the Carbon Management Group
</t>
        </r>
      </text>
    </comment>
    <comment ref="D85" authorId="0" shapeId="0">
      <text>
        <r>
          <rPr>
            <b/>
            <sz val="8"/>
            <color indexed="81"/>
            <rFont val="Tahoma"/>
            <family val="2"/>
          </rPr>
          <t>Dani Weatherston:</t>
        </r>
        <r>
          <rPr>
            <sz val="8"/>
            <color indexed="81"/>
            <rFont val="Tahoma"/>
            <family val="2"/>
          </rPr>
          <t xml:space="preserve">
This is a payment to the Carbon Management Group
</t>
        </r>
      </text>
    </comment>
    <comment ref="C9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text>
        <r>
          <rPr>
            <b/>
            <sz val="8"/>
            <color indexed="81"/>
            <rFont val="Tahoma"/>
            <family val="2"/>
          </rPr>
          <t>MEKroge:</t>
        </r>
        <r>
          <rPr>
            <sz val="8"/>
            <color indexed="81"/>
            <rFont val="Tahoma"/>
            <family val="2"/>
          </rPr>
          <t xml:space="preserve">
75086</t>
        </r>
      </text>
    </comment>
    <comment ref="D123" authorId="3" shapeId="0">
      <text>
        <r>
          <rPr>
            <b/>
            <sz val="8"/>
            <color indexed="81"/>
            <rFont val="Tahoma"/>
            <family val="2"/>
          </rPr>
          <t>Business Unit:</t>
        </r>
        <r>
          <rPr>
            <sz val="8"/>
            <color indexed="81"/>
            <rFont val="Tahoma"/>
            <family val="2"/>
          </rPr>
          <t xml:space="preserve">
75086</t>
        </r>
      </text>
    </comment>
  </commentList>
</comments>
</file>

<file path=xl/comments3.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30.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7" authorId="0" shapeId="0">
      <text>
        <r>
          <rPr>
            <b/>
            <sz val="8"/>
            <color indexed="81"/>
            <rFont val="Tahoma"/>
            <family val="2"/>
          </rPr>
          <t>Dani Weatherston:</t>
        </r>
        <r>
          <rPr>
            <sz val="8"/>
            <color indexed="81"/>
            <rFont val="Tahoma"/>
            <family val="2"/>
          </rPr>
          <t xml:space="preserve">
This is a payment to the Carbon Management Group
</t>
        </r>
      </text>
    </comment>
    <comment ref="D87" authorId="0" shapeId="0">
      <text>
        <r>
          <rPr>
            <b/>
            <sz val="8"/>
            <color indexed="81"/>
            <rFont val="Tahoma"/>
            <family val="2"/>
          </rPr>
          <t>Dani Weatherston:</t>
        </r>
        <r>
          <rPr>
            <sz val="8"/>
            <color indexed="81"/>
            <rFont val="Tahoma"/>
            <family val="2"/>
          </rPr>
          <t xml:space="preserve">
This is a payment to the Carbon Management Group
</t>
        </r>
      </text>
    </comment>
    <comment ref="C98"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9" authorId="3" shapeId="0">
      <text>
        <r>
          <rPr>
            <b/>
            <sz val="8"/>
            <color indexed="81"/>
            <rFont val="Tahoma"/>
            <family val="2"/>
          </rPr>
          <t>MEKroge:</t>
        </r>
        <r>
          <rPr>
            <sz val="8"/>
            <color indexed="81"/>
            <rFont val="Tahoma"/>
            <family val="2"/>
          </rPr>
          <t xml:space="preserve">
75086</t>
        </r>
      </text>
    </comment>
    <comment ref="D129" authorId="3" shapeId="0">
      <text>
        <r>
          <rPr>
            <b/>
            <sz val="8"/>
            <color indexed="81"/>
            <rFont val="Tahoma"/>
            <family val="2"/>
          </rPr>
          <t>Business Unit:</t>
        </r>
        <r>
          <rPr>
            <sz val="8"/>
            <color indexed="81"/>
            <rFont val="Tahoma"/>
            <family val="2"/>
          </rPr>
          <t xml:space="preserve">
75086</t>
        </r>
      </text>
    </comment>
  </commentList>
</comments>
</file>

<file path=xl/comments31.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C99"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text>
        <r>
          <rPr>
            <b/>
            <sz val="8"/>
            <color indexed="81"/>
            <rFont val="Tahoma"/>
            <family val="2"/>
          </rPr>
          <t>MEKroge:</t>
        </r>
        <r>
          <rPr>
            <sz val="8"/>
            <color indexed="81"/>
            <rFont val="Tahoma"/>
            <family val="2"/>
          </rPr>
          <t xml:space="preserve">
75086</t>
        </r>
      </text>
    </comment>
    <comment ref="D130" authorId="3" shapeId="0">
      <text>
        <r>
          <rPr>
            <b/>
            <sz val="8"/>
            <color indexed="81"/>
            <rFont val="Tahoma"/>
            <family val="2"/>
          </rPr>
          <t>Business Unit:</t>
        </r>
        <r>
          <rPr>
            <sz val="8"/>
            <color indexed="81"/>
            <rFont val="Tahoma"/>
            <family val="2"/>
          </rPr>
          <t xml:space="preserve">
75086</t>
        </r>
      </text>
    </comment>
  </commentList>
</comments>
</file>

<file path=xl/comments32.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9" authorId="0" shapeId="0">
      <text>
        <r>
          <rPr>
            <b/>
            <sz val="8"/>
            <color indexed="81"/>
            <rFont val="Tahoma"/>
            <family val="2"/>
          </rPr>
          <t>Dani Weatherston:</t>
        </r>
        <r>
          <rPr>
            <sz val="8"/>
            <color indexed="81"/>
            <rFont val="Tahoma"/>
            <family val="2"/>
          </rPr>
          <t xml:space="preserve">
This is a payment to the Carbon Management Group
</t>
        </r>
      </text>
    </comment>
    <comment ref="D89" authorId="0" shapeId="0">
      <text>
        <r>
          <rPr>
            <b/>
            <sz val="8"/>
            <color indexed="81"/>
            <rFont val="Tahoma"/>
            <family val="2"/>
          </rPr>
          <t>Dani Weatherston:</t>
        </r>
        <r>
          <rPr>
            <sz val="8"/>
            <color indexed="81"/>
            <rFont val="Tahoma"/>
            <family val="2"/>
          </rPr>
          <t xml:space="preserve">
This is a payment to the Carbon Management Group
</t>
        </r>
      </text>
    </comment>
    <comment ref="C99"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text>
        <r>
          <rPr>
            <b/>
            <sz val="8"/>
            <color indexed="81"/>
            <rFont val="Tahoma"/>
            <family val="2"/>
          </rPr>
          <t>MEKroge:</t>
        </r>
        <r>
          <rPr>
            <sz val="8"/>
            <color indexed="81"/>
            <rFont val="Tahoma"/>
            <family val="2"/>
          </rPr>
          <t xml:space="preserve">
75086</t>
        </r>
      </text>
    </comment>
    <comment ref="D130" authorId="3" shapeId="0">
      <text>
        <r>
          <rPr>
            <b/>
            <sz val="8"/>
            <color indexed="81"/>
            <rFont val="Tahoma"/>
            <family val="2"/>
          </rPr>
          <t>Business Unit:</t>
        </r>
        <r>
          <rPr>
            <sz val="8"/>
            <color indexed="81"/>
            <rFont val="Tahoma"/>
            <family val="2"/>
          </rPr>
          <t xml:space="preserve">
75086</t>
        </r>
      </text>
    </comment>
  </commentList>
</comments>
</file>

<file path=xl/comments33.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89" authorId="0" shapeId="0">
      <text>
        <r>
          <rPr>
            <b/>
            <sz val="8"/>
            <color indexed="81"/>
            <rFont val="Tahoma"/>
            <family val="2"/>
          </rPr>
          <t>Dani Weatherston:</t>
        </r>
        <r>
          <rPr>
            <sz val="8"/>
            <color indexed="81"/>
            <rFont val="Tahoma"/>
            <family val="2"/>
          </rPr>
          <t xml:space="preserve">
This is a payment to the Carbon Management Group
</t>
        </r>
      </text>
    </comment>
    <comment ref="D89" authorId="0" shapeId="0">
      <text>
        <r>
          <rPr>
            <b/>
            <sz val="8"/>
            <color indexed="81"/>
            <rFont val="Tahoma"/>
            <family val="2"/>
          </rPr>
          <t>Dani Weatherston:</t>
        </r>
        <r>
          <rPr>
            <sz val="8"/>
            <color indexed="81"/>
            <rFont val="Tahoma"/>
            <family val="2"/>
          </rPr>
          <t xml:space="preserve">
This is a payment to the Carbon Management Group
</t>
        </r>
      </text>
    </comment>
    <comment ref="A90" authorId="0" shapeId="0">
      <text>
        <r>
          <rPr>
            <b/>
            <sz val="8"/>
            <color indexed="81"/>
            <rFont val="Tahoma"/>
            <family val="2"/>
          </rPr>
          <t>Dani Weatherston:</t>
        </r>
        <r>
          <rPr>
            <sz val="8"/>
            <color indexed="81"/>
            <rFont val="Tahoma"/>
            <family val="2"/>
          </rPr>
          <t xml:space="preserve">
This is a payment to the Carbon Management Group
</t>
        </r>
      </text>
    </comment>
    <comment ref="D90" authorId="0" shapeId="0">
      <text>
        <r>
          <rPr>
            <b/>
            <sz val="8"/>
            <color indexed="81"/>
            <rFont val="Tahoma"/>
            <family val="2"/>
          </rPr>
          <t>Dani Weatherston:</t>
        </r>
        <r>
          <rPr>
            <sz val="8"/>
            <color indexed="81"/>
            <rFont val="Tahoma"/>
            <family val="2"/>
          </rPr>
          <t xml:space="preserve">
This is a payment to the Carbon Management Group
</t>
        </r>
      </text>
    </comment>
    <comment ref="C10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2" authorId="3" shapeId="0">
      <text>
        <r>
          <rPr>
            <b/>
            <sz val="8"/>
            <color indexed="81"/>
            <rFont val="Tahoma"/>
            <family val="2"/>
          </rPr>
          <t>MEKroge:</t>
        </r>
        <r>
          <rPr>
            <sz val="8"/>
            <color indexed="81"/>
            <rFont val="Tahoma"/>
            <family val="2"/>
          </rPr>
          <t xml:space="preserve">
75086</t>
        </r>
      </text>
    </comment>
    <comment ref="D132" authorId="3" shapeId="0">
      <text>
        <r>
          <rPr>
            <b/>
            <sz val="8"/>
            <color indexed="81"/>
            <rFont val="Tahoma"/>
            <family val="2"/>
          </rPr>
          <t>Business Unit:</t>
        </r>
        <r>
          <rPr>
            <sz val="8"/>
            <color indexed="81"/>
            <rFont val="Tahoma"/>
            <family val="2"/>
          </rPr>
          <t xml:space="preserve">
75086</t>
        </r>
      </text>
    </comment>
  </commentList>
</comments>
</file>

<file path=xl/comments34.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0" authorId="0" shapeId="0">
      <text>
        <r>
          <rPr>
            <b/>
            <sz val="8"/>
            <color indexed="81"/>
            <rFont val="Tahoma"/>
            <family val="2"/>
          </rPr>
          <t>Dani Weatherston:</t>
        </r>
        <r>
          <rPr>
            <sz val="8"/>
            <color indexed="81"/>
            <rFont val="Tahoma"/>
            <family val="2"/>
          </rPr>
          <t xml:space="preserve">
This is a payment to the Carbon Management Group
</t>
        </r>
      </text>
    </comment>
    <comment ref="D90" authorId="0" shapeId="0">
      <text>
        <r>
          <rPr>
            <b/>
            <sz val="8"/>
            <color indexed="81"/>
            <rFont val="Tahoma"/>
            <family val="2"/>
          </rPr>
          <t>Dani Weatherston:</t>
        </r>
        <r>
          <rPr>
            <sz val="8"/>
            <color indexed="81"/>
            <rFont val="Tahoma"/>
            <family val="2"/>
          </rPr>
          <t xml:space="preserve">
This is a payment to the Carbon Management Group
</t>
        </r>
      </text>
    </comment>
    <comment ref="A91" authorId="0" shapeId="0">
      <text>
        <r>
          <rPr>
            <b/>
            <sz val="8"/>
            <color indexed="81"/>
            <rFont val="Tahoma"/>
            <family val="2"/>
          </rPr>
          <t>Dani Weatherston:</t>
        </r>
        <r>
          <rPr>
            <sz val="8"/>
            <color indexed="81"/>
            <rFont val="Tahoma"/>
            <family val="2"/>
          </rPr>
          <t xml:space="preserve">
This is a payment to the Carbon Management Group
</t>
        </r>
      </text>
    </comment>
    <comment ref="D91" authorId="0" shapeId="0">
      <text>
        <r>
          <rPr>
            <b/>
            <sz val="8"/>
            <color indexed="81"/>
            <rFont val="Tahoma"/>
            <family val="2"/>
          </rPr>
          <t>Dani Weatherston:</t>
        </r>
        <r>
          <rPr>
            <sz val="8"/>
            <color indexed="81"/>
            <rFont val="Tahoma"/>
            <family val="2"/>
          </rPr>
          <t xml:space="preserve">
This is a payment to the Carbon Management Group
</t>
        </r>
      </text>
    </comment>
    <comment ref="C10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text>
        <r>
          <rPr>
            <b/>
            <sz val="8"/>
            <color indexed="81"/>
            <rFont val="Tahoma"/>
            <family val="2"/>
          </rPr>
          <t>MEKroge:</t>
        </r>
        <r>
          <rPr>
            <sz val="8"/>
            <color indexed="81"/>
            <rFont val="Tahoma"/>
            <family val="2"/>
          </rPr>
          <t xml:space="preserve">
75086</t>
        </r>
      </text>
    </comment>
    <comment ref="D134" authorId="3" shapeId="0">
      <text>
        <r>
          <rPr>
            <b/>
            <sz val="8"/>
            <color indexed="81"/>
            <rFont val="Tahoma"/>
            <family val="2"/>
          </rPr>
          <t>Business Unit:</t>
        </r>
        <r>
          <rPr>
            <sz val="8"/>
            <color indexed="81"/>
            <rFont val="Tahoma"/>
            <family val="2"/>
          </rPr>
          <t xml:space="preserve">
75086</t>
        </r>
      </text>
    </comment>
  </commentList>
</comments>
</file>

<file path=xl/comments35.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0" authorId="0" shapeId="0">
      <text>
        <r>
          <rPr>
            <b/>
            <sz val="8"/>
            <color indexed="81"/>
            <rFont val="Tahoma"/>
            <family val="2"/>
          </rPr>
          <t>Dani Weatherston:</t>
        </r>
        <r>
          <rPr>
            <sz val="8"/>
            <color indexed="81"/>
            <rFont val="Tahoma"/>
            <family val="2"/>
          </rPr>
          <t xml:space="preserve">
This is a payment to the Carbon Management Group
</t>
        </r>
      </text>
    </comment>
    <comment ref="D90" authorId="0" shapeId="0">
      <text>
        <r>
          <rPr>
            <b/>
            <sz val="8"/>
            <color indexed="81"/>
            <rFont val="Tahoma"/>
            <family val="2"/>
          </rPr>
          <t>Dani Weatherston:</t>
        </r>
        <r>
          <rPr>
            <sz val="8"/>
            <color indexed="81"/>
            <rFont val="Tahoma"/>
            <family val="2"/>
          </rPr>
          <t xml:space="preserve">
This is a payment to the Carbon Management Group
</t>
        </r>
      </text>
    </comment>
    <comment ref="A91" authorId="0" shapeId="0">
      <text>
        <r>
          <rPr>
            <b/>
            <sz val="8"/>
            <color indexed="81"/>
            <rFont val="Tahoma"/>
            <family val="2"/>
          </rPr>
          <t>Dani Weatherston:</t>
        </r>
        <r>
          <rPr>
            <sz val="8"/>
            <color indexed="81"/>
            <rFont val="Tahoma"/>
            <family val="2"/>
          </rPr>
          <t xml:space="preserve">
This is a payment to the Carbon Management Group
</t>
        </r>
      </text>
    </comment>
    <comment ref="D91" authorId="0" shapeId="0">
      <text>
        <r>
          <rPr>
            <b/>
            <sz val="8"/>
            <color indexed="81"/>
            <rFont val="Tahoma"/>
            <family val="2"/>
          </rPr>
          <t>Dani Weatherston:</t>
        </r>
        <r>
          <rPr>
            <sz val="8"/>
            <color indexed="81"/>
            <rFont val="Tahoma"/>
            <family val="2"/>
          </rPr>
          <t xml:space="preserve">
This is a payment to the Carbon Management Group
</t>
        </r>
      </text>
    </comment>
    <comment ref="C10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text>
        <r>
          <rPr>
            <b/>
            <sz val="8"/>
            <color indexed="81"/>
            <rFont val="Tahoma"/>
            <family val="2"/>
          </rPr>
          <t>MEKroge:</t>
        </r>
        <r>
          <rPr>
            <sz val="8"/>
            <color indexed="81"/>
            <rFont val="Tahoma"/>
            <family val="2"/>
          </rPr>
          <t xml:space="preserve">
75086</t>
        </r>
      </text>
    </comment>
    <comment ref="D134" authorId="3" shapeId="0">
      <text>
        <r>
          <rPr>
            <b/>
            <sz val="8"/>
            <color indexed="81"/>
            <rFont val="Tahoma"/>
            <family val="2"/>
          </rPr>
          <t>Business Unit:</t>
        </r>
        <r>
          <rPr>
            <sz val="8"/>
            <color indexed="81"/>
            <rFont val="Tahoma"/>
            <family val="2"/>
          </rPr>
          <t xml:space="preserve">
75086</t>
        </r>
      </text>
    </comment>
  </commentList>
</comments>
</file>

<file path=xl/comments36.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1" authorId="0" shapeId="0">
      <text>
        <r>
          <rPr>
            <b/>
            <sz val="8"/>
            <color indexed="81"/>
            <rFont val="Tahoma"/>
            <family val="2"/>
          </rPr>
          <t>Dani Weatherston:</t>
        </r>
        <r>
          <rPr>
            <sz val="8"/>
            <color indexed="81"/>
            <rFont val="Tahoma"/>
            <family val="2"/>
          </rPr>
          <t xml:space="preserve">
This is a payment to the Carbon Management Group
</t>
        </r>
      </text>
    </comment>
    <comment ref="D91" authorId="0" shapeId="0">
      <text>
        <r>
          <rPr>
            <b/>
            <sz val="8"/>
            <color indexed="81"/>
            <rFont val="Tahoma"/>
            <family val="2"/>
          </rPr>
          <t>Dani Weatherston:</t>
        </r>
        <r>
          <rPr>
            <sz val="8"/>
            <color indexed="81"/>
            <rFont val="Tahoma"/>
            <family val="2"/>
          </rPr>
          <t xml:space="preserve">
This is a payment to the Carbon Management Group
</t>
        </r>
      </text>
    </comment>
    <comment ref="A92" authorId="0" shapeId="0">
      <text>
        <r>
          <rPr>
            <b/>
            <sz val="8"/>
            <color indexed="81"/>
            <rFont val="Tahoma"/>
            <family val="2"/>
          </rPr>
          <t>Dani Weatherston:</t>
        </r>
        <r>
          <rPr>
            <sz val="8"/>
            <color indexed="81"/>
            <rFont val="Tahoma"/>
            <family val="2"/>
          </rPr>
          <t xml:space="preserve">
This is a payment to the Carbon Management Group
</t>
        </r>
      </text>
    </comment>
    <comment ref="D92" authorId="0" shapeId="0">
      <text>
        <r>
          <rPr>
            <b/>
            <sz val="8"/>
            <color indexed="81"/>
            <rFont val="Tahoma"/>
            <family val="2"/>
          </rPr>
          <t>Dani Weatherston:</t>
        </r>
        <r>
          <rPr>
            <sz val="8"/>
            <color indexed="81"/>
            <rFont val="Tahoma"/>
            <family val="2"/>
          </rPr>
          <t xml:space="preserve">
This is a payment to the Carbon Management Group
</t>
        </r>
      </text>
    </comment>
    <comment ref="C102"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5" authorId="3" shapeId="0">
      <text>
        <r>
          <rPr>
            <b/>
            <sz val="8"/>
            <color indexed="81"/>
            <rFont val="Tahoma"/>
            <family val="2"/>
          </rPr>
          <t>MEKroge:</t>
        </r>
        <r>
          <rPr>
            <sz val="8"/>
            <color indexed="81"/>
            <rFont val="Tahoma"/>
            <family val="2"/>
          </rPr>
          <t xml:space="preserve">
75086</t>
        </r>
      </text>
    </comment>
    <comment ref="D135" authorId="3" shapeId="0">
      <text>
        <r>
          <rPr>
            <b/>
            <sz val="8"/>
            <color indexed="81"/>
            <rFont val="Tahoma"/>
            <family val="2"/>
          </rPr>
          <t>Business Unit:</t>
        </r>
        <r>
          <rPr>
            <sz val="8"/>
            <color indexed="81"/>
            <rFont val="Tahoma"/>
            <family val="2"/>
          </rPr>
          <t xml:space="preserve">
75086</t>
        </r>
      </text>
    </comment>
  </commentList>
</comments>
</file>

<file path=xl/comments37.xml><?xml version="1.0" encoding="utf-8"?>
<comments xmlns="http://schemas.openxmlformats.org/spreadsheetml/2006/main">
  <authors>
    <author>Dani Weatherston</author>
    <author>t97535</author>
    <author>Morrow, Luke C.</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E83" authorId="2" shapeId="0">
      <text>
        <r>
          <rPr>
            <b/>
            <sz val="9"/>
            <color indexed="81"/>
            <rFont val="Tahoma"/>
            <family val="2"/>
          </rPr>
          <t>Morrow, Luke C.:</t>
        </r>
        <r>
          <rPr>
            <sz val="9"/>
            <color indexed="81"/>
            <rFont val="Tahoma"/>
            <family val="2"/>
          </rPr>
          <t xml:space="preserve">
Update formula next month. New account so not included in Q2 tab, which would result in N/A</t>
        </r>
      </text>
    </comment>
    <comment ref="A93" authorId="0" shapeId="0">
      <text>
        <r>
          <rPr>
            <b/>
            <sz val="8"/>
            <color indexed="81"/>
            <rFont val="Tahoma"/>
            <family val="2"/>
          </rPr>
          <t>Dani Weatherston:</t>
        </r>
        <r>
          <rPr>
            <sz val="8"/>
            <color indexed="81"/>
            <rFont val="Tahoma"/>
            <family val="2"/>
          </rPr>
          <t xml:space="preserve">
This is a payment to the Carbon Management Group
</t>
        </r>
      </text>
    </comment>
    <comment ref="D93" authorId="0" shapeId="0">
      <text>
        <r>
          <rPr>
            <b/>
            <sz val="8"/>
            <color indexed="81"/>
            <rFont val="Tahoma"/>
            <family val="2"/>
          </rPr>
          <t>Dani Weatherston:</t>
        </r>
        <r>
          <rPr>
            <sz val="8"/>
            <color indexed="81"/>
            <rFont val="Tahoma"/>
            <family val="2"/>
          </rPr>
          <t xml:space="preserve">
This is a payment to the Carbon Management Group
</t>
        </r>
      </text>
    </comment>
    <comment ref="A94" authorId="0" shapeId="0">
      <text>
        <r>
          <rPr>
            <b/>
            <sz val="8"/>
            <color indexed="81"/>
            <rFont val="Tahoma"/>
            <family val="2"/>
          </rPr>
          <t>Dani Weatherston:</t>
        </r>
        <r>
          <rPr>
            <sz val="8"/>
            <color indexed="81"/>
            <rFont val="Tahoma"/>
            <family val="2"/>
          </rPr>
          <t xml:space="preserve">
This is a payment to the Carbon Management Group
</t>
        </r>
      </text>
    </comment>
    <comment ref="D94" authorId="0" shapeId="0">
      <text>
        <r>
          <rPr>
            <b/>
            <sz val="8"/>
            <color indexed="81"/>
            <rFont val="Tahoma"/>
            <family val="2"/>
          </rPr>
          <t>Dani Weatherston:</t>
        </r>
        <r>
          <rPr>
            <sz val="8"/>
            <color indexed="81"/>
            <rFont val="Tahoma"/>
            <family val="2"/>
          </rPr>
          <t xml:space="preserve">
This is a payment to the Carbon Management Group
</t>
        </r>
      </text>
    </comment>
    <comment ref="C104" authorId="3"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4" shapeId="0">
      <text>
        <r>
          <rPr>
            <b/>
            <sz val="8"/>
            <color indexed="81"/>
            <rFont val="Tahoma"/>
            <family val="2"/>
          </rPr>
          <t>MEKroge:</t>
        </r>
        <r>
          <rPr>
            <sz val="8"/>
            <color indexed="81"/>
            <rFont val="Tahoma"/>
            <family val="2"/>
          </rPr>
          <t xml:space="preserve">
75086</t>
        </r>
      </text>
    </comment>
    <comment ref="D137" authorId="4" shapeId="0">
      <text>
        <r>
          <rPr>
            <b/>
            <sz val="8"/>
            <color indexed="81"/>
            <rFont val="Tahoma"/>
            <family val="2"/>
          </rPr>
          <t>Business Unit:</t>
        </r>
        <r>
          <rPr>
            <sz val="8"/>
            <color indexed="81"/>
            <rFont val="Tahoma"/>
            <family val="2"/>
          </rPr>
          <t xml:space="preserve">
75086</t>
        </r>
      </text>
    </comment>
  </commentList>
</comments>
</file>

<file path=xl/comments38.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3" authorId="0" shapeId="0">
      <text>
        <r>
          <rPr>
            <b/>
            <sz val="8"/>
            <color indexed="81"/>
            <rFont val="Tahoma"/>
            <family val="2"/>
          </rPr>
          <t>Dani Weatherston:</t>
        </r>
        <r>
          <rPr>
            <sz val="8"/>
            <color indexed="81"/>
            <rFont val="Tahoma"/>
            <family val="2"/>
          </rPr>
          <t xml:space="preserve">
This is a payment to the Carbon Management Group
</t>
        </r>
      </text>
    </comment>
    <comment ref="D93" authorId="0" shapeId="0">
      <text>
        <r>
          <rPr>
            <b/>
            <sz val="8"/>
            <color indexed="81"/>
            <rFont val="Tahoma"/>
            <family val="2"/>
          </rPr>
          <t>Dani Weatherston:</t>
        </r>
        <r>
          <rPr>
            <sz val="8"/>
            <color indexed="81"/>
            <rFont val="Tahoma"/>
            <family val="2"/>
          </rPr>
          <t xml:space="preserve">
This is a payment to the Carbon Management Group
</t>
        </r>
      </text>
    </comment>
    <comment ref="A94" authorId="0" shapeId="0">
      <text>
        <r>
          <rPr>
            <b/>
            <sz val="8"/>
            <color indexed="81"/>
            <rFont val="Tahoma"/>
            <family val="2"/>
          </rPr>
          <t>Dani Weatherston:</t>
        </r>
        <r>
          <rPr>
            <sz val="8"/>
            <color indexed="81"/>
            <rFont val="Tahoma"/>
            <family val="2"/>
          </rPr>
          <t xml:space="preserve">
This is a payment to the Carbon Management Group
</t>
        </r>
      </text>
    </comment>
    <comment ref="D94" authorId="0" shapeId="0">
      <text>
        <r>
          <rPr>
            <b/>
            <sz val="8"/>
            <color indexed="81"/>
            <rFont val="Tahoma"/>
            <family val="2"/>
          </rPr>
          <t>Dani Weatherston:</t>
        </r>
        <r>
          <rPr>
            <sz val="8"/>
            <color indexed="81"/>
            <rFont val="Tahoma"/>
            <family val="2"/>
          </rPr>
          <t xml:space="preserve">
This is a payment to the Carbon Management Group
</t>
        </r>
      </text>
    </comment>
    <comment ref="C104"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text>
        <r>
          <rPr>
            <b/>
            <sz val="8"/>
            <color indexed="81"/>
            <rFont val="Tahoma"/>
            <family val="2"/>
          </rPr>
          <t>MEKroge:</t>
        </r>
        <r>
          <rPr>
            <sz val="8"/>
            <color indexed="81"/>
            <rFont val="Tahoma"/>
            <family val="2"/>
          </rPr>
          <t xml:space="preserve">
75086</t>
        </r>
      </text>
    </comment>
    <comment ref="D137" authorId="3" shapeId="0">
      <text>
        <r>
          <rPr>
            <b/>
            <sz val="8"/>
            <color indexed="81"/>
            <rFont val="Tahoma"/>
            <family val="2"/>
          </rPr>
          <t>Business Unit:</t>
        </r>
        <r>
          <rPr>
            <sz val="8"/>
            <color indexed="81"/>
            <rFont val="Tahoma"/>
            <family val="2"/>
          </rPr>
          <t xml:space="preserve">
75086</t>
        </r>
      </text>
    </comment>
  </commentList>
</comments>
</file>

<file path=xl/comments39.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3" authorId="0" shapeId="0">
      <text>
        <r>
          <rPr>
            <b/>
            <sz val="8"/>
            <color indexed="81"/>
            <rFont val="Tahoma"/>
            <family val="2"/>
          </rPr>
          <t>Dani Weatherston:</t>
        </r>
        <r>
          <rPr>
            <sz val="8"/>
            <color indexed="81"/>
            <rFont val="Tahoma"/>
            <family val="2"/>
          </rPr>
          <t xml:space="preserve">
This is a payment to the Carbon Management Group
</t>
        </r>
      </text>
    </comment>
    <comment ref="D93" authorId="0" shapeId="0">
      <text>
        <r>
          <rPr>
            <b/>
            <sz val="8"/>
            <color indexed="81"/>
            <rFont val="Tahoma"/>
            <family val="2"/>
          </rPr>
          <t>Dani Weatherston:</t>
        </r>
        <r>
          <rPr>
            <sz val="8"/>
            <color indexed="81"/>
            <rFont val="Tahoma"/>
            <family val="2"/>
          </rPr>
          <t xml:space="preserve">
This is a payment to the Carbon Management Group
</t>
        </r>
      </text>
    </comment>
    <comment ref="A94" authorId="0" shapeId="0">
      <text>
        <r>
          <rPr>
            <b/>
            <sz val="8"/>
            <color indexed="81"/>
            <rFont val="Tahoma"/>
            <family val="2"/>
          </rPr>
          <t>Dani Weatherston:</t>
        </r>
        <r>
          <rPr>
            <sz val="8"/>
            <color indexed="81"/>
            <rFont val="Tahoma"/>
            <family val="2"/>
          </rPr>
          <t xml:space="preserve">
This is a payment to the Carbon Management Group
</t>
        </r>
      </text>
    </comment>
    <comment ref="D94" authorId="0" shapeId="0">
      <text>
        <r>
          <rPr>
            <b/>
            <sz val="8"/>
            <color indexed="81"/>
            <rFont val="Tahoma"/>
            <family val="2"/>
          </rPr>
          <t>Dani Weatherston:</t>
        </r>
        <r>
          <rPr>
            <sz val="8"/>
            <color indexed="81"/>
            <rFont val="Tahoma"/>
            <family val="2"/>
          </rPr>
          <t xml:space="preserve">
This is a payment to the Carbon Management Group
</t>
        </r>
      </text>
    </comment>
    <comment ref="C104"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text>
        <r>
          <rPr>
            <b/>
            <sz val="8"/>
            <color indexed="81"/>
            <rFont val="Tahoma"/>
            <family val="2"/>
          </rPr>
          <t>MEKroge:</t>
        </r>
        <r>
          <rPr>
            <sz val="8"/>
            <color indexed="81"/>
            <rFont val="Tahoma"/>
            <family val="2"/>
          </rPr>
          <t xml:space="preserve">
75086</t>
        </r>
      </text>
    </comment>
    <comment ref="D137" authorId="3" shapeId="0">
      <text>
        <r>
          <rPr>
            <b/>
            <sz val="8"/>
            <color indexed="81"/>
            <rFont val="Tahoma"/>
            <family val="2"/>
          </rPr>
          <t>Business Unit:</t>
        </r>
        <r>
          <rPr>
            <sz val="8"/>
            <color indexed="81"/>
            <rFont val="Tahoma"/>
            <family val="2"/>
          </rPr>
          <t xml:space="preserve">
75086</t>
        </r>
      </text>
    </comment>
  </commentList>
</comments>
</file>

<file path=xl/comments4.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40.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93" authorId="0" shapeId="0">
      <text>
        <r>
          <rPr>
            <b/>
            <sz val="8"/>
            <color indexed="81"/>
            <rFont val="Tahoma"/>
            <family val="2"/>
          </rPr>
          <t>Dani Weatherston:</t>
        </r>
        <r>
          <rPr>
            <sz val="8"/>
            <color indexed="81"/>
            <rFont val="Tahoma"/>
            <family val="2"/>
          </rPr>
          <t xml:space="preserve">
This is a payment to the Carbon Management Group
</t>
        </r>
      </text>
    </comment>
    <comment ref="D93" authorId="0" shapeId="0">
      <text>
        <r>
          <rPr>
            <b/>
            <sz val="8"/>
            <color indexed="81"/>
            <rFont val="Tahoma"/>
            <family val="2"/>
          </rPr>
          <t>Dani Weatherston:</t>
        </r>
        <r>
          <rPr>
            <sz val="8"/>
            <color indexed="81"/>
            <rFont val="Tahoma"/>
            <family val="2"/>
          </rPr>
          <t xml:space="preserve">
This is a payment to the Carbon Management Group
</t>
        </r>
      </text>
    </comment>
    <comment ref="A94" authorId="0" shapeId="0">
      <text>
        <r>
          <rPr>
            <b/>
            <sz val="8"/>
            <color indexed="81"/>
            <rFont val="Tahoma"/>
            <family val="2"/>
          </rPr>
          <t>Dani Weatherston:</t>
        </r>
        <r>
          <rPr>
            <sz val="8"/>
            <color indexed="81"/>
            <rFont val="Tahoma"/>
            <family val="2"/>
          </rPr>
          <t xml:space="preserve">
This is a payment to the Carbon Management Group
</t>
        </r>
      </text>
    </comment>
    <comment ref="D94" authorId="0" shapeId="0">
      <text>
        <r>
          <rPr>
            <b/>
            <sz val="8"/>
            <color indexed="81"/>
            <rFont val="Tahoma"/>
            <family val="2"/>
          </rPr>
          <t>Dani Weatherston:</t>
        </r>
        <r>
          <rPr>
            <sz val="8"/>
            <color indexed="81"/>
            <rFont val="Tahoma"/>
            <family val="2"/>
          </rPr>
          <t xml:space="preserve">
This is a payment to the Carbon Management Group
</t>
        </r>
      </text>
    </comment>
    <comment ref="C104"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text>
        <r>
          <rPr>
            <b/>
            <sz val="8"/>
            <color indexed="81"/>
            <rFont val="Tahoma"/>
            <family val="2"/>
          </rPr>
          <t>MEKroge:</t>
        </r>
        <r>
          <rPr>
            <sz val="8"/>
            <color indexed="81"/>
            <rFont val="Tahoma"/>
            <family val="2"/>
          </rPr>
          <t xml:space="preserve">
75086</t>
        </r>
      </text>
    </comment>
    <comment ref="D137" authorId="3" shapeId="0">
      <text>
        <r>
          <rPr>
            <b/>
            <sz val="8"/>
            <color indexed="81"/>
            <rFont val="Tahoma"/>
            <family val="2"/>
          </rPr>
          <t>Business Unit:</t>
        </r>
        <r>
          <rPr>
            <sz val="8"/>
            <color indexed="81"/>
            <rFont val="Tahoma"/>
            <family val="2"/>
          </rPr>
          <t xml:space="preserve">
75086</t>
        </r>
      </text>
    </comment>
  </commentList>
</comments>
</file>

<file path=xl/comments41.xml><?xml version="1.0" encoding="utf-8"?>
<comments xmlns="http://schemas.openxmlformats.org/spreadsheetml/2006/main">
  <authors>
    <author>Wathen, Don</author>
  </authors>
  <commentList>
    <comment ref="Q135" authorId="0" shapeId="0">
      <text>
        <r>
          <rPr>
            <sz val="9"/>
            <color indexed="81"/>
            <rFont val="Tahoma"/>
            <family val="2"/>
          </rPr>
          <t>The sum of this column has to equal the beginning balance of the reg asset to be fully amortized.  Since the overall cost was greater than the projected balance in the case, we need another 7 months beyond the 10 years to fully amortize without modifying the revenue requirement</t>
        </r>
      </text>
    </comment>
    <comment ref="AF135" authorId="0" shapeId="0">
      <text>
        <r>
          <rPr>
            <sz val="9"/>
            <color indexed="81"/>
            <rFont val="Tahoma"/>
            <family val="2"/>
          </rPr>
          <t>This is how it would look if the reg asset balance was exactly what we projected or if we wrote off the amount over the initial estimate.  In this case, it takes exactly 120 months to fully amortize.</t>
        </r>
      </text>
    </comment>
  </commentList>
</comments>
</file>

<file path=xl/comments5.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6.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3" authorId="0" shapeId="0">
      <text>
        <r>
          <rPr>
            <b/>
            <sz val="8"/>
            <color indexed="81"/>
            <rFont val="Tahoma"/>
            <family val="2"/>
          </rPr>
          <t>Dani Weatherston:</t>
        </r>
        <r>
          <rPr>
            <sz val="8"/>
            <color indexed="81"/>
            <rFont val="Tahoma"/>
            <family val="2"/>
          </rPr>
          <t xml:space="preserve">
This is a payment to the Carbon Management Group
</t>
        </r>
      </text>
    </comment>
    <comment ref="D73" authorId="0" shapeId="0">
      <text>
        <r>
          <rPr>
            <b/>
            <sz val="8"/>
            <color indexed="81"/>
            <rFont val="Tahoma"/>
            <family val="2"/>
          </rPr>
          <t>Dani Weatherston:</t>
        </r>
        <r>
          <rPr>
            <sz val="8"/>
            <color indexed="81"/>
            <rFont val="Tahoma"/>
            <family val="2"/>
          </rPr>
          <t xml:space="preserve">
This is a payment to the Carbon Management Group
</t>
        </r>
      </text>
    </comment>
    <comment ref="C81"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text>
        <r>
          <rPr>
            <b/>
            <sz val="8"/>
            <color indexed="81"/>
            <rFont val="Tahoma"/>
            <family val="2"/>
          </rPr>
          <t>MEKroge:</t>
        </r>
        <r>
          <rPr>
            <sz val="8"/>
            <color indexed="81"/>
            <rFont val="Tahoma"/>
            <family val="2"/>
          </rPr>
          <t xml:space="preserve">
75086</t>
        </r>
      </text>
    </comment>
    <comment ref="D111" authorId="3" shapeId="0">
      <text>
        <r>
          <rPr>
            <b/>
            <sz val="8"/>
            <color indexed="81"/>
            <rFont val="Tahoma"/>
            <family val="2"/>
          </rPr>
          <t>Business Unit:</t>
        </r>
        <r>
          <rPr>
            <sz val="8"/>
            <color indexed="81"/>
            <rFont val="Tahoma"/>
            <family val="2"/>
          </rPr>
          <t xml:space="preserve">
75086</t>
        </r>
      </text>
    </comment>
  </commentList>
</comments>
</file>

<file path=xl/comments7.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5" authorId="0" shapeId="0">
      <text>
        <r>
          <rPr>
            <b/>
            <sz val="8"/>
            <color indexed="81"/>
            <rFont val="Tahoma"/>
            <family val="2"/>
          </rPr>
          <t>Dani Weatherston:</t>
        </r>
        <r>
          <rPr>
            <sz val="8"/>
            <color indexed="81"/>
            <rFont val="Tahoma"/>
            <family val="2"/>
          </rPr>
          <t xml:space="preserve">
This is a payment to the Carbon Management Group
</t>
        </r>
      </text>
    </comment>
    <comment ref="D75" authorId="0" shapeId="0">
      <text>
        <r>
          <rPr>
            <b/>
            <sz val="8"/>
            <color indexed="81"/>
            <rFont val="Tahoma"/>
            <family val="2"/>
          </rPr>
          <t>Dani Weatherston:</t>
        </r>
        <r>
          <rPr>
            <sz val="8"/>
            <color indexed="81"/>
            <rFont val="Tahoma"/>
            <family val="2"/>
          </rPr>
          <t xml:space="preserve">
This is a payment to the Carbon Management Group
</t>
        </r>
      </text>
    </comment>
    <comment ref="C8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text>
        <r>
          <rPr>
            <b/>
            <sz val="8"/>
            <color indexed="81"/>
            <rFont val="Tahoma"/>
            <family val="2"/>
          </rPr>
          <t>MEKroge:</t>
        </r>
        <r>
          <rPr>
            <sz val="8"/>
            <color indexed="81"/>
            <rFont val="Tahoma"/>
            <family val="2"/>
          </rPr>
          <t xml:space="preserve">
75086</t>
        </r>
      </text>
    </comment>
    <comment ref="D113" authorId="3" shapeId="0">
      <text>
        <r>
          <rPr>
            <b/>
            <sz val="8"/>
            <color indexed="81"/>
            <rFont val="Tahoma"/>
            <family val="2"/>
          </rPr>
          <t>Business Unit:</t>
        </r>
        <r>
          <rPr>
            <sz val="8"/>
            <color indexed="81"/>
            <rFont val="Tahoma"/>
            <family val="2"/>
          </rPr>
          <t xml:space="preserve">
75086</t>
        </r>
      </text>
    </comment>
  </commentList>
</comments>
</file>

<file path=xl/comments8.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5" authorId="0" shapeId="0">
      <text>
        <r>
          <rPr>
            <b/>
            <sz val="8"/>
            <color indexed="81"/>
            <rFont val="Tahoma"/>
            <family val="2"/>
          </rPr>
          <t>Dani Weatherston:</t>
        </r>
        <r>
          <rPr>
            <sz val="8"/>
            <color indexed="81"/>
            <rFont val="Tahoma"/>
            <family val="2"/>
          </rPr>
          <t xml:space="preserve">
This is a payment to the Carbon Management Group
</t>
        </r>
      </text>
    </comment>
    <comment ref="D75" authorId="0" shapeId="0">
      <text>
        <r>
          <rPr>
            <b/>
            <sz val="8"/>
            <color indexed="81"/>
            <rFont val="Tahoma"/>
            <family val="2"/>
          </rPr>
          <t>Dani Weatherston:</t>
        </r>
        <r>
          <rPr>
            <sz val="8"/>
            <color indexed="81"/>
            <rFont val="Tahoma"/>
            <family val="2"/>
          </rPr>
          <t xml:space="preserve">
This is a payment to the Carbon Management Group
</t>
        </r>
      </text>
    </comment>
    <comment ref="C8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text>
        <r>
          <rPr>
            <b/>
            <sz val="8"/>
            <color indexed="81"/>
            <rFont val="Tahoma"/>
            <family val="2"/>
          </rPr>
          <t>MEKroge:</t>
        </r>
        <r>
          <rPr>
            <sz val="8"/>
            <color indexed="81"/>
            <rFont val="Tahoma"/>
            <family val="2"/>
          </rPr>
          <t xml:space="preserve">
75086</t>
        </r>
      </text>
    </comment>
    <comment ref="D113" authorId="3" shapeId="0">
      <text>
        <r>
          <rPr>
            <b/>
            <sz val="8"/>
            <color indexed="81"/>
            <rFont val="Tahoma"/>
            <family val="2"/>
          </rPr>
          <t>Business Unit:</t>
        </r>
        <r>
          <rPr>
            <sz val="8"/>
            <color indexed="81"/>
            <rFont val="Tahoma"/>
            <family val="2"/>
          </rPr>
          <t xml:space="preserve">
75086</t>
        </r>
      </text>
    </comment>
  </commentList>
</comments>
</file>

<file path=xl/comments9.xml><?xml version="1.0" encoding="utf-8"?>
<comments xmlns="http://schemas.openxmlformats.org/spreadsheetml/2006/main">
  <authors>
    <author>Dani Weatherston</author>
    <author>t97535</author>
    <author>Hodskins, Jessica</author>
    <author>MEKroge</author>
  </authors>
  <commentList>
    <comment ref="L6" authorId="0" shapeId="0">
      <text>
        <r>
          <rPr>
            <b/>
            <sz val="8"/>
            <color indexed="81"/>
            <rFont val="Tahoma"/>
            <family val="2"/>
          </rPr>
          <t>Dani Weatherston:</t>
        </r>
        <r>
          <rPr>
            <sz val="8"/>
            <color indexed="81"/>
            <rFont val="Tahoma"/>
            <family val="2"/>
          </rPr>
          <t xml:space="preserve">
Information provided by Bob Parsons, March 03,2005</t>
        </r>
      </text>
    </comment>
    <comment ref="M6" authorId="0" shapeId="0">
      <text>
        <r>
          <rPr>
            <b/>
            <sz val="8"/>
            <color indexed="81"/>
            <rFont val="Tahoma"/>
            <family val="2"/>
          </rPr>
          <t>Dani Weatherston:</t>
        </r>
        <r>
          <rPr>
            <sz val="8"/>
            <color indexed="81"/>
            <rFont val="Tahoma"/>
            <family val="2"/>
          </rPr>
          <t xml:space="preserve">
Information provided by Bob Parsons, March 03, 2005</t>
        </r>
      </text>
    </comment>
    <comment ref="S52" authorId="1" shapeId="0">
      <text>
        <r>
          <rPr>
            <b/>
            <sz val="8"/>
            <color indexed="81"/>
            <rFont val="Tahoma"/>
            <family val="2"/>
          </rPr>
          <t xml:space="preserve">In July this became a liability and is represented in the 182999 account
</t>
        </r>
      </text>
    </comment>
    <comment ref="A75" authorId="0" shapeId="0">
      <text>
        <r>
          <rPr>
            <b/>
            <sz val="8"/>
            <color indexed="81"/>
            <rFont val="Tahoma"/>
            <family val="2"/>
          </rPr>
          <t>Dani Weatherston:</t>
        </r>
        <r>
          <rPr>
            <sz val="8"/>
            <color indexed="81"/>
            <rFont val="Tahoma"/>
            <family val="2"/>
          </rPr>
          <t xml:space="preserve">
This is a payment to the Carbon Management Group
</t>
        </r>
      </text>
    </comment>
    <comment ref="D75" authorId="0" shapeId="0">
      <text>
        <r>
          <rPr>
            <b/>
            <sz val="8"/>
            <color indexed="81"/>
            <rFont val="Tahoma"/>
            <family val="2"/>
          </rPr>
          <t>Dani Weatherston:</t>
        </r>
        <r>
          <rPr>
            <sz val="8"/>
            <color indexed="81"/>
            <rFont val="Tahoma"/>
            <family val="2"/>
          </rPr>
          <t xml:space="preserve">
This is a payment to the Carbon Management Group
</t>
        </r>
      </text>
    </comment>
    <comment ref="C83" authorId="2" shapeId="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text>
        <r>
          <rPr>
            <b/>
            <sz val="8"/>
            <color indexed="81"/>
            <rFont val="Tahoma"/>
            <family val="2"/>
          </rPr>
          <t>MEKroge:</t>
        </r>
        <r>
          <rPr>
            <sz val="8"/>
            <color indexed="81"/>
            <rFont val="Tahoma"/>
            <family val="2"/>
          </rPr>
          <t xml:space="preserve">
75086</t>
        </r>
      </text>
    </comment>
    <comment ref="D113" authorId="3" shapeId="0">
      <text>
        <r>
          <rPr>
            <b/>
            <sz val="8"/>
            <color indexed="81"/>
            <rFont val="Tahoma"/>
            <family val="2"/>
          </rPr>
          <t>Business Unit:</t>
        </r>
        <r>
          <rPr>
            <sz val="8"/>
            <color indexed="81"/>
            <rFont val="Tahoma"/>
            <family val="2"/>
          </rPr>
          <t xml:space="preserve">
75086</t>
        </r>
      </text>
    </comment>
  </commentList>
</comments>
</file>

<file path=xl/connections.xml><?xml version="1.0" encoding="utf-8"?>
<connections xmlns="http://schemas.openxmlformats.org/spreadsheetml/2006/main">
  <connection id="1" odcFile="\\nam\wsfolders\DATA\NAM\JMWithe\Documents\My Data Sources\WCLTENASDIMP01_PROD_AS FIHUBAS_JD Journal Detail.odc" keepAlive="1" name="WCLTENASDIMP01\PROD_AS FIHUBAS_JD Journal Detail"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 id="2" odcFile="\\nam\wsfolders\DATA\NAM\JMWithe\Documents\My Data Sources\WCLTENASDIMP01_PROD_AS FIHUBAS_JD Journal Detail.odc" keepAlive="1" name="WCLTENASDIMP01\PROD_AS FIHUBAS_JD Journal Detail1"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s>
</file>

<file path=xl/sharedStrings.xml><?xml version="1.0" encoding="utf-8"?>
<sst xmlns="http://schemas.openxmlformats.org/spreadsheetml/2006/main" count="14762" uniqueCount="469">
  <si>
    <t>Date of Most</t>
  </si>
  <si>
    <t>of Annual</t>
  </si>
  <si>
    <t>Balance at</t>
  </si>
  <si>
    <t>Reclass</t>
  </si>
  <si>
    <t>Additions/</t>
  </si>
  <si>
    <t>Asset Earning</t>
  </si>
  <si>
    <t>Order</t>
  </si>
  <si>
    <t>Recent Order</t>
  </si>
  <si>
    <t>Amortization</t>
  </si>
  <si>
    <t>Approved</t>
  </si>
  <si>
    <t>Journal Entries</t>
  </si>
  <si>
    <t xml:space="preserve">Offset Account </t>
  </si>
  <si>
    <t>Adjustment</t>
  </si>
  <si>
    <t>Deferrals</t>
  </si>
  <si>
    <t>a Return</t>
  </si>
  <si>
    <t>Approving Deferral</t>
  </si>
  <si>
    <t>Method</t>
  </si>
  <si>
    <t>Recovery</t>
  </si>
  <si>
    <t>Add/Def</t>
  </si>
  <si>
    <t>Amort</t>
  </si>
  <si>
    <t>Amortization JEs</t>
  </si>
  <si>
    <t>0182320</t>
  </si>
  <si>
    <t>No</t>
  </si>
  <si>
    <t>182300</t>
  </si>
  <si>
    <t>0254100</t>
  </si>
  <si>
    <t>not cash</t>
  </si>
  <si>
    <t>0930200 - Misc General Expenses</t>
  </si>
  <si>
    <t>CA120</t>
  </si>
  <si>
    <t>Deferred Demand Side Management Costs</t>
  </si>
  <si>
    <t>0182401</t>
  </si>
  <si>
    <t>RA140</t>
  </si>
  <si>
    <t>0407907 - Regulatory Asset-Deferral Acct</t>
  </si>
  <si>
    <t>Other regulatory assets</t>
  </si>
  <si>
    <t>0142982</t>
  </si>
  <si>
    <t>0191990</t>
  </si>
  <si>
    <t>0182410</t>
  </si>
  <si>
    <t>0928006 - State Reg Comm Proceeding</t>
  </si>
  <si>
    <t>0186342</t>
  </si>
  <si>
    <t>0182700</t>
  </si>
  <si>
    <t>Hurricane Ike Regulatory Asset</t>
  </si>
  <si>
    <t>0189100</t>
  </si>
  <si>
    <t>TOTAL REGULATORY ASSETS</t>
  </si>
  <si>
    <t>0108151</t>
  </si>
  <si>
    <t>Yes       (1)</t>
  </si>
  <si>
    <t>FA110</t>
  </si>
  <si>
    <t>0108301</t>
  </si>
  <si>
    <t>0108620</t>
  </si>
  <si>
    <t>0254401</t>
  </si>
  <si>
    <t>0254101</t>
  </si>
  <si>
    <t>0182403</t>
  </si>
  <si>
    <t>PPARO</t>
  </si>
  <si>
    <t>PPDEPR</t>
  </si>
  <si>
    <t>0191400</t>
  </si>
  <si>
    <t>0191800</t>
  </si>
  <si>
    <t>0253130</t>
  </si>
  <si>
    <t xml:space="preserve">TOTAL REGULATORY LIABILITIES </t>
  </si>
  <si>
    <t>TOTAL REG ASSETS AND REG LIABILITIES</t>
  </si>
  <si>
    <t>Less sum of non-cash items</t>
  </si>
  <si>
    <t>Regulatory asset on cash flow statement</t>
  </si>
  <si>
    <t>Regulatory asset total on cash flow statement</t>
  </si>
  <si>
    <t>By F/S Line</t>
  </si>
  <si>
    <t>Amounts due from Customers Income Taxes</t>
  </si>
  <si>
    <t>Regulatory Liabilities in A/P</t>
  </si>
  <si>
    <t>Cash</t>
  </si>
  <si>
    <t>A/R</t>
  </si>
  <si>
    <t>A/P</t>
  </si>
  <si>
    <t>Amount</t>
  </si>
  <si>
    <t>DSM settlement agreement - Dec 1996</t>
  </si>
  <si>
    <t>Tied to DSM rider revenues</t>
  </si>
  <si>
    <t>Variable</t>
  </si>
  <si>
    <t>Deferred Revenue Receivable - Unbilled Fuel</t>
  </si>
  <si>
    <t>0174995</t>
  </si>
  <si>
    <t>0186802</t>
  </si>
  <si>
    <t>0182318</t>
  </si>
  <si>
    <t>0182402</t>
  </si>
  <si>
    <t>0254210</t>
  </si>
  <si>
    <t>0253690</t>
  </si>
  <si>
    <t>0242895</t>
  </si>
  <si>
    <t>BDMS Code</t>
  </si>
  <si>
    <t>Reg asset - Inc Tax</t>
  </si>
  <si>
    <t>Reg liability - Inc Tax</t>
  </si>
  <si>
    <t>Deferred Merger Costs</t>
  </si>
  <si>
    <t>0182750</t>
  </si>
  <si>
    <t>2005 Merger Transaction Costs</t>
  </si>
  <si>
    <t>KPSC Case No. 2005-00228</t>
  </si>
  <si>
    <t>KPSC Case No. 2006-0172</t>
  </si>
  <si>
    <t>Straight line for 60 mos. Beg April 06</t>
  </si>
  <si>
    <t>CA516</t>
  </si>
  <si>
    <t>No (Zero balance)</t>
  </si>
  <si>
    <t>0182910</t>
  </si>
  <si>
    <t>ULH&amp;P LERP Delayed Cash Costs</t>
  </si>
  <si>
    <t>KPSC Case NO.  2001-092 - 1/31/02</t>
  </si>
  <si>
    <t>Straight line for 120 mos. beg Feb '02</t>
  </si>
  <si>
    <t>CA512</t>
  </si>
  <si>
    <t>0182950</t>
  </si>
  <si>
    <t>ULH&amp;P 2005 Gas Rate Case</t>
  </si>
  <si>
    <t>CA504</t>
  </si>
  <si>
    <t>0182975</t>
  </si>
  <si>
    <t>ULH&amp;P AMRP Study Costs</t>
  </si>
  <si>
    <t>CA514</t>
  </si>
  <si>
    <t>0182376</t>
  </si>
  <si>
    <t>Project Caleb - Deferred Project Costs</t>
  </si>
  <si>
    <t>KPSC Case NO. 2003-00252 - 12/05/03</t>
  </si>
  <si>
    <t>KPSC Case No. 2006-00172 Dec 2006</t>
  </si>
  <si>
    <t>CA518</t>
  </si>
  <si>
    <t>0182940</t>
  </si>
  <si>
    <t>ULH&amp;P 2006 Electric Rate Case</t>
  </si>
  <si>
    <t>CA517</t>
  </si>
  <si>
    <t xml:space="preserve">Native Deferred MTM Asset        </t>
  </si>
  <si>
    <t xml:space="preserve">Unrecovered Purchase Gas Cost - Reclass         </t>
  </si>
  <si>
    <t>KPSC Case No. 2006-00563</t>
  </si>
  <si>
    <t>KPSC Case No. 2006-00563 Dec 2006</t>
  </si>
  <si>
    <t>KPSC Case No. 2008-00476</t>
  </si>
  <si>
    <t xml:space="preserve">0428165 -  Amort of Loss Reaquired Debt </t>
  </si>
  <si>
    <t xml:space="preserve">Unrecovered Purchased Gas Cost </t>
  </si>
  <si>
    <t xml:space="preserve">Unrecovered Purchased Gas Cost - Unbilled  </t>
  </si>
  <si>
    <t>0242890</t>
  </si>
  <si>
    <t xml:space="preserve">Native Deferred MTM Liability    </t>
  </si>
  <si>
    <t>0242981</t>
  </si>
  <si>
    <t xml:space="preserve">Ratepayer Sharing Provisions           </t>
  </si>
  <si>
    <t xml:space="preserve">Gas Refunds and Reconciliation Adjustments  </t>
  </si>
  <si>
    <t>Total</t>
  </si>
  <si>
    <t>0186803</t>
  </si>
  <si>
    <t>0186805</t>
  </si>
  <si>
    <t>0174100</t>
  </si>
  <si>
    <t>Other Reg Assets - Gen Acct</t>
  </si>
  <si>
    <t>KPSC Case No 2008-00308 10/30/2008</t>
  </si>
  <si>
    <t>Accounts Receivable</t>
  </si>
  <si>
    <t>Other Deferred Debits - Regulatory Assets</t>
  </si>
  <si>
    <t>Regulatory Asset  - Pension</t>
  </si>
  <si>
    <t>Accounts Payable</t>
  </si>
  <si>
    <t>0186357</t>
  </si>
  <si>
    <t>DEK 2009 Gas Rate Case Reg Asset</t>
  </si>
  <si>
    <t>0182366</t>
  </si>
  <si>
    <t>Carbon Mgmt Reg Asset</t>
  </si>
  <si>
    <t>Misc</t>
  </si>
  <si>
    <t>0174300</t>
  </si>
  <si>
    <t>Swap Int Recvbl Cur Reg Asset</t>
  </si>
  <si>
    <t>Regulatory Asset in A/R - Trade</t>
  </si>
  <si>
    <t>Other Current Assets</t>
  </si>
  <si>
    <t>Reg Asset Receivable Gaap Node 1211</t>
  </si>
  <si>
    <t>Unamortized Loss on Debt - Gaap Node 1821</t>
  </si>
  <si>
    <t>Other Current Assets - Reg Gaap Node 1491</t>
  </si>
  <si>
    <t>Other Deferred Debits - Regulatory Assets Gaap Node 1861</t>
  </si>
  <si>
    <t>Recon to D&amp;T Q1 Reg Asset Rollforward</t>
  </si>
  <si>
    <t>Ending Balance 3/31/2009 Submitted Rollforward</t>
  </si>
  <si>
    <t>Modifications:</t>
  </si>
  <si>
    <t>Assets</t>
  </si>
  <si>
    <t>Liabilitlies</t>
  </si>
  <si>
    <t>Late Tax entry not captured - 0182320</t>
  </si>
  <si>
    <t>Late Tax entry not captured - 0254101</t>
  </si>
  <si>
    <t>Regulatory Assets - Pension - Gaap Node1870</t>
  </si>
  <si>
    <t>Reg Asset Payable - Gaap Node 2103</t>
  </si>
  <si>
    <t>Other Deferred Cr - Compensation Liab - Gaap Node 2648</t>
  </si>
  <si>
    <t>RegulatoryLiabilities - Pension - Gaap Node 2647</t>
  </si>
  <si>
    <t>Regulatory Liabilities - Removal Costs Gaap Node 2652</t>
  </si>
  <si>
    <t>Deferred Rev Pay - Fuel</t>
  </si>
  <si>
    <r>
      <t xml:space="preserve">Vacation Accrual Regulatory Asset           </t>
    </r>
    <r>
      <rPr>
        <b/>
        <sz val="10"/>
        <color theme="0"/>
        <rFont val="Arial"/>
        <family val="2"/>
      </rPr>
      <t xml:space="preserve">  </t>
    </r>
    <r>
      <rPr>
        <b/>
        <i/>
        <sz val="10"/>
        <color theme="0"/>
        <rFont val="Arial"/>
        <family val="2"/>
      </rPr>
      <t xml:space="preserve">         Not cash</t>
    </r>
  </si>
  <si>
    <r>
      <t xml:space="preserve">Unamortized Loss on Reacquired Debt   </t>
    </r>
    <r>
      <rPr>
        <b/>
        <i/>
        <sz val="10"/>
        <color theme="0"/>
        <rFont val="Arial"/>
        <family val="2"/>
      </rPr>
      <t>Not Cash</t>
    </r>
  </si>
  <si>
    <r>
      <t xml:space="preserve">Deferred DSM Costs                      </t>
    </r>
    <r>
      <rPr>
        <b/>
        <i/>
        <sz val="10"/>
        <color theme="0"/>
        <rFont val="Arial"/>
        <family val="2"/>
      </rPr>
      <t>Amort not cash</t>
    </r>
  </si>
  <si>
    <r>
      <t xml:space="preserve">Interest Rate Hedges - AOCI - Purch Accting             </t>
    </r>
    <r>
      <rPr>
        <b/>
        <i/>
        <sz val="10"/>
        <color theme="0"/>
        <rFont val="Arial"/>
        <family val="2"/>
      </rPr>
      <t>not cash</t>
    </r>
  </si>
  <si>
    <r>
      <t xml:space="preserve">Accrued Pension Post Retire FAS158                       </t>
    </r>
    <r>
      <rPr>
        <b/>
        <i/>
        <sz val="10"/>
        <color theme="0"/>
        <rFont val="Arial"/>
        <family val="2"/>
      </rPr>
      <t>Not Cash</t>
    </r>
  </si>
  <si>
    <r>
      <t xml:space="preserve">Pension Deferred Credits - OPEB </t>
    </r>
    <r>
      <rPr>
        <b/>
        <i/>
        <sz val="10"/>
        <color theme="0"/>
        <rFont val="Arial"/>
        <family val="2"/>
      </rPr>
      <t>Amort cash</t>
    </r>
  </si>
  <si>
    <r>
      <t xml:space="preserve">Deferred Regulatory Liability   </t>
    </r>
    <r>
      <rPr>
        <b/>
        <sz val="10"/>
        <color theme="0"/>
        <rFont val="Arial"/>
        <family val="2"/>
      </rPr>
      <t xml:space="preserve"> not cash</t>
    </r>
  </si>
  <si>
    <r>
      <t xml:space="preserve">Reg Liab - Native EA Swaps       </t>
    </r>
    <r>
      <rPr>
        <b/>
        <i/>
        <sz val="10"/>
        <color theme="0"/>
        <rFont val="Arial"/>
        <family val="2"/>
      </rPr>
      <t>not cash</t>
    </r>
  </si>
  <si>
    <r>
      <t xml:space="preserve">Gas Accumulated Provision for Depreciation COR - </t>
    </r>
    <r>
      <rPr>
        <b/>
        <i/>
        <sz val="10"/>
        <color theme="0"/>
        <rFont val="Arial"/>
        <family val="2"/>
      </rPr>
      <t>not cash</t>
    </r>
  </si>
  <si>
    <r>
      <t xml:space="preserve">Electric Accumulated Provision for Depreciation COR - </t>
    </r>
    <r>
      <rPr>
        <b/>
        <i/>
        <sz val="10"/>
        <color theme="0"/>
        <rFont val="Arial"/>
        <family val="2"/>
      </rPr>
      <t>not cash</t>
    </r>
    <r>
      <rPr>
        <sz val="10"/>
        <color theme="0"/>
        <rFont val="Arial"/>
        <family val="2"/>
      </rPr>
      <t xml:space="preserve"> </t>
    </r>
  </si>
  <si>
    <r>
      <t xml:space="preserve">Retirement Work in Progress </t>
    </r>
    <r>
      <rPr>
        <b/>
        <i/>
        <sz val="10"/>
        <color theme="0"/>
        <rFont val="Arial"/>
        <family val="2"/>
      </rPr>
      <t>- not cash</t>
    </r>
  </si>
  <si>
    <r>
      <t xml:space="preserve">ARO other regulatory assets - </t>
    </r>
    <r>
      <rPr>
        <b/>
        <i/>
        <sz val="10"/>
        <color theme="0"/>
        <rFont val="Arial"/>
        <family val="2"/>
      </rPr>
      <t>not cash</t>
    </r>
  </si>
  <si>
    <r>
      <t xml:space="preserve">Gas ARO other regulatory assets - </t>
    </r>
    <r>
      <rPr>
        <b/>
        <i/>
        <sz val="10"/>
        <color theme="0"/>
        <rFont val="Arial"/>
        <family val="2"/>
      </rPr>
      <t>not cash</t>
    </r>
  </si>
  <si>
    <r>
      <t xml:space="preserve">Common Accumulated Provision for Depreciation COR - </t>
    </r>
    <r>
      <rPr>
        <b/>
        <i/>
        <sz val="10"/>
        <color theme="0"/>
        <rFont val="Arial"/>
        <family val="2"/>
      </rPr>
      <t>not cash</t>
    </r>
  </si>
  <si>
    <r>
      <t xml:space="preserve">Accrued Pension Post Retire FAS 158     </t>
    </r>
    <r>
      <rPr>
        <b/>
        <sz val="10"/>
        <color theme="0"/>
        <rFont val="Arial"/>
        <family val="2"/>
      </rPr>
      <t>not cash - 0186803</t>
    </r>
  </si>
  <si>
    <r>
      <t xml:space="preserve">Accrued Pension Post Retire FAS 158   </t>
    </r>
    <r>
      <rPr>
        <b/>
        <sz val="10"/>
        <color theme="0"/>
        <rFont val="Arial"/>
        <family val="2"/>
      </rPr>
      <t xml:space="preserve">  not cash - 0186805</t>
    </r>
  </si>
  <si>
    <t>DEK 2011 Electric Rate Case</t>
  </si>
  <si>
    <t>0186356</t>
  </si>
  <si>
    <t>2010 SmartGrid Other Def O&amp;M</t>
  </si>
  <si>
    <t>0182371</t>
  </si>
  <si>
    <t>0182364</t>
  </si>
  <si>
    <t>Reg Asset SmartGrid Gas Furn</t>
  </si>
  <si>
    <t>Deferred DSM Costs - Amort not cash</t>
  </si>
  <si>
    <t>On Top Entries</t>
  </si>
  <si>
    <t>Current Portion of Reg Liabilities</t>
  </si>
  <si>
    <t>0242988</t>
  </si>
  <si>
    <t>Current Portion of Reg Assets</t>
  </si>
  <si>
    <t>0182370</t>
  </si>
  <si>
    <t>Current Regulatory Liabilities</t>
  </si>
  <si>
    <t>0254988</t>
  </si>
  <si>
    <t>.</t>
  </si>
  <si>
    <t>Regulatory Liability - Current</t>
  </si>
  <si>
    <t>Other Current Liabilties - Gaap Node 2365</t>
  </si>
  <si>
    <t>Other Current Assets - Regulatory Assets</t>
  </si>
  <si>
    <t>Income Taxes - Regulatory Assets</t>
  </si>
  <si>
    <r>
      <t xml:space="preserve">Vacation Accrual Regulatory Asset           </t>
    </r>
    <r>
      <rPr>
        <b/>
        <sz val="10"/>
        <rFont val="Arial"/>
        <family val="2"/>
      </rPr>
      <t xml:space="preserve">  </t>
    </r>
    <r>
      <rPr>
        <b/>
        <i/>
        <sz val="10"/>
        <rFont val="Arial"/>
        <family val="2"/>
      </rPr>
      <t xml:space="preserve">                        </t>
    </r>
  </si>
  <si>
    <t xml:space="preserve">Deferred DSM Costs                                                  </t>
  </si>
  <si>
    <t>Pension Deferred Credits - OPEB</t>
  </si>
  <si>
    <r>
      <t xml:space="preserve">Deferred Regulatory Liability   </t>
    </r>
    <r>
      <rPr>
        <b/>
        <sz val="10"/>
        <rFont val="Arial"/>
        <family val="2"/>
      </rPr>
      <t xml:space="preserve"> </t>
    </r>
  </si>
  <si>
    <t xml:space="preserve">Deferred DSM Costs </t>
  </si>
  <si>
    <t>Gas Accumulated Provision for Depreciation COR</t>
  </si>
  <si>
    <t>Electric Accumulated Provision for Depreciation COR</t>
  </si>
  <si>
    <t>Retirement Work in Progress</t>
  </si>
  <si>
    <t>Common Accumulated Provision for Depreciation COR</t>
  </si>
  <si>
    <t>Swap Interest Receivable Regulatory Asset</t>
  </si>
  <si>
    <t>Current Portion of Regulatory Assets</t>
  </si>
  <si>
    <t>Regulatory Asset - Income Tax</t>
  </si>
  <si>
    <t>Regulatory Liability - Income Tax</t>
  </si>
  <si>
    <t>Carbon Management Regulatory Asset</t>
  </si>
  <si>
    <t>Unamortized Loss on Debt - Deferred Debt Expense</t>
  </si>
  <si>
    <t xml:space="preserve">Unamortized Loss on Reacquired Debt </t>
  </si>
  <si>
    <t>FERC Balance at</t>
  </si>
  <si>
    <t>SEC Balance at</t>
  </si>
  <si>
    <t>BU 75092</t>
  </si>
  <si>
    <t>Deferred Revenue Payable - Fuel</t>
  </si>
  <si>
    <t xml:space="preserve">Interest Rate Swap Reg Asset - AOCI - Purchase Accounting     </t>
  </si>
  <si>
    <t>Current Portion of Regulatory Liabilities</t>
  </si>
  <si>
    <t>Regulatory Liability - Pension</t>
  </si>
  <si>
    <t xml:space="preserve">Regulatory Liability Emission Allowance Swaps       </t>
  </si>
  <si>
    <t>Removal Costs - Regulatory Liabilities</t>
  </si>
  <si>
    <t>ARO Other Regulatory Assets</t>
  </si>
  <si>
    <t>Gas ARO Other Regulatory Assets</t>
  </si>
  <si>
    <t>TOTAL REGULATORY ASSETS AND LIABILITIES</t>
  </si>
  <si>
    <t>BALANCE SHEET ROLLFORWARD</t>
  </si>
  <si>
    <t>REGULATORY ASSETS AND LIABILITIES</t>
  </si>
  <si>
    <t xml:space="preserve"> </t>
  </si>
  <si>
    <t>DUKE ENERGY KENTUCKY</t>
  </si>
  <si>
    <t xml:space="preserve">Accrued Pension Post Retirement FAS158                       </t>
  </si>
  <si>
    <t xml:space="preserve">Accrued Pension Post Retirement FAS 158     </t>
  </si>
  <si>
    <r>
      <t xml:space="preserve">Accrued Pension Post Retirement FAS 158   </t>
    </r>
    <r>
      <rPr>
        <b/>
        <sz val="10"/>
        <rFont val="Arial"/>
        <family val="2"/>
      </rPr>
      <t xml:space="preserve">  </t>
    </r>
  </si>
  <si>
    <t>Other Deferred Credits</t>
  </si>
  <si>
    <t>Straight line for 36 mos. Beg Feb 07.</t>
  </si>
  <si>
    <t>0182050</t>
  </si>
  <si>
    <t>East Bend Plant O&amp;M expense</t>
  </si>
  <si>
    <t>East Bend Plant</t>
  </si>
  <si>
    <t>0182359</t>
  </si>
  <si>
    <t>REPS Incremental Costs</t>
  </si>
  <si>
    <t>REPS incremental Costs</t>
  </si>
  <si>
    <t>This is not a Reg Asset</t>
  </si>
  <si>
    <t>0186249</t>
  </si>
  <si>
    <t>Coal Ash Pond - NC&amp;SC Retail</t>
  </si>
  <si>
    <t>Coal Ash pond - NC&amp;SC Retail</t>
  </si>
  <si>
    <t>0182493</t>
  </si>
  <si>
    <t>Def Depr - East Bend</t>
  </si>
  <si>
    <t xml:space="preserve">Yes      </t>
  </si>
  <si>
    <t xml:space="preserve">Yes       </t>
  </si>
  <si>
    <r>
      <t xml:space="preserve">No    </t>
    </r>
    <r>
      <rPr>
        <b/>
        <sz val="10"/>
        <color rgb="FFFF0000"/>
        <rFont val="Arial"/>
        <family val="2"/>
      </rPr>
      <t xml:space="preserve"> New</t>
    </r>
  </si>
  <si>
    <r>
      <t xml:space="preserve">No     </t>
    </r>
    <r>
      <rPr>
        <b/>
        <sz val="10"/>
        <color rgb="FFFF0000"/>
        <rFont val="Arial"/>
        <family val="2"/>
      </rPr>
      <t>New</t>
    </r>
  </si>
  <si>
    <t xml:space="preserve">O&amp;M deferral for 31% of East Bend purchased from DPL. </t>
  </si>
  <si>
    <t>KPSC 2014-201</t>
  </si>
  <si>
    <t>KPSC 2015-120</t>
  </si>
  <si>
    <t>KPSC 2015-368. KPSC 2014-388</t>
  </si>
  <si>
    <t>KPSC Case No.  2008-308</t>
  </si>
  <si>
    <t>Yes</t>
  </si>
  <si>
    <t xml:space="preserve">No   </t>
  </si>
  <si>
    <t>0182398</t>
  </si>
  <si>
    <t>Load Management Switches</t>
  </si>
  <si>
    <t>0182471</t>
  </si>
  <si>
    <t>Coal Ash pond - IN Retail</t>
  </si>
  <si>
    <t>0186251</t>
  </si>
  <si>
    <t>Contra Equity Coal Ash Spend RA</t>
  </si>
  <si>
    <t>1491_REG_ASSET_OCA</t>
  </si>
  <si>
    <t>1861_ODA_REG_ASSET</t>
  </si>
  <si>
    <t>1870_REG_ASSET_PEN</t>
  </si>
  <si>
    <t>1866_REG_ASSET_TAX</t>
  </si>
  <si>
    <t>1821_UNAMORT_LOSS</t>
  </si>
  <si>
    <t>2103_REG_LIAB_AP</t>
  </si>
  <si>
    <t>2647_REG_LIAB_PENSION</t>
  </si>
  <si>
    <t>2648_ODC_REG_LIAB</t>
  </si>
  <si>
    <t>2652_REMCOST_REGLIAB</t>
  </si>
  <si>
    <r>
      <t xml:space="preserve">No   </t>
    </r>
    <r>
      <rPr>
        <b/>
        <sz val="10"/>
        <rFont val="Arial"/>
        <family val="2"/>
      </rPr>
      <t>1211_REG_ASSET_AR</t>
    </r>
  </si>
  <si>
    <t>0182315</t>
  </si>
  <si>
    <t>Reg Asset - Coal Ash pond ARO</t>
  </si>
  <si>
    <r>
      <t xml:space="preserve">1864_ODA_ARO </t>
    </r>
    <r>
      <rPr>
        <b/>
        <sz val="8"/>
        <color rgb="FFFF0000"/>
        <rFont val="Arial"/>
        <family val="2"/>
      </rPr>
      <t>(NEW)</t>
    </r>
  </si>
  <si>
    <t>0108640</t>
  </si>
  <si>
    <t>ARO Liability - Ash Management</t>
  </si>
  <si>
    <t xml:space="preserve">1211 REG_ASSET_AR </t>
  </si>
  <si>
    <t xml:space="preserve">No  </t>
  </si>
  <si>
    <t>0182715</t>
  </si>
  <si>
    <t>Deferred Gas Integrity Costs</t>
  </si>
  <si>
    <t>1864_ODA_ARO (NEW)</t>
  </si>
  <si>
    <t xml:space="preserve">  </t>
  </si>
  <si>
    <t xml:space="preserve">1864_ODA_ARO </t>
  </si>
  <si>
    <t>0182800</t>
  </si>
  <si>
    <t>Accrued Pension Post Retirement Pur Acct-Qual</t>
  </si>
  <si>
    <t>0186027</t>
  </si>
  <si>
    <t>KO Transmission 2015-2016 Rate</t>
  </si>
  <si>
    <t xml:space="preserve">Accrued Pension Post Retirement FAS 158- FAS112     </t>
  </si>
  <si>
    <t>0186804</t>
  </si>
  <si>
    <t>0254689</t>
  </si>
  <si>
    <t>Reg Liability - NQ</t>
  </si>
  <si>
    <t>DEK 2017 ELEC Rate Case Exp</t>
  </si>
  <si>
    <t>0186108</t>
  </si>
  <si>
    <t>0182312</t>
  </si>
  <si>
    <t>Oprb Fas 106 - Medical</t>
  </si>
  <si>
    <t>0182801</t>
  </si>
  <si>
    <t>Pen PostRet P Acctg-FAS87 NQ</t>
  </si>
  <si>
    <r>
      <rPr>
        <sz val="10"/>
        <color rgb="FFFF0000"/>
        <rFont val="Arial"/>
        <family val="2"/>
      </rPr>
      <t>Gas</t>
    </r>
    <r>
      <rPr>
        <sz val="10"/>
        <rFont val="Arial"/>
        <family val="2"/>
      </rPr>
      <t xml:space="preserve"> Accumulated Provision for Depreciation COR</t>
    </r>
  </si>
  <si>
    <r>
      <rPr>
        <sz val="10"/>
        <color rgb="FFFF0000"/>
        <rFont val="Arial"/>
        <family val="2"/>
      </rPr>
      <t>Electric</t>
    </r>
    <r>
      <rPr>
        <sz val="10"/>
        <rFont val="Arial"/>
        <family val="2"/>
      </rPr>
      <t xml:space="preserve"> Accumulated Provision for Depreciation COR</t>
    </r>
  </si>
  <si>
    <t>PEC Unrecovered Plant</t>
  </si>
  <si>
    <t>0186610</t>
  </si>
  <si>
    <t>Opt-Out  IT Modifications</t>
  </si>
  <si>
    <t>0182714</t>
  </si>
  <si>
    <t>Opt- Out IT Modifications</t>
  </si>
  <si>
    <t>ASK PEGGY- New Account</t>
  </si>
  <si>
    <t>Opt-Out IT Modifications</t>
  </si>
  <si>
    <t>KPSC Case No. 2016-0152</t>
  </si>
  <si>
    <t>0182525</t>
  </si>
  <si>
    <t>Non-AMI Meter NBV 182.3</t>
  </si>
  <si>
    <t>KPSC Case No.  2008-308;
2017-00321</t>
  </si>
  <si>
    <t>KPSC 2017-321</t>
  </si>
  <si>
    <t>Carbon Management Reg Asset Amortization</t>
  </si>
  <si>
    <t>KPSC 2014-201; 
KPSC 2017-321</t>
  </si>
  <si>
    <t>Account</t>
  </si>
  <si>
    <t>DEK Regulatory Assets being amortized</t>
  </si>
  <si>
    <t>Account #</t>
  </si>
  <si>
    <t>Account Description</t>
  </si>
  <si>
    <t>Case No.</t>
  </si>
  <si>
    <t>KPSC 2008-476;
KPSC 2017-321</t>
  </si>
  <si>
    <t>KPSC 2015-120; 
KPSC 2017-321</t>
  </si>
  <si>
    <t>Per  DEK Case No. 2017-00321 (4/13/18)</t>
  </si>
  <si>
    <t>Authorized Amount to Recover:</t>
  </si>
  <si>
    <t>(Acct 0182366) beginning May 31, 2018</t>
  </si>
  <si>
    <t>GL Balance</t>
  </si>
  <si>
    <t>2nd Qtr Payment</t>
  </si>
  <si>
    <t>Ant. June 2018</t>
  </si>
  <si>
    <t>3rd Qtr Payment</t>
  </si>
  <si>
    <t>Ant. Sept 2018</t>
  </si>
  <si>
    <t>4th Qtr Payment</t>
  </si>
  <si>
    <t>Ant. Dec 2018</t>
  </si>
  <si>
    <t>To be amortized for 120 months:</t>
  </si>
  <si>
    <t>(May 2018 to April 2028)</t>
  </si>
  <si>
    <t>Accounting used in May 2018 to true up balance and normal amortization</t>
  </si>
  <si>
    <t>400RA700 - Monthly entry:</t>
  </si>
  <si>
    <t>BU</t>
  </si>
  <si>
    <t>Resp Center</t>
  </si>
  <si>
    <t>Debit</t>
  </si>
  <si>
    <t>Credit</t>
  </si>
  <si>
    <t>0407305</t>
  </si>
  <si>
    <t>Normal May amoritzation</t>
  </si>
  <si>
    <t>Up front penny amortization</t>
  </si>
  <si>
    <t>Accounting used from June 2018 to April 2028:</t>
  </si>
  <si>
    <t>400RA702 - Monthly entry:</t>
  </si>
  <si>
    <t>Amortization in</t>
  </si>
  <si>
    <t>Net</t>
  </si>
  <si>
    <t>Amortization Schedule</t>
  </si>
  <si>
    <t>Acct 0182366</t>
  </si>
  <si>
    <t>Balance</t>
  </si>
  <si>
    <t>Beg Bal</t>
  </si>
  <si>
    <t>Monthly Amount</t>
  </si>
  <si>
    <t>includes 2nd qtr pmt of $50,000</t>
  </si>
  <si>
    <t>includes 3rd qtr pmt of $50,000</t>
  </si>
  <si>
    <t>includes 4th qtr pmt of $50,000</t>
  </si>
  <si>
    <t>GL Balance 06/30</t>
  </si>
  <si>
    <t>Correction 06/19</t>
  </si>
  <si>
    <t>Amortization Period</t>
  </si>
  <si>
    <t>05/18 - 04/28</t>
  </si>
  <si>
    <t>DEK Gas Integrity Mgmt Reg Asset</t>
  </si>
  <si>
    <t>DEK Electric EB O&amp;M Reg Asset</t>
  </si>
  <si>
    <t>Beg Balance</t>
  </si>
  <si>
    <t>Rev Req/12</t>
  </si>
  <si>
    <t>Interest</t>
  </si>
  <si>
    <t>Principal</t>
  </si>
  <si>
    <t>Ending Bal</t>
  </si>
  <si>
    <t>(a)</t>
  </si>
  <si>
    <t>(b)</t>
  </si>
  <si>
    <t>(c)=0.436/12*(a)</t>
  </si>
  <si>
    <t>(d) = (b)-(c)</t>
  </si>
  <si>
    <t>(e)=(a)-(d)</t>
  </si>
  <si>
    <t>(c)=0.4243/12*(a)</t>
  </si>
  <si>
    <t>pmt(int,months,amount)</t>
  </si>
  <si>
    <t>JE for April 2019 would be:</t>
  </si>
  <si>
    <t>JE for April 2018 would be:</t>
  </si>
  <si>
    <t>Dr. Amortization Expense</t>
  </si>
  <si>
    <t xml:space="preserve">  Cr. Amortization Expense</t>
  </si>
  <si>
    <t xml:space="preserve">  Cr. Reg Asset </t>
  </si>
  <si>
    <t>JE for July 2019:</t>
  </si>
  <si>
    <t>Dr. Amortization Expense 407305</t>
  </si>
  <si>
    <t xml:space="preserve">  Cr. Carrying Costs 407407</t>
  </si>
  <si>
    <t xml:space="preserve">  Cr. Reg Asset 0182050</t>
  </si>
  <si>
    <t>sum of column equals total</t>
  </si>
  <si>
    <t>05/18 - 10/28</t>
  </si>
  <si>
    <t>400AM701</t>
  </si>
  <si>
    <t>AMI Opt-Out Deferred Expenses Amortization</t>
  </si>
  <si>
    <t>(Acct 0182714) beginning May 31, 2018</t>
  </si>
  <si>
    <t>To be amortized for 60 months:</t>
  </si>
  <si>
    <t>(May 2018 to April 2023)</t>
  </si>
  <si>
    <t>OU</t>
  </si>
  <si>
    <t>CSKE</t>
  </si>
  <si>
    <t>Accounting used from June 2018 to April 2023:</t>
  </si>
  <si>
    <t>Acct 0182714</t>
  </si>
  <si>
    <t>05/18 - 04/23</t>
  </si>
  <si>
    <t>400AM702</t>
  </si>
  <si>
    <t>Hurricane IKE Deferred Expenses Amortization</t>
  </si>
  <si>
    <t>(Acct 0182700) beginning May 31, 2018</t>
  </si>
  <si>
    <t>Acct 0182700</t>
  </si>
  <si>
    <t>DEK Deferred Rate Case Expense Amortization</t>
  </si>
  <si>
    <t>(Acct 0186108) beginning May 31, 2018</t>
  </si>
  <si>
    <t>Amount to write off in May</t>
  </si>
  <si>
    <t>EL02</t>
  </si>
  <si>
    <t>0928006</t>
  </si>
  <si>
    <t>Write off</t>
  </si>
  <si>
    <t>Acct 0186108</t>
  </si>
  <si>
    <t>Duke Energy Kentucky</t>
  </si>
  <si>
    <t>DEK Kentucky Retail Non-AMI Meter Reg Asset</t>
  </si>
  <si>
    <t>The purpose of this schedule is to show the amortization of the DEK Non-AMI regulatory Asset.  The DEK AMI rollout was complete as of Q1 2019.  As such, Asset Accounting will no longer track meter retirement activity as was done before (through June 2019).  Tab B represents the last tracking file that was used for DEK Non-AMI Meters through June 2019.  This agrees to the G/L as of June 2019.  The balance in this account consists of the NBV of the Non-AMI Meters as well as the impairment that was recognized given that DEK is not allowed a return on these assets.  DEK began recovery of this reg asset starting in May 2018.  Amortization of $38K a month was approved in the rate case.  As such, this amortization table continues the amortization at the approved amount until the amount is zero.  DEK also needs to accrete the impairment recorded.  Technically this should have began in May 2018 when amortization of the reg asset began.  However, given materiality, DEK will accrete this impairment over the remaining recovery period of the regulatory asset.  The difference between what should have been recorded from May 2018 - August 2019 is approximately $80K (roughly $1,160,000/15 years) which is considered immaterial so no prior period adjustment is needed.</t>
  </si>
  <si>
    <t>Kentucky DEK Balance - Impairment booked 5/2017</t>
  </si>
  <si>
    <t>See Tab C</t>
  </si>
  <si>
    <t>Amortization Life (mon)</t>
  </si>
  <si>
    <t xml:space="preserve">Monthly Amortization Accounting Entries </t>
  </si>
  <si>
    <t>Monthly Amort.</t>
  </si>
  <si>
    <t>July-Aug. 2019 Entry</t>
  </si>
  <si>
    <t>0407115 - Meter Amortization</t>
  </si>
  <si>
    <t>0182525 - Non-AMI Meter NBV 182.3</t>
  </si>
  <si>
    <t>Kentucky DEK Balance - Per KY Rate Case Filing (KY 2017-00321) - Amortization began in May 2018</t>
  </si>
  <si>
    <t>See Tab F</t>
  </si>
  <si>
    <t>0421940 Misc Income</t>
  </si>
  <si>
    <t>July-Aug 2019 only (Record in Sept)</t>
  </si>
  <si>
    <t>Month</t>
  </si>
  <si>
    <t>Beginning Balance Meter NBV</t>
  </si>
  <si>
    <t>Monthly Amortization to 407 (Expense approved in Rate Case)</t>
  </si>
  <si>
    <t>Ending Balance Meter NBV</t>
  </si>
  <si>
    <t>Beginning Balance NBV Impairment</t>
  </si>
  <si>
    <t>Monthly Entry to 421  (Implied Return)</t>
  </si>
  <si>
    <t>Total Monthly Reduction to 182</t>
  </si>
  <si>
    <t>Net G/L Balance</t>
  </si>
  <si>
    <t>Sept 2019 only (To Be Setup as Recurring)</t>
  </si>
  <si>
    <t>07/19 - 08/31</t>
  </si>
  <si>
    <t>Monthly Amortization Expense</t>
  </si>
  <si>
    <t>DE Kentucky</t>
  </si>
  <si>
    <t>East Bend Depreciation Deferral - Accoun 0182493</t>
  </si>
  <si>
    <t>Below is  a summary of the East Bend Deferred Depreciation Proforma included in the 2017 DEK Electric Rate Case.  The annual amortization of $490,618 was approved as part of the rate case.  The original amortization table included with the rate case assumed rates would go into effect 4/1/2018; however, rates did not go into effect until 5/1/2018.  As such, Asset Accounting adjusted the amortization table to record only $22,320 for the month of April 2018 and to start the approved monthly Amortization in May 2018.  The Amortization table below shows the amortization through the remaining period of recovery for this regulatory asset.
This regulatory asset is a related to the purchaseof DP&amp;L's share of East Bend in 2015.  Case 2015-120 gave DEK Authority to establish the regulatory asset.  Amortization of the regulatory asset was approved as part of the 2017 Rate Case (# Cited below)</t>
  </si>
  <si>
    <t xml:space="preserve">Line </t>
  </si>
  <si>
    <t>Monthly Depr</t>
  </si>
  <si>
    <t>Depr of</t>
  </si>
  <si>
    <t>No.</t>
  </si>
  <si>
    <t>Description</t>
  </si>
  <si>
    <t>Per Books</t>
  </si>
  <si>
    <t>Net Plant</t>
  </si>
  <si>
    <t>Purchase Price</t>
  </si>
  <si>
    <t>Monthly Debit</t>
  </si>
  <si>
    <t>Balance of</t>
  </si>
  <si>
    <t>$214.4 mm * 2.16%</t>
  </si>
  <si>
    <t>$12.4 mm * 2.16%</t>
  </si>
  <si>
    <t>To Reg Asset</t>
  </si>
  <si>
    <t>Reg Asset</t>
  </si>
  <si>
    <t>(c)</t>
  </si>
  <si>
    <t>(d)=(a)-(c)</t>
  </si>
  <si>
    <t>(e)</t>
  </si>
  <si>
    <t>Annual Depreciation Expense Determined Under FERC Regulations</t>
  </si>
  <si>
    <t xml:space="preserve">    Original cost</t>
  </si>
  <si>
    <t>This portion was included in the Rate Case to show how the regulatory asset accumulated.</t>
  </si>
  <si>
    <t xml:space="preserve">    Depreciation rate</t>
  </si>
  <si>
    <t>Annual Depreciation Expense</t>
  </si>
  <si>
    <t>Monthly Depreciation Expense</t>
  </si>
  <si>
    <t>Months until purchase price fully depreciated</t>
  </si>
  <si>
    <t>Depreciation Expense on Net Plant Purchase Price</t>
  </si>
  <si>
    <t xml:space="preserve">    Net Purchase Price</t>
  </si>
  <si>
    <t xml:space="preserve">Depreciation Expense </t>
  </si>
  <si>
    <t xml:space="preserve">Monthly Depreciation Expense </t>
  </si>
  <si>
    <t>Depreciation expense booked for first 32.14 months</t>
  </si>
  <si>
    <t>Deferred Depreciation Balance</t>
  </si>
  <si>
    <t>Amortization after first 32.14 months through March 31, 2018</t>
  </si>
  <si>
    <t>Regulatory Asset Balance at March 31, 2018</t>
  </si>
  <si>
    <t>Remaining Life of East Bend Station</t>
  </si>
  <si>
    <t>Annual Amortization</t>
  </si>
  <si>
    <t>Monthly Amortization</t>
  </si>
  <si>
    <t>To record amortization of East Bend deferred depreciation  in account 182493</t>
  </si>
  <si>
    <t xml:space="preserve"> Per order in Case 2015-120</t>
  </si>
  <si>
    <t>NOTE:  RATES WERE NOTE APPROVED AND IMPLEMENTED UNTIL MAY 1, 2018.  FOR APRIL THE $22k AMOUNT WAS RECODED</t>
  </si>
  <si>
    <t>East Bend Plant Deferred Depreciation</t>
  </si>
  <si>
    <t>05/18 - 10/41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</si>
</sst>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mm/dd/yy"/>
    <numFmt numFmtId="165" formatCode="&quot;$&quot;#,##0.00"/>
    <numFmt numFmtId="166" formatCode="_(* #,##0.000000000000000000_);_(* \(#,##0.000000000000000000\);_(* &quot;-&quot;??_);_(@_)"/>
    <numFmt numFmtId="167" formatCode="_(* #,##0_);_(* \(#,##0\);_(* &quot;-&quot;??_);_(@_)"/>
    <numFmt numFmtId="168" formatCode="0_);\(0\)"/>
    <numFmt numFmtId="169" formatCode="[$-409]mmm\-yy;@"/>
    <numFmt numFmtId="170" formatCode="#,##0.0"/>
  </numFmts>
  <fonts count="67" x14ac:knownFonts="1">
    <font>
      <sz val="10"/>
      <name val="Arial"/>
    </font>
    <font>
      <sz val="11"/>
      <color theme="1"/>
      <name val="Calibri"/>
      <family val="2"/>
      <scheme val="minor"/>
    </font>
    <font>
      <sz val="10"/>
      <name val="Arial"/>
      <family val="2"/>
    </font>
    <font>
      <b/>
      <sz val="10"/>
      <name val="Arial"/>
      <family val="2"/>
    </font>
    <font>
      <sz val="10"/>
      <name val="Arial"/>
      <family val="2"/>
    </font>
    <font>
      <b/>
      <u/>
      <sz val="10"/>
      <name val="Arial"/>
      <family val="2"/>
    </font>
    <font>
      <b/>
      <i/>
      <sz val="10"/>
      <name val="Arial"/>
      <family val="2"/>
    </font>
    <font>
      <sz val="10"/>
      <color indexed="10"/>
      <name val="Arial"/>
      <family val="2"/>
    </font>
    <font>
      <sz val="10"/>
      <color indexed="8"/>
      <name val="Arial"/>
      <family val="2"/>
    </font>
    <font>
      <i/>
      <sz val="10"/>
      <name val="Arial"/>
      <family val="2"/>
    </font>
    <font>
      <sz val="10"/>
      <color indexed="21"/>
      <name val="Arial"/>
      <family val="2"/>
    </font>
    <font>
      <b/>
      <sz val="8"/>
      <color indexed="81"/>
      <name val="Tahoma"/>
      <family val="2"/>
    </font>
    <font>
      <sz val="8"/>
      <color indexed="81"/>
      <name val="Tahoma"/>
      <family val="2"/>
    </font>
    <font>
      <sz val="1"/>
      <name val="Arial"/>
      <family val="2"/>
    </font>
    <font>
      <sz val="11"/>
      <color rgb="FF006100"/>
      <name val="Calibri"/>
      <family val="2"/>
      <scheme val="minor"/>
    </font>
    <font>
      <sz val="11"/>
      <name val="Calibri"/>
      <family val="2"/>
      <scheme val="minor"/>
    </font>
    <font>
      <sz val="10"/>
      <color theme="0"/>
      <name val="Arial"/>
      <family val="2"/>
    </font>
    <font>
      <b/>
      <sz val="10"/>
      <color theme="0"/>
      <name val="Arial"/>
      <family val="2"/>
    </font>
    <font>
      <b/>
      <i/>
      <sz val="10"/>
      <color theme="0"/>
      <name val="Arial"/>
      <family val="2"/>
    </font>
    <font>
      <b/>
      <u/>
      <sz val="10"/>
      <color theme="0"/>
      <name val="Arial"/>
      <family val="2"/>
    </font>
    <font>
      <sz val="10"/>
      <color rgb="FFFF0000"/>
      <name val="Arial"/>
      <family val="2"/>
    </font>
    <font>
      <b/>
      <sz val="10"/>
      <color rgb="FFFF0000"/>
      <name val="Arial"/>
      <family val="2"/>
    </font>
    <font>
      <b/>
      <u/>
      <sz val="10"/>
      <color rgb="FFFF0000"/>
      <name val="Arial"/>
      <family val="2"/>
    </font>
    <font>
      <u val="singleAccounting"/>
      <sz val="10"/>
      <name val="Arial"/>
      <family val="2"/>
    </font>
    <font>
      <b/>
      <sz val="14"/>
      <name val="Arial"/>
      <family val="2"/>
    </font>
    <font>
      <sz val="10"/>
      <color rgb="FF0033CC"/>
      <name val="Arial"/>
      <family val="2"/>
    </font>
    <font>
      <b/>
      <sz val="10"/>
      <color rgb="FF0033CC"/>
      <name val="Arial"/>
      <family val="2"/>
    </font>
    <font>
      <b/>
      <sz val="11"/>
      <color rgb="FF1F497D"/>
      <name val="Calibri"/>
      <family val="2"/>
    </font>
    <font>
      <sz val="9"/>
      <color rgb="FF00B050"/>
      <name val="Calibri"/>
      <family val="2"/>
      <scheme val="minor"/>
    </font>
    <font>
      <b/>
      <sz val="8"/>
      <name val="Arial"/>
      <family val="2"/>
    </font>
    <font>
      <b/>
      <sz val="8"/>
      <color rgb="FFFF0000"/>
      <name val="Arial"/>
      <family val="2"/>
    </font>
    <font>
      <b/>
      <sz val="11"/>
      <color rgb="FFFF0000"/>
      <name val="Calibri"/>
      <family val="2"/>
      <scheme val="minor"/>
    </font>
    <font>
      <sz val="9"/>
      <color indexed="81"/>
      <name val="Tahoma"/>
      <family val="2"/>
    </font>
    <font>
      <b/>
      <sz val="9"/>
      <color indexed="81"/>
      <name val="Tahoma"/>
      <family val="2"/>
    </font>
    <font>
      <sz val="11"/>
      <color theme="1"/>
      <name val="Times New Roman"/>
      <family val="2"/>
    </font>
    <font>
      <b/>
      <i/>
      <u/>
      <sz val="10"/>
      <name val="Arial"/>
      <family val="2"/>
    </font>
    <font>
      <b/>
      <u/>
      <sz val="11"/>
      <name val="Times New Roman"/>
      <family val="1"/>
    </font>
    <font>
      <b/>
      <sz val="11"/>
      <name val="Times New Roman"/>
      <family val="1"/>
    </font>
    <font>
      <b/>
      <sz val="10"/>
      <name val="Times New Roman"/>
      <family val="1"/>
    </font>
    <font>
      <u/>
      <sz val="10"/>
      <name val="Arial"/>
      <family val="2"/>
    </font>
    <font>
      <sz val="10"/>
      <name val="Times New Roman"/>
      <family val="1"/>
    </font>
    <font>
      <u/>
      <sz val="10"/>
      <name val="Times New Roman"/>
      <family val="1"/>
    </font>
    <font>
      <sz val="8"/>
      <name val="Arial"/>
      <family val="2"/>
    </font>
    <font>
      <b/>
      <sz val="11"/>
      <color rgb="FF00B050"/>
      <name val="Arial"/>
      <family val="2"/>
    </font>
    <font>
      <b/>
      <u/>
      <sz val="11"/>
      <name val="Arial"/>
      <family val="2"/>
    </font>
    <font>
      <b/>
      <sz val="11"/>
      <name val="Arial"/>
      <family val="2"/>
    </font>
    <font>
      <b/>
      <sz val="10"/>
      <color rgb="FF00B050"/>
      <name val="Arial"/>
      <family val="2"/>
    </font>
    <font>
      <sz val="10"/>
      <name val="Arial"/>
      <family val="2"/>
    </font>
    <font>
      <b/>
      <sz val="18"/>
      <color theme="1"/>
      <name val="Calibri"/>
      <family val="2"/>
      <scheme val="minor"/>
    </font>
    <font>
      <sz val="18"/>
      <color theme="1"/>
      <name val="Calibri"/>
      <family val="2"/>
      <scheme val="minor"/>
    </font>
    <font>
      <sz val="11"/>
      <name val="Arial"/>
      <family val="2"/>
    </font>
    <font>
      <sz val="11"/>
      <color rgb="FFFF0000"/>
      <name val="Arial"/>
      <family val="2"/>
    </font>
    <font>
      <b/>
      <sz val="16"/>
      <color theme="1"/>
      <name val="Calibri"/>
      <family val="2"/>
      <scheme val="minor"/>
    </font>
    <font>
      <sz val="16"/>
      <color theme="1"/>
      <name val="Calibri"/>
      <family val="2"/>
      <scheme val="minor"/>
    </font>
    <font>
      <sz val="12"/>
      <color theme="1"/>
      <name val="Calibri"/>
      <family val="2"/>
      <scheme val="minor"/>
    </font>
    <font>
      <b/>
      <sz val="11"/>
      <color rgb="FFFF0000"/>
      <name val="Arial"/>
      <family val="2"/>
    </font>
    <font>
      <b/>
      <u/>
      <sz val="11"/>
      <color rgb="FF0066FF"/>
      <name val="Arial"/>
      <family val="2"/>
    </font>
    <font>
      <b/>
      <sz val="11"/>
      <color rgb="FF0066FF"/>
      <name val="Arial"/>
      <family val="2"/>
    </font>
    <font>
      <sz val="14"/>
      <name val="Arial"/>
      <family val="2"/>
    </font>
    <font>
      <sz val="10"/>
      <name val="Arial"/>
      <family val="2"/>
    </font>
    <font>
      <b/>
      <sz val="16"/>
      <color theme="1"/>
      <name val="Arial"/>
      <family val="2"/>
    </font>
    <font>
      <b/>
      <sz val="11"/>
      <color theme="1"/>
      <name val="Arial"/>
      <family val="2"/>
    </font>
    <font>
      <sz val="12"/>
      <name val="Courier"/>
      <family val="3"/>
    </font>
    <font>
      <b/>
      <sz val="12"/>
      <color theme="1"/>
      <name val="Calibri"/>
      <family val="2"/>
      <scheme val="minor"/>
    </font>
    <font>
      <sz val="10"/>
      <color rgb="FF0000FF"/>
      <name val="Arial"/>
      <family val="2"/>
    </font>
    <font>
      <b/>
      <sz val="11"/>
      <color rgb="FF0070C0"/>
      <name val="Calibri"/>
      <family val="2"/>
      <scheme val="minor"/>
    </font>
    <font>
      <u/>
      <sz val="10"/>
      <color rgb="FF0000FF"/>
      <name val="Arial"/>
      <family val="2"/>
    </font>
  </fonts>
  <fills count="14">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s>
  <borders count="31">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0" fontId="14" fillId="2" borderId="0" applyNumberFormat="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34"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59" fillId="0" borderId="0" applyFont="0" applyFill="0" applyBorder="0" applyAlignment="0" applyProtection="0"/>
    <xf numFmtId="0" fontId="1" fillId="0" borderId="0"/>
    <xf numFmtId="0" fontId="40" fillId="0" borderId="0"/>
    <xf numFmtId="0" fontId="62" fillId="0" borderId="0"/>
    <xf numFmtId="0" fontId="62" fillId="0" borderId="0"/>
    <xf numFmtId="0" fontId="40" fillId="0" borderId="0"/>
    <xf numFmtId="43" fontId="1" fillId="0" borderId="0" applyFont="0" applyFill="0" applyBorder="0" applyAlignment="0" applyProtection="0"/>
  </cellStyleXfs>
  <cellXfs count="588">
    <xf numFmtId="0" fontId="0" fillId="0" borderId="0" xfId="0"/>
    <xf numFmtId="43" fontId="15" fillId="0" borderId="0" xfId="1" applyNumberFormat="1" applyFont="1" applyFill="1"/>
    <xf numFmtId="0" fontId="3" fillId="0" borderId="0" xfId="4" applyFont="1" applyFill="1" applyAlignment="1">
      <alignment horizontal="centerContinuous"/>
    </xf>
    <xf numFmtId="0" fontId="2" fillId="0" borderId="0" xfId="4" applyFont="1" applyFill="1" applyAlignment="1">
      <alignment horizontal="centerContinuous"/>
    </xf>
    <xf numFmtId="0" fontId="2" fillId="0" borderId="0" xfId="4" applyFont="1" applyFill="1"/>
    <xf numFmtId="0" fontId="2" fillId="0" borderId="0" xfId="4" applyFont="1" applyFill="1" applyAlignment="1">
      <alignment horizontal="centerContinuous" wrapText="1"/>
    </xf>
    <xf numFmtId="0" fontId="2" fillId="0" borderId="0" xfId="4" applyFont="1" applyFill="1" applyAlignment="1">
      <alignment wrapText="1"/>
    </xf>
    <xf numFmtId="0" fontId="2" fillId="0" borderId="0" xfId="4" quotePrefix="1" applyFont="1" applyFill="1" applyAlignment="1">
      <alignment horizontal="centerContinuous"/>
    </xf>
    <xf numFmtId="0" fontId="2" fillId="0" borderId="0" xfId="4" applyFont="1" applyFill="1" applyBorder="1" applyAlignment="1"/>
    <xf numFmtId="0" fontId="3" fillId="0" borderId="0" xfId="4" applyFont="1" applyFill="1" applyBorder="1" applyAlignment="1"/>
    <xf numFmtId="0" fontId="3" fillId="0" borderId="0" xfId="4" applyFont="1" applyFill="1" applyBorder="1" applyAlignment="1">
      <alignment wrapText="1"/>
    </xf>
    <xf numFmtId="0" fontId="3" fillId="0" borderId="0" xfId="4" applyFont="1" applyFill="1" applyAlignment="1">
      <alignment horizontal="center" wrapText="1"/>
    </xf>
    <xf numFmtId="0" fontId="3" fillId="0" borderId="0" xfId="4" applyFont="1" applyFill="1"/>
    <xf numFmtId="164" fontId="5" fillId="0" borderId="0" xfId="4" applyNumberFormat="1" applyFont="1" applyFill="1" applyAlignment="1">
      <alignment horizontal="center"/>
    </xf>
    <xf numFmtId="164" fontId="5" fillId="0" borderId="0" xfId="4" quotePrefix="1" applyNumberFormat="1" applyFont="1" applyFill="1" applyAlignment="1">
      <alignment horizontal="center"/>
    </xf>
    <xf numFmtId="0" fontId="5" fillId="0" borderId="0" xfId="4" applyFont="1" applyFill="1" applyAlignment="1">
      <alignment horizontal="center"/>
    </xf>
    <xf numFmtId="164" fontId="5" fillId="0" borderId="0" xfId="4" quotePrefix="1" applyNumberFormat="1" applyFont="1" applyFill="1" applyAlignment="1">
      <alignment horizontal="center" wrapText="1"/>
    </xf>
    <xf numFmtId="0" fontId="5" fillId="0" borderId="0" xfId="4" applyFont="1" applyFill="1" applyAlignment="1">
      <alignment horizontal="center" wrapText="1"/>
    </xf>
    <xf numFmtId="0" fontId="2" fillId="0" borderId="0" xfId="4" applyFont="1" applyFill="1" applyAlignment="1">
      <alignment horizontal="left"/>
    </xf>
    <xf numFmtId="43" fontId="2" fillId="0" borderId="0" xfId="5" applyFont="1" applyFill="1"/>
    <xf numFmtId="43" fontId="2" fillId="0" borderId="0" xfId="5" applyFont="1" applyFill="1" applyAlignment="1">
      <alignment wrapText="1"/>
    </xf>
    <xf numFmtId="0" fontId="5" fillId="0" borderId="0" xfId="6" applyFont="1" applyFill="1"/>
    <xf numFmtId="0" fontId="2" fillId="0" borderId="0" xfId="6" applyFont="1" applyFill="1"/>
    <xf numFmtId="164" fontId="5" fillId="0" borderId="0" xfId="6" quotePrefix="1" applyNumberFormat="1" applyFont="1" applyFill="1" applyAlignment="1">
      <alignment horizontal="center"/>
    </xf>
    <xf numFmtId="164" fontId="5" fillId="0" borderId="0" xfId="6" applyNumberFormat="1" applyFont="1" applyFill="1" applyAlignment="1">
      <alignment horizontal="center"/>
    </xf>
    <xf numFmtId="0" fontId="5" fillId="0" borderId="0" xfId="6" applyFont="1" applyFill="1" applyAlignment="1">
      <alignment horizontal="center"/>
    </xf>
    <xf numFmtId="0" fontId="5" fillId="0" borderId="0" xfId="6" applyFont="1" applyFill="1" applyAlignment="1">
      <alignment horizontal="center" wrapText="1"/>
    </xf>
    <xf numFmtId="0" fontId="3" fillId="0" borderId="0" xfId="6" applyFont="1" applyFill="1"/>
    <xf numFmtId="0" fontId="2" fillId="0" borderId="0" xfId="4" quotePrefix="1" applyFont="1" applyFill="1" applyAlignment="1">
      <alignment horizontal="left"/>
    </xf>
    <xf numFmtId="43" fontId="2" fillId="0" borderId="0" xfId="4" applyNumberFormat="1" applyFont="1" applyFill="1"/>
    <xf numFmtId="43" fontId="2" fillId="0" borderId="0" xfId="5" applyNumberFormat="1" applyFont="1" applyFill="1"/>
    <xf numFmtId="165" fontId="2" fillId="0" borderId="0" xfId="4" applyNumberFormat="1" applyFont="1" applyFill="1"/>
    <xf numFmtId="43" fontId="2" fillId="0" borderId="0" xfId="4" applyNumberFormat="1" applyFont="1" applyFill="1" applyBorder="1"/>
    <xf numFmtId="43" fontId="2" fillId="0" borderId="0" xfId="5" applyNumberFormat="1" applyFont="1" applyFill="1" applyBorder="1"/>
    <xf numFmtId="0" fontId="7" fillId="0" borderId="0" xfId="4" applyFont="1" applyFill="1"/>
    <xf numFmtId="43" fontId="2" fillId="0" borderId="1" xfId="4" applyNumberFormat="1" applyFont="1" applyFill="1" applyBorder="1"/>
    <xf numFmtId="43" fontId="2" fillId="0" borderId="1" xfId="5" applyNumberFormat="1" applyFont="1" applyFill="1" applyBorder="1"/>
    <xf numFmtId="43" fontId="13" fillId="0" borderId="0" xfId="5" applyNumberFormat="1" applyFont="1" applyFill="1"/>
    <xf numFmtId="0" fontId="5" fillId="0" borderId="0" xfId="4" applyFont="1" applyFill="1" applyAlignment="1">
      <alignment horizontal="left"/>
    </xf>
    <xf numFmtId="0" fontId="2" fillId="0" borderId="0" xfId="4" quotePrefix="1" applyFont="1" applyFill="1"/>
    <xf numFmtId="0" fontId="2" fillId="0" borderId="1" xfId="4" applyFill="1" applyBorder="1"/>
    <xf numFmtId="0" fontId="5" fillId="0" borderId="0" xfId="4" applyFont="1" applyFill="1"/>
    <xf numFmtId="43" fontId="2" fillId="0" borderId="0" xfId="5" applyFont="1" applyFill="1" applyBorder="1" applyAlignment="1">
      <alignment wrapText="1"/>
    </xf>
    <xf numFmtId="0" fontId="6" fillId="0" borderId="0" xfId="4" applyFont="1" applyFill="1" applyAlignment="1">
      <alignment horizontal="right"/>
    </xf>
    <xf numFmtId="43" fontId="3" fillId="0" borderId="0" xfId="5" applyNumberFormat="1" applyFont="1" applyFill="1" applyBorder="1"/>
    <xf numFmtId="43" fontId="3" fillId="0" borderId="0" xfId="5" applyFont="1" applyFill="1" applyAlignment="1">
      <alignment wrapText="1"/>
    </xf>
    <xf numFmtId="0" fontId="2" fillId="0" borderId="0" xfId="6" applyFont="1" applyFill="1" applyAlignment="1">
      <alignment horizontal="left"/>
    </xf>
    <xf numFmtId="43" fontId="2" fillId="0" borderId="0" xfId="6" applyNumberFormat="1" applyFont="1" applyFill="1"/>
    <xf numFmtId="0" fontId="2" fillId="0" borderId="0" xfId="6" applyFont="1" applyFill="1" applyAlignment="1">
      <alignment wrapText="1"/>
    </xf>
    <xf numFmtId="43" fontId="3" fillId="0" borderId="0" xfId="4" applyNumberFormat="1" applyFont="1" applyFill="1"/>
    <xf numFmtId="43" fontId="3" fillId="0" borderId="0" xfId="5" applyNumberFormat="1" applyFont="1" applyFill="1"/>
    <xf numFmtId="7" fontId="2" fillId="0" borderId="0" xfId="7" applyNumberFormat="1" applyFont="1" applyFill="1" applyAlignment="1">
      <alignment horizontal="right"/>
    </xf>
    <xf numFmtId="0" fontId="7" fillId="0" borderId="0" xfId="4" applyFont="1" applyFill="1" applyAlignment="1">
      <alignment horizontal="left"/>
    </xf>
    <xf numFmtId="0" fontId="2" fillId="0" borderId="0" xfId="4" applyFont="1" applyFill="1" applyBorder="1" applyAlignment="1">
      <alignment wrapText="1"/>
    </xf>
    <xf numFmtId="0" fontId="5" fillId="0" borderId="0" xfId="6" applyFont="1" applyFill="1" applyAlignment="1">
      <alignment horizontal="left"/>
    </xf>
    <xf numFmtId="0" fontId="7" fillId="0" borderId="0" xfId="6" applyFont="1" applyFill="1" applyAlignment="1">
      <alignment horizontal="left"/>
    </xf>
    <xf numFmtId="7" fontId="2" fillId="0" borderId="0" xfId="7" applyNumberFormat="1" applyFont="1" applyFill="1"/>
    <xf numFmtId="0" fontId="2" fillId="0" borderId="0" xfId="6" applyFont="1" applyFill="1" applyAlignment="1">
      <alignment horizontal="center"/>
    </xf>
    <xf numFmtId="0" fontId="2" fillId="0" borderId="0" xfId="4" applyFont="1" applyFill="1" applyAlignment="1">
      <alignment horizontal="right"/>
    </xf>
    <xf numFmtId="0" fontId="2" fillId="0" borderId="0" xfId="4" applyFill="1"/>
    <xf numFmtId="43" fontId="3" fillId="0" borderId="0" xfId="6" applyNumberFormat="1" applyFont="1" applyFill="1"/>
    <xf numFmtId="0" fontId="7" fillId="0" borderId="0" xfId="4" quotePrefix="1" applyFont="1" applyFill="1" applyAlignment="1">
      <alignment horizontal="left"/>
    </xf>
    <xf numFmtId="7" fontId="2" fillId="0" borderId="0" xfId="7" applyNumberFormat="1" applyFont="1" applyFill="1" applyAlignment="1">
      <alignment horizontal="right" wrapText="1"/>
    </xf>
    <xf numFmtId="0" fontId="10" fillId="0" borderId="0" xfId="6" quotePrefix="1" applyFont="1" applyFill="1" applyAlignment="1">
      <alignment horizontal="left"/>
    </xf>
    <xf numFmtId="0" fontId="10" fillId="0" borderId="0" xfId="6" applyFont="1" applyFill="1"/>
    <xf numFmtId="0" fontId="8" fillId="0" borderId="0" xfId="4" applyFont="1" applyFill="1"/>
    <xf numFmtId="44" fontId="2" fillId="0" borderId="0" xfId="7" applyFont="1" applyFill="1"/>
    <xf numFmtId="44" fontId="2" fillId="0" borderId="0" xfId="7" applyFont="1" applyFill="1" applyAlignment="1">
      <alignment wrapText="1"/>
    </xf>
    <xf numFmtId="166" fontId="2" fillId="0" borderId="1" xfId="5" applyNumberFormat="1" applyFont="1" applyFill="1" applyBorder="1"/>
    <xf numFmtId="43" fontId="3" fillId="0" borderId="0" xfId="5" applyFont="1" applyFill="1" applyBorder="1" applyAlignment="1">
      <alignment wrapText="1"/>
    </xf>
    <xf numFmtId="43" fontId="3" fillId="0" borderId="0" xfId="5" applyNumberFormat="1" applyFont="1" applyFill="1" applyAlignment="1">
      <alignment wrapText="1"/>
    </xf>
    <xf numFmtId="0" fontId="9" fillId="0" borderId="0" xfId="4" applyFont="1" applyFill="1" applyAlignment="1">
      <alignment horizontal="left"/>
    </xf>
    <xf numFmtId="0" fontId="6" fillId="0" borderId="0" xfId="4" applyFont="1" applyFill="1"/>
    <xf numFmtId="43" fontId="6" fillId="0" borderId="0" xfId="4" applyNumberFormat="1" applyFont="1" applyFill="1"/>
    <xf numFmtId="43" fontId="6" fillId="0" borderId="0" xfId="5" applyNumberFormat="1" applyFont="1" applyFill="1"/>
    <xf numFmtId="0" fontId="9" fillId="0" borderId="0" xfId="4" applyFont="1" applyFill="1"/>
    <xf numFmtId="43" fontId="9" fillId="0" borderId="0" xfId="5" applyFont="1" applyFill="1" applyAlignment="1">
      <alignment wrapText="1"/>
    </xf>
    <xf numFmtId="0" fontId="9" fillId="0" borderId="0" xfId="4" applyFont="1" applyFill="1" applyAlignment="1">
      <alignment wrapText="1"/>
    </xf>
    <xf numFmtId="0" fontId="2" fillId="0" borderId="3" xfId="4" applyFont="1" applyFill="1" applyBorder="1"/>
    <xf numFmtId="43" fontId="2" fillId="0" borderId="2" xfId="4" applyNumberFormat="1" applyFont="1" applyFill="1" applyBorder="1"/>
    <xf numFmtId="43" fontId="2" fillId="0" borderId="2" xfId="5" applyFont="1" applyFill="1" applyBorder="1"/>
    <xf numFmtId="43" fontId="2" fillId="0" borderId="4" xfId="5" applyFont="1" applyFill="1" applyBorder="1"/>
    <xf numFmtId="0" fontId="2" fillId="0" borderId="5" xfId="6" applyFont="1" applyFill="1" applyBorder="1"/>
    <xf numFmtId="43" fontId="2" fillId="0" borderId="0" xfId="5" applyFont="1" applyFill="1" applyBorder="1"/>
    <xf numFmtId="43" fontId="2" fillId="0" borderId="6" xfId="4" applyNumberFormat="1" applyFont="1" applyFill="1" applyBorder="1"/>
    <xf numFmtId="0" fontId="2" fillId="0" borderId="5" xfId="4" applyFont="1" applyFill="1" applyBorder="1"/>
    <xf numFmtId="43" fontId="2" fillId="0" borderId="6" xfId="5" applyFont="1" applyFill="1" applyBorder="1"/>
    <xf numFmtId="0" fontId="3" fillId="0" borderId="7" xfId="4" applyFont="1" applyFill="1" applyBorder="1"/>
    <xf numFmtId="43" fontId="3" fillId="0" borderId="1" xfId="5" applyFont="1" applyFill="1" applyBorder="1"/>
    <xf numFmtId="43" fontId="3" fillId="0" borderId="8" xfId="5" applyFont="1" applyFill="1" applyBorder="1"/>
    <xf numFmtId="0" fontId="3" fillId="0" borderId="0" xfId="6" applyFont="1" applyFill="1" applyAlignment="1">
      <alignment horizontal="center" wrapText="1"/>
    </xf>
    <xf numFmtId="43" fontId="2" fillId="0" borderId="0" xfId="1" applyNumberFormat="1" applyFont="1" applyFill="1"/>
    <xf numFmtId="43" fontId="3" fillId="0" borderId="0" xfId="6" applyNumberFormat="1" applyFont="1" applyFill="1" applyAlignment="1">
      <alignment horizontal="center"/>
    </xf>
    <xf numFmtId="43" fontId="13" fillId="0" borderId="1" xfId="5" applyNumberFormat="1" applyFont="1" applyFill="1" applyBorder="1"/>
    <xf numFmtId="0" fontId="2" fillId="0" borderId="1" xfId="4" applyFont="1" applyFill="1" applyBorder="1"/>
    <xf numFmtId="43" fontId="2" fillId="0" borderId="1" xfId="5" applyFont="1" applyFill="1" applyBorder="1"/>
    <xf numFmtId="0" fontId="3" fillId="0" borderId="0" xfId="6" applyFont="1" applyFill="1" applyAlignment="1">
      <alignment horizontal="center"/>
    </xf>
    <xf numFmtId="0" fontId="2" fillId="0" borderId="0" xfId="4" quotePrefix="1" applyFont="1" applyFill="1" applyBorder="1" applyAlignment="1">
      <alignment horizontal="left"/>
    </xf>
    <xf numFmtId="0" fontId="2" fillId="0" borderId="0" xfId="4" applyFont="1" applyFill="1" applyBorder="1"/>
    <xf numFmtId="0" fontId="16" fillId="0" borderId="0" xfId="4" applyFont="1" applyFill="1" applyAlignment="1">
      <alignment horizontal="centerContinuous"/>
    </xf>
    <xf numFmtId="0" fontId="16" fillId="0" borderId="0" xfId="4" applyFont="1" applyFill="1"/>
    <xf numFmtId="0" fontId="16" fillId="0" borderId="0" xfId="6" applyFont="1" applyFill="1"/>
    <xf numFmtId="0" fontId="18" fillId="0" borderId="0" xfId="4" applyFont="1" applyFill="1" applyAlignment="1">
      <alignment horizontal="right"/>
    </xf>
    <xf numFmtId="0" fontId="19" fillId="0" borderId="0" xfId="4" applyFont="1" applyFill="1"/>
    <xf numFmtId="0" fontId="16" fillId="0" borderId="0" xfId="4" applyFont="1" applyFill="1" applyBorder="1"/>
    <xf numFmtId="0" fontId="17" fillId="0" borderId="0" xfId="4" applyFont="1" applyFill="1"/>
    <xf numFmtId="0" fontId="17" fillId="0" borderId="0" xfId="6" applyFont="1" applyFill="1"/>
    <xf numFmtId="0" fontId="18" fillId="0" borderId="0" xfId="4" applyFont="1" applyFill="1"/>
    <xf numFmtId="0" fontId="16" fillId="0" borderId="0" xfId="4" quotePrefix="1" applyFont="1" applyFill="1" applyAlignment="1">
      <alignment horizontal="left"/>
    </xf>
    <xf numFmtId="0" fontId="16" fillId="0" borderId="0" xfId="4" applyFont="1" applyFill="1" applyAlignment="1">
      <alignment horizontal="left"/>
    </xf>
    <xf numFmtId="43" fontId="2" fillId="3" borderId="0" xfId="5" applyFont="1" applyFill="1" applyProtection="1">
      <protection locked="0"/>
    </xf>
    <xf numFmtId="0" fontId="3" fillId="0" borderId="9" xfId="4" applyFont="1" applyFill="1" applyBorder="1" applyAlignment="1">
      <alignment horizontal="center"/>
    </xf>
    <xf numFmtId="164" fontId="5" fillId="0" borderId="10" xfId="4" quotePrefix="1" applyNumberFormat="1" applyFont="1" applyFill="1" applyBorder="1" applyAlignment="1">
      <alignment horizontal="center"/>
    </xf>
    <xf numFmtId="43" fontId="2" fillId="0" borderId="10" xfId="5" applyFont="1" applyFill="1" applyBorder="1"/>
    <xf numFmtId="164" fontId="5" fillId="0" borderId="10" xfId="6" quotePrefix="1" applyNumberFormat="1" applyFont="1" applyFill="1" applyBorder="1" applyAlignment="1">
      <alignment horizontal="center"/>
    </xf>
    <xf numFmtId="43" fontId="2" fillId="0" borderId="10" xfId="5" applyNumberFormat="1" applyFont="1" applyFill="1" applyBorder="1"/>
    <xf numFmtId="43" fontId="2" fillId="0" borderId="11" xfId="5" applyNumberFormat="1" applyFont="1" applyFill="1" applyBorder="1"/>
    <xf numFmtId="43" fontId="2" fillId="0" borderId="10" xfId="4" applyNumberFormat="1" applyFont="1" applyFill="1" applyBorder="1"/>
    <xf numFmtId="43" fontId="13" fillId="0" borderId="10" xfId="5" applyNumberFormat="1" applyFont="1" applyFill="1" applyBorder="1"/>
    <xf numFmtId="43" fontId="3" fillId="0" borderId="10" xfId="6" applyNumberFormat="1" applyFont="1" applyFill="1" applyBorder="1" applyAlignment="1">
      <alignment horizontal="center"/>
    </xf>
    <xf numFmtId="43" fontId="13" fillId="0" borderId="11" xfId="5" applyNumberFormat="1" applyFont="1" applyFill="1" applyBorder="1"/>
    <xf numFmtId="0" fontId="2" fillId="0" borderId="11" xfId="4" applyFill="1" applyBorder="1"/>
    <xf numFmtId="43" fontId="3" fillId="0" borderId="10" xfId="5" applyNumberFormat="1" applyFont="1" applyFill="1" applyBorder="1"/>
    <xf numFmtId="43" fontId="3" fillId="0" borderId="10" xfId="4" applyNumberFormat="1" applyFont="1" applyFill="1" applyBorder="1"/>
    <xf numFmtId="43" fontId="2" fillId="0" borderId="10" xfId="6" applyNumberFormat="1" applyFont="1" applyFill="1" applyBorder="1"/>
    <xf numFmtId="43" fontId="2" fillId="0" borderId="10" xfId="1" applyNumberFormat="1" applyFont="1" applyFill="1" applyBorder="1"/>
    <xf numFmtId="43" fontId="15" fillId="0" borderId="10" xfId="1" applyNumberFormat="1" applyFont="1" applyFill="1" applyBorder="1"/>
    <xf numFmtId="166" fontId="2" fillId="0" borderId="11" xfId="5" applyNumberFormat="1" applyFont="1" applyFill="1" applyBorder="1"/>
    <xf numFmtId="43" fontId="2" fillId="0" borderId="9" xfId="5" applyNumberFormat="1" applyFont="1" applyFill="1" applyBorder="1"/>
    <xf numFmtId="43" fontId="2" fillId="3" borderId="0" xfId="5" applyNumberFormat="1" applyFont="1" applyFill="1"/>
    <xf numFmtId="43" fontId="2" fillId="3" borderId="0" xfId="5" applyNumberFormat="1" applyFont="1" applyFill="1" applyBorder="1"/>
    <xf numFmtId="0" fontId="3" fillId="4" borderId="13" xfId="4" applyFont="1" applyFill="1" applyBorder="1"/>
    <xf numFmtId="0" fontId="3" fillId="4" borderId="14" xfId="4" applyFont="1" applyFill="1" applyBorder="1"/>
    <xf numFmtId="43" fontId="3" fillId="4" borderId="14" xfId="5" applyNumberFormat="1" applyFont="1" applyFill="1" applyBorder="1"/>
    <xf numFmtId="43" fontId="3" fillId="4" borderId="12" xfId="5" applyNumberFormat="1" applyFont="1" applyFill="1" applyBorder="1"/>
    <xf numFmtId="0" fontId="2" fillId="4" borderId="14" xfId="4" applyFont="1" applyFill="1" applyBorder="1"/>
    <xf numFmtId="0" fontId="3" fillId="5" borderId="13" xfId="4" applyFont="1" applyFill="1" applyBorder="1"/>
    <xf numFmtId="43" fontId="3" fillId="5" borderId="14" xfId="5" applyNumberFormat="1" applyFont="1" applyFill="1" applyBorder="1"/>
    <xf numFmtId="43" fontId="3" fillId="5" borderId="12" xfId="5" applyNumberFormat="1" applyFont="1" applyFill="1" applyBorder="1"/>
    <xf numFmtId="43" fontId="3" fillId="3" borderId="15" xfId="5" applyNumberFormat="1" applyFont="1" applyFill="1" applyBorder="1"/>
    <xf numFmtId="0" fontId="6" fillId="3" borderId="13" xfId="4" applyFont="1" applyFill="1" applyBorder="1"/>
    <xf numFmtId="43" fontId="6" fillId="3" borderId="14" xfId="4" applyNumberFormat="1" applyFont="1" applyFill="1" applyBorder="1"/>
    <xf numFmtId="43" fontId="6" fillId="3" borderId="14" xfId="5" applyNumberFormat="1" applyFont="1" applyFill="1" applyBorder="1"/>
    <xf numFmtId="43" fontId="2" fillId="0" borderId="0" xfId="4" applyNumberFormat="1" applyFont="1" applyFill="1" applyAlignment="1">
      <alignment wrapText="1"/>
    </xf>
    <xf numFmtId="43" fontId="20" fillId="0" borderId="0" xfId="5" applyNumberFormat="1" applyFont="1" applyFill="1" applyBorder="1"/>
    <xf numFmtId="43" fontId="21" fillId="0" borderId="0" xfId="5" applyNumberFormat="1" applyFont="1" applyFill="1"/>
    <xf numFmtId="0" fontId="20" fillId="0" borderId="0" xfId="4" applyFont="1" applyFill="1" applyAlignment="1">
      <alignment horizontal="centerContinuous"/>
    </xf>
    <xf numFmtId="0" fontId="20" fillId="0" borderId="0" xfId="4" applyFont="1" applyFill="1" applyBorder="1" applyAlignment="1"/>
    <xf numFmtId="43" fontId="20" fillId="0" borderId="0" xfId="5" applyFont="1" applyFill="1"/>
    <xf numFmtId="164" fontId="22" fillId="0" borderId="0" xfId="6" quotePrefix="1" applyNumberFormat="1" applyFont="1" applyFill="1" applyAlignment="1">
      <alignment horizontal="center"/>
    </xf>
    <xf numFmtId="43" fontId="20" fillId="0" borderId="1" xfId="5" applyNumberFormat="1" applyFont="1" applyFill="1" applyBorder="1"/>
    <xf numFmtId="43" fontId="20" fillId="0" borderId="0" xfId="4" applyNumberFormat="1" applyFont="1" applyFill="1"/>
    <xf numFmtId="43" fontId="20" fillId="0" borderId="0" xfId="5" applyNumberFormat="1" applyFont="1" applyFill="1"/>
    <xf numFmtId="43" fontId="21" fillId="0" borderId="0" xfId="6" applyNumberFormat="1" applyFont="1" applyFill="1" applyAlignment="1">
      <alignment horizontal="center"/>
    </xf>
    <xf numFmtId="43" fontId="20" fillId="3" borderId="0" xfId="5" applyNumberFormat="1" applyFont="1" applyFill="1"/>
    <xf numFmtId="43" fontId="20" fillId="3" borderId="0" xfId="5" applyNumberFormat="1" applyFont="1" applyFill="1" applyBorder="1"/>
    <xf numFmtId="0" fontId="20" fillId="0" borderId="1" xfId="4" applyFont="1" applyFill="1" applyBorder="1"/>
    <xf numFmtId="43" fontId="20" fillId="0" borderId="0" xfId="4" applyNumberFormat="1" applyFont="1" applyFill="1" applyBorder="1"/>
    <xf numFmtId="43" fontId="20" fillId="0" borderId="1" xfId="4" applyNumberFormat="1" applyFont="1" applyFill="1" applyBorder="1"/>
    <xf numFmtId="43" fontId="21" fillId="0" borderId="0" xfId="4" applyNumberFormat="1" applyFont="1" applyFill="1"/>
    <xf numFmtId="43" fontId="20" fillId="0" borderId="0" xfId="8" applyNumberFormat="1" applyFont="1" applyFill="1" applyBorder="1"/>
    <xf numFmtId="43" fontId="21" fillId="0" borderId="0" xfId="5" applyNumberFormat="1" applyFont="1" applyFill="1" applyBorder="1"/>
    <xf numFmtId="43" fontId="20" fillId="0" borderId="0" xfId="6" applyNumberFormat="1" applyFont="1" applyFill="1"/>
    <xf numFmtId="43" fontId="21" fillId="3" borderId="14" xfId="5" applyNumberFormat="1" applyFont="1" applyFill="1" applyBorder="1"/>
    <xf numFmtId="43" fontId="20" fillId="0" borderId="2" xfId="5" applyFont="1" applyFill="1" applyBorder="1"/>
    <xf numFmtId="43" fontId="20" fillId="0" borderId="0" xfId="5" applyFont="1" applyFill="1" applyBorder="1"/>
    <xf numFmtId="43" fontId="21" fillId="0" borderId="1" xfId="5" applyFont="1" applyFill="1" applyBorder="1"/>
    <xf numFmtId="43" fontId="20" fillId="3" borderId="0" xfId="5" applyFont="1" applyFill="1"/>
    <xf numFmtId="0" fontId="20" fillId="0" borderId="0" xfId="4" applyFont="1" applyFill="1"/>
    <xf numFmtId="43" fontId="20" fillId="0" borderId="1" xfId="5" applyFont="1" applyFill="1" applyBorder="1"/>
    <xf numFmtId="0" fontId="3" fillId="0" borderId="0" xfId="4" applyFont="1" applyFill="1" applyAlignment="1">
      <alignment horizontal="center"/>
    </xf>
    <xf numFmtId="43" fontId="23" fillId="0" borderId="0" xfId="4" applyNumberFormat="1" applyFont="1" applyFill="1" applyBorder="1"/>
    <xf numFmtId="43" fontId="23" fillId="0" borderId="0" xfId="5" applyNumberFormat="1" applyFont="1" applyFill="1" applyBorder="1"/>
    <xf numFmtId="43" fontId="23" fillId="0" borderId="1" xfId="4" applyNumberFormat="1" applyFont="1" applyFill="1" applyBorder="1"/>
    <xf numFmtId="43" fontId="23" fillId="0" borderId="1" xfId="5" applyNumberFormat="1" applyFont="1" applyFill="1" applyBorder="1"/>
    <xf numFmtId="0" fontId="3" fillId="0" borderId="0" xfId="4" applyFont="1" applyFill="1" applyAlignment="1">
      <alignment horizontal="center"/>
    </xf>
    <xf numFmtId="0" fontId="3" fillId="0" borderId="0" xfId="4" applyFont="1" applyFill="1" applyAlignment="1">
      <alignment horizontal="center"/>
    </xf>
    <xf numFmtId="43" fontId="3" fillId="6" borderId="1" xfId="5" applyNumberFormat="1" applyFont="1" applyFill="1" applyBorder="1"/>
    <xf numFmtId="43" fontId="2" fillId="6" borderId="0" xfId="5" applyFont="1" applyFill="1" applyAlignment="1"/>
    <xf numFmtId="43" fontId="21" fillId="6" borderId="0" xfId="5"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43" fontId="21" fillId="7" borderId="0" xfId="5" applyNumberFormat="1" applyFont="1" applyFill="1"/>
    <xf numFmtId="43" fontId="3" fillId="0" borderId="10" xfId="1" applyNumberFormat="1" applyFont="1" applyFill="1" applyBorder="1"/>
    <xf numFmtId="0" fontId="3" fillId="0" borderId="0" xfId="4" applyFont="1" applyFill="1" applyAlignment="1">
      <alignment horizontal="center"/>
    </xf>
    <xf numFmtId="43" fontId="2" fillId="8" borderId="0" xfId="5" applyNumberFormat="1" applyFont="1" applyFill="1" applyBorder="1"/>
    <xf numFmtId="43" fontId="2" fillId="8" borderId="0" xfId="5" applyNumberFormat="1" applyFont="1" applyFill="1"/>
    <xf numFmtId="43" fontId="2" fillId="8" borderId="0" xfId="4" applyNumberFormat="1" applyFont="1" applyFill="1"/>
    <xf numFmtId="43" fontId="2" fillId="8" borderId="0" xfId="4" applyNumberFormat="1" applyFont="1" applyFill="1" applyBorder="1"/>
    <xf numFmtId="43" fontId="20" fillId="8" borderId="0" xfId="5" applyNumberFormat="1" applyFont="1" applyFill="1" applyBorder="1"/>
    <xf numFmtId="43" fontId="3" fillId="8" borderId="0" xfId="5" applyNumberFormat="1" applyFont="1" applyFill="1" applyBorder="1"/>
    <xf numFmtId="43" fontId="21" fillId="8" borderId="0" xfId="5" applyNumberFormat="1" applyFont="1" applyFill="1" applyBorder="1"/>
    <xf numFmtId="43" fontId="23" fillId="8" borderId="0" xfId="5" applyNumberFormat="1" applyFont="1" applyFill="1" applyBorder="1"/>
    <xf numFmtId="43" fontId="2" fillId="8" borderId="1" xfId="5" applyNumberFormat="1" applyFont="1" applyFill="1" applyBorder="1"/>
    <xf numFmtId="43" fontId="2" fillId="9" borderId="0" xfId="4" applyNumberFormat="1" applyFont="1" applyFill="1"/>
    <xf numFmtId="43" fontId="2" fillId="9" borderId="1" xfId="4" applyNumberFormat="1" applyFont="1" applyFill="1" applyBorder="1"/>
    <xf numFmtId="43" fontId="3" fillId="9" borderId="0" xfId="5" applyNumberFormat="1" applyFont="1" applyFill="1" applyBorder="1"/>
    <xf numFmtId="0" fontId="3" fillId="0" borderId="0" xfId="4" applyFont="1" applyFill="1" applyAlignment="1">
      <alignment horizontal="center"/>
    </xf>
    <xf numFmtId="0" fontId="3" fillId="0" borderId="0" xfId="4" applyFont="1" applyFill="1" applyAlignment="1">
      <alignment horizontal="center"/>
    </xf>
    <xf numFmtId="0" fontId="3" fillId="0" borderId="1" xfId="4" applyFont="1" applyFill="1" applyBorder="1" applyAlignment="1"/>
    <xf numFmtId="0" fontId="3" fillId="0" borderId="0" xfId="4" applyFont="1" applyFill="1" applyAlignment="1">
      <alignment horizontal="center"/>
    </xf>
    <xf numFmtId="43" fontId="3" fillId="6" borderId="10" xfId="4" applyNumberFormat="1" applyFont="1" applyFill="1" applyBorder="1"/>
    <xf numFmtId="164" fontId="5" fillId="6" borderId="10" xfId="4" quotePrefix="1" applyNumberFormat="1" applyFont="1" applyFill="1" applyBorder="1" applyAlignment="1">
      <alignment horizontal="center"/>
    </xf>
    <xf numFmtId="0" fontId="3" fillId="6" borderId="0" xfId="4" applyFont="1" applyFill="1" applyAlignment="1">
      <alignment horizontal="center"/>
    </xf>
    <xf numFmtId="164" fontId="5" fillId="6" borderId="0" xfId="4" applyNumberFormat="1" applyFont="1" applyFill="1" applyAlignment="1">
      <alignment horizontal="center"/>
    </xf>
    <xf numFmtId="0" fontId="24" fillId="0" borderId="0" xfId="4" applyFont="1" applyFill="1" applyAlignment="1">
      <alignment horizontal="centerContinuous"/>
    </xf>
    <xf numFmtId="0" fontId="25" fillId="0" borderId="0" xfId="4" applyFont="1" applyFill="1"/>
    <xf numFmtId="0" fontId="26" fillId="0" borderId="0" xfId="4" applyFont="1" applyFill="1"/>
    <xf numFmtId="0" fontId="27" fillId="0" borderId="0" xfId="0" applyFont="1" applyAlignment="1">
      <alignment vertical="center"/>
    </xf>
    <xf numFmtId="0" fontId="2" fillId="0" borderId="1" xfId="4" applyFont="1" applyFill="1" applyBorder="1" applyAlignment="1">
      <alignment horizontal="centerContinuous"/>
    </xf>
    <xf numFmtId="0" fontId="20" fillId="0" borderId="0" xfId="4" applyFont="1" applyFill="1" applyBorder="1" applyAlignment="1">
      <alignment horizontal="centerContinuous"/>
    </xf>
    <xf numFmtId="0" fontId="2" fillId="0" borderId="0" xfId="4" applyFont="1" applyFill="1" applyBorder="1" applyAlignment="1">
      <alignment horizontal="centerContinuous"/>
    </xf>
    <xf numFmtId="0" fontId="20" fillId="0" borderId="1" xfId="4" applyFont="1" applyFill="1" applyBorder="1" applyAlignment="1"/>
    <xf numFmtId="0" fontId="2" fillId="0" borderId="1" xfId="4" applyFont="1" applyFill="1" applyBorder="1" applyAlignment="1"/>
    <xf numFmtId="0" fontId="3" fillId="6" borderId="0" xfId="4" applyFont="1" applyFill="1" applyBorder="1" applyAlignment="1">
      <alignment horizontal="center"/>
    </xf>
    <xf numFmtId="164" fontId="5" fillId="6" borderId="0" xfId="4" applyNumberFormat="1" applyFont="1" applyFill="1" applyBorder="1" applyAlignment="1">
      <alignment horizontal="center"/>
    </xf>
    <xf numFmtId="164" fontId="5" fillId="0" borderId="0" xfId="6" quotePrefix="1" applyNumberFormat="1" applyFont="1" applyFill="1" applyBorder="1" applyAlignment="1">
      <alignment horizontal="center"/>
    </xf>
    <xf numFmtId="43" fontId="2" fillId="0" borderId="0" xfId="6" applyNumberFormat="1" applyFont="1" applyFill="1" applyBorder="1"/>
    <xf numFmtId="43" fontId="3" fillId="0" borderId="0" xfId="4" applyNumberFormat="1" applyFont="1" applyFill="1" applyBorder="1"/>
    <xf numFmtId="43" fontId="3" fillId="0" borderId="0" xfId="6" applyNumberFormat="1" applyFont="1" applyFill="1" applyBorder="1"/>
    <xf numFmtId="43" fontId="6" fillId="3" borderId="0" xfId="4" applyNumberFormat="1" applyFont="1" applyFill="1" applyBorder="1"/>
    <xf numFmtId="43" fontId="6" fillId="0" borderId="0" xfId="4" applyNumberFormat="1" applyFont="1" applyFill="1" applyBorder="1"/>
    <xf numFmtId="0" fontId="3" fillId="0" borderId="0" xfId="4" applyFont="1" applyFill="1" applyAlignment="1">
      <alignment horizontal="center"/>
    </xf>
    <xf numFmtId="0" fontId="28" fillId="0" borderId="0" xfId="0" applyFont="1" applyBorder="1"/>
    <xf numFmtId="0" fontId="3" fillId="0" borderId="0" xfId="4" applyFont="1" applyFill="1" applyAlignment="1">
      <alignment horizontal="center"/>
    </xf>
    <xf numFmtId="43" fontId="2" fillId="3" borderId="1" xfId="5" applyNumberFormat="1" applyFont="1" applyFill="1" applyBorder="1"/>
    <xf numFmtId="0" fontId="29" fillId="0" borderId="0" xfId="4" applyFont="1" applyFill="1" applyAlignment="1"/>
    <xf numFmtId="0" fontId="29" fillId="0" borderId="0" xfId="4" applyFont="1" applyFill="1"/>
    <xf numFmtId="0" fontId="29" fillId="0" borderId="0" xfId="4" applyFont="1" applyFill="1" applyAlignment="1">
      <alignment horizontal="left"/>
    </xf>
    <xf numFmtId="43" fontId="21" fillId="0" borderId="0" xfId="5" applyFont="1" applyFill="1"/>
    <xf numFmtId="0" fontId="3" fillId="0" borderId="0" xfId="4" applyFont="1" applyFill="1" applyAlignment="1">
      <alignment horizontal="center"/>
    </xf>
    <xf numFmtId="43" fontId="3" fillId="0" borderId="0" xfId="5" applyFont="1" applyFill="1" applyBorder="1"/>
    <xf numFmtId="0" fontId="3" fillId="0" borderId="0" xfId="4" applyFont="1" applyFill="1" applyAlignment="1">
      <alignment horizontal="center"/>
    </xf>
    <xf numFmtId="43" fontId="21" fillId="0" borderId="0" xfId="5" applyFont="1" applyFill="1" applyBorder="1"/>
    <xf numFmtId="43" fontId="2" fillId="3" borderId="0" xfId="4"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10" borderId="0" xfId="4" applyFont="1" applyFill="1" applyBorder="1" applyAlignment="1">
      <alignment horizontal="center"/>
    </xf>
    <xf numFmtId="164" fontId="5" fillId="10" borderId="0" xfId="4" applyNumberFormat="1" applyFont="1" applyFill="1" applyBorder="1" applyAlignment="1">
      <alignment horizontal="center"/>
    </xf>
    <xf numFmtId="43" fontId="3" fillId="10" borderId="10" xfId="4" applyNumberFormat="1" applyFont="1" applyFill="1" applyBorder="1"/>
    <xf numFmtId="164" fontId="5" fillId="10" borderId="10" xfId="4" quotePrefix="1" applyNumberFormat="1" applyFont="1" applyFill="1" applyBorder="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16" fillId="11" borderId="0" xfId="4" applyFont="1" applyFill="1"/>
    <xf numFmtId="0" fontId="2" fillId="11" borderId="0" xfId="4" quotePrefix="1" applyFont="1" applyFill="1" applyAlignment="1">
      <alignment horizontal="left"/>
    </xf>
    <xf numFmtId="0" fontId="2" fillId="11" borderId="0" xfId="4" applyFont="1" applyFill="1"/>
    <xf numFmtId="43" fontId="2" fillId="11" borderId="0" xfId="4" applyNumberFormat="1" applyFont="1" applyFill="1" applyBorder="1"/>
    <xf numFmtId="43" fontId="2" fillId="11" borderId="0" xfId="5" applyNumberFormat="1" applyFont="1" applyFill="1" applyBorder="1"/>
    <xf numFmtId="43" fontId="2" fillId="11" borderId="10" xfId="5" applyNumberFormat="1" applyFont="1" applyFill="1" applyBorder="1"/>
    <xf numFmtId="0" fontId="26" fillId="11" borderId="0" xfId="4" applyFont="1" applyFill="1"/>
    <xf numFmtId="43" fontId="2" fillId="11" borderId="0" xfId="5" applyFont="1" applyFill="1" applyAlignment="1">
      <alignment wrapText="1"/>
    </xf>
    <xf numFmtId="0" fontId="30" fillId="0" borderId="0" xfId="4" applyFont="1" applyFill="1" applyAlignment="1">
      <alignment horizontal="left"/>
    </xf>
    <xf numFmtId="0" fontId="30" fillId="0" borderId="0" xfId="4" applyFont="1" applyFill="1"/>
    <xf numFmtId="0" fontId="3" fillId="0" borderId="0" xfId="4" applyFont="1" applyFill="1" applyAlignment="1">
      <alignment horizontal="center"/>
    </xf>
    <xf numFmtId="164" fontId="5" fillId="10" borderId="0" xfId="4" applyNumberFormat="1" applyFont="1" applyFill="1" applyAlignment="1">
      <alignment horizontal="center"/>
    </xf>
    <xf numFmtId="4" fontId="21" fillId="0" borderId="0" xfId="5" applyNumberFormat="1" applyFont="1" applyFill="1"/>
    <xf numFmtId="0" fontId="3" fillId="0" borderId="0" xfId="4" applyFont="1" applyFill="1" applyAlignment="1">
      <alignment horizontal="center"/>
    </xf>
    <xf numFmtId="4" fontId="3" fillId="0" borderId="0" xfId="4" applyNumberFormat="1" applyFont="1" applyFill="1"/>
    <xf numFmtId="4" fontId="21" fillId="0" borderId="0" xfId="4" applyNumberFormat="1" applyFont="1" applyFill="1"/>
    <xf numFmtId="43" fontId="2" fillId="0" borderId="1" xfId="1" applyNumberFormat="1" applyFont="1" applyFill="1" applyBorder="1"/>
    <xf numFmtId="43" fontId="2" fillId="0" borderId="11" xfId="4" applyNumberFormat="1" applyFont="1" applyFill="1" applyBorder="1"/>
    <xf numFmtId="4" fontId="2" fillId="0" borderId="0" xfId="5" applyNumberFormat="1" applyFont="1" applyFill="1"/>
    <xf numFmtId="43" fontId="21" fillId="0" borderId="10" xfId="4" applyNumberFormat="1" applyFont="1" applyFill="1" applyBorder="1"/>
    <xf numFmtId="43" fontId="21" fillId="0" borderId="10" xfId="5" applyNumberFormat="1" applyFont="1" applyFill="1" applyBorder="1"/>
    <xf numFmtId="43" fontId="31" fillId="0" borderId="10" xfId="1" applyNumberFormat="1" applyFont="1" applyFill="1" applyBorder="1"/>
    <xf numFmtId="43" fontId="3" fillId="0" borderId="1" xfId="4" applyNumberFormat="1" applyFont="1" applyFill="1" applyBorder="1"/>
    <xf numFmtId="43" fontId="21" fillId="0" borderId="11" xfId="4" applyNumberFormat="1" applyFont="1" applyFill="1" applyBorder="1"/>
    <xf numFmtId="43" fontId="3" fillId="0" borderId="11" xfId="4" applyNumberFormat="1" applyFont="1" applyFill="1" applyBorder="1"/>
    <xf numFmtId="43" fontId="21" fillId="0" borderId="9" xfId="4" applyNumberFormat="1" applyFont="1" applyFill="1" applyBorder="1"/>
    <xf numFmtId="43" fontId="20" fillId="0" borderId="11" xfId="4" applyNumberFormat="1" applyFont="1" applyFill="1" applyBorder="1"/>
    <xf numFmtId="43" fontId="2" fillId="6" borderId="10" xfId="5" applyNumberFormat="1" applyFont="1" applyFill="1" applyBorder="1"/>
    <xf numFmtId="43" fontId="2" fillId="6" borderId="10" xfId="4" applyNumberFormat="1" applyFont="1" applyFill="1" applyBorder="1"/>
    <xf numFmtId="0" fontId="3" fillId="0" borderId="0" xfId="4" applyFont="1" applyFill="1" applyAlignment="1">
      <alignment horizontal="center"/>
    </xf>
    <xf numFmtId="0" fontId="30" fillId="6" borderId="0" xfId="4" applyFont="1" applyFill="1" applyAlignment="1">
      <alignment horizontal="left"/>
    </xf>
    <xf numFmtId="0" fontId="30" fillId="6" borderId="0" xfId="4" applyFont="1" applyFill="1"/>
    <xf numFmtId="0" fontId="3" fillId="0" borderId="0" xfId="4" applyFont="1" applyFill="1" applyAlignment="1">
      <alignment horizontal="center"/>
    </xf>
    <xf numFmtId="0" fontId="3" fillId="0" borderId="0" xfId="4" applyFont="1" applyFill="1" applyAlignment="1">
      <alignment horizontal="center"/>
    </xf>
    <xf numFmtId="39" fontId="2" fillId="0" borderId="0" xfId="5" applyNumberFormat="1" applyFont="1" applyFill="1"/>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3" fillId="0" borderId="0" xfId="4" applyFont="1" applyFill="1" applyAlignment="1">
      <alignment horizontal="center"/>
    </xf>
    <xf numFmtId="0" fontId="26" fillId="6" borderId="0" xfId="4" applyFont="1" applyFill="1"/>
    <xf numFmtId="43" fontId="2" fillId="6" borderId="0" xfId="5" applyFont="1" applyFill="1" applyAlignment="1">
      <alignment wrapText="1"/>
    </xf>
    <xf numFmtId="0" fontId="3" fillId="0" borderId="0" xfId="4" applyFont="1" applyFill="1" applyAlignment="1">
      <alignment horizontal="center"/>
    </xf>
    <xf numFmtId="0" fontId="3" fillId="0" borderId="0" xfId="4" applyFont="1" applyFill="1" applyAlignment="1">
      <alignment horizontal="center"/>
    </xf>
    <xf numFmtId="164" fontId="5" fillId="6" borderId="0" xfId="4" quotePrefix="1" applyNumberFormat="1" applyFont="1" applyFill="1" applyBorder="1" applyAlignment="1">
      <alignment horizontal="center"/>
    </xf>
    <xf numFmtId="167" fontId="3" fillId="0" borderId="0" xfId="5" applyNumberFormat="1" applyFont="1" applyFill="1"/>
    <xf numFmtId="0" fontId="2" fillId="0" borderId="0" xfId="4" applyFont="1" applyFill="1" applyAlignment="1"/>
    <xf numFmtId="0" fontId="3" fillId="0" borderId="0" xfId="4" applyFont="1" applyFill="1" applyAlignment="1">
      <alignment horizontal="center"/>
    </xf>
    <xf numFmtId="43" fontId="2" fillId="0" borderId="2" xfId="5" applyNumberFormat="1" applyFont="1" applyFill="1" applyBorder="1"/>
    <xf numFmtId="0" fontId="2" fillId="0" borderId="0" xfId="0" applyFont="1"/>
    <xf numFmtId="0" fontId="2" fillId="0" borderId="0" xfId="0" applyFont="1" applyFill="1"/>
    <xf numFmtId="0" fontId="2" fillId="0" borderId="0" xfId="0" applyFont="1" applyBorder="1"/>
    <xf numFmtId="0" fontId="2" fillId="0" borderId="0" xfId="0" applyFont="1" applyFill="1" applyBorder="1"/>
    <xf numFmtId="0" fontId="3" fillId="0" borderId="0" xfId="0" applyFont="1" applyFill="1" applyAlignment="1">
      <alignment horizontal="center"/>
    </xf>
    <xf numFmtId="0" fontId="2" fillId="0" borderId="0" xfId="0" applyFont="1" applyFill="1" applyAlignment="1">
      <alignment horizontal="left"/>
    </xf>
    <xf numFmtId="0" fontId="0" fillId="0" borderId="0" xfId="0" applyFill="1"/>
    <xf numFmtId="0" fontId="3" fillId="0" borderId="0" xfId="0" applyFont="1"/>
    <xf numFmtId="0" fontId="21" fillId="0" borderId="0" xfId="0" applyFont="1" applyFill="1" applyAlignment="1">
      <alignment horizontal="right"/>
    </xf>
    <xf numFmtId="0" fontId="2" fillId="0" borderId="0" xfId="0" applyFont="1" applyAlignment="1">
      <alignment horizontal="center"/>
    </xf>
    <xf numFmtId="0" fontId="2" fillId="0" borderId="0" xfId="0" applyFont="1" applyFill="1" applyAlignment="1">
      <alignment horizontal="center"/>
    </xf>
    <xf numFmtId="0" fontId="0" fillId="0" borderId="0" xfId="0" applyFill="1" applyAlignment="1">
      <alignment horizontal="center"/>
    </xf>
    <xf numFmtId="0" fontId="35" fillId="0" borderId="0" xfId="0" applyFont="1"/>
    <xf numFmtId="0" fontId="5" fillId="0" borderId="0" xfId="0" applyFont="1"/>
    <xf numFmtId="0" fontId="37" fillId="0" borderId="0" xfId="0" applyFont="1" applyAlignment="1">
      <alignment horizontal="centerContinuous"/>
    </xf>
    <xf numFmtId="0" fontId="3" fillId="0" borderId="0" xfId="0" applyFont="1" applyAlignment="1">
      <alignment horizontal="centerContinuous"/>
    </xf>
    <xf numFmtId="43" fontId="38" fillId="0" borderId="22" xfId="8" applyFont="1" applyBorder="1"/>
    <xf numFmtId="14" fontId="0" fillId="0" borderId="0" xfId="0" applyNumberFormat="1"/>
    <xf numFmtId="43" fontId="38" fillId="0" borderId="0" xfId="8" applyFont="1" applyBorder="1"/>
    <xf numFmtId="43" fontId="38" fillId="0" borderId="0" xfId="0" applyNumberFormat="1" applyFont="1" applyBorder="1"/>
    <xf numFmtId="43" fontId="38" fillId="0" borderId="0" xfId="8" applyFont="1"/>
    <xf numFmtId="43" fontId="38" fillId="0" borderId="0" xfId="8" applyFont="1" applyFill="1"/>
    <xf numFmtId="0" fontId="39" fillId="0" borderId="3" xfId="0" applyFont="1" applyBorder="1"/>
    <xf numFmtId="0" fontId="0" fillId="0" borderId="2" xfId="0" applyBorder="1"/>
    <xf numFmtId="43" fontId="38" fillId="0" borderId="2" xfId="8" applyFont="1" applyBorder="1"/>
    <xf numFmtId="0" fontId="0" fillId="0" borderId="4" xfId="0" applyBorder="1"/>
    <xf numFmtId="0" fontId="2" fillId="0" borderId="5" xfId="0" applyFont="1" applyBorder="1" applyAlignment="1">
      <alignment horizontal="center"/>
    </xf>
    <xf numFmtId="0" fontId="2" fillId="0" borderId="0" xfId="0" applyFont="1" applyBorder="1" applyAlignment="1">
      <alignment horizontal="center"/>
    </xf>
    <xf numFmtId="0" fontId="0" fillId="0" borderId="6" xfId="0" applyBorder="1"/>
    <xf numFmtId="0" fontId="2" fillId="0" borderId="5" xfId="0" applyFont="1" applyBorder="1"/>
    <xf numFmtId="0" fontId="2" fillId="0" borderId="0" xfId="0" applyFont="1" applyBorder="1" applyAlignment="1">
      <alignment horizontal="right"/>
    </xf>
    <xf numFmtId="0" fontId="2" fillId="0" borderId="0" xfId="0" quotePrefix="1" applyFont="1" applyBorder="1"/>
    <xf numFmtId="43" fontId="3" fillId="0" borderId="0" xfId="8" applyFont="1" applyBorder="1"/>
    <xf numFmtId="0" fontId="2" fillId="0" borderId="7" xfId="0" applyFont="1" applyBorder="1"/>
    <xf numFmtId="0" fontId="2" fillId="0" borderId="1" xfId="0" applyFont="1" applyBorder="1" applyAlignment="1">
      <alignment horizontal="right"/>
    </xf>
    <xf numFmtId="0" fontId="2" fillId="0" borderId="1" xfId="0" quotePrefix="1" applyFont="1" applyBorder="1"/>
    <xf numFmtId="43" fontId="3" fillId="0" borderId="1" xfId="8" applyFont="1" applyBorder="1"/>
    <xf numFmtId="0" fontId="0" fillId="0" borderId="8" xfId="0" applyBorder="1"/>
    <xf numFmtId="0" fontId="40" fillId="0" borderId="4" xfId="0" applyFont="1" applyBorder="1"/>
    <xf numFmtId="0" fontId="41" fillId="0" borderId="6" xfId="0" applyFont="1" applyBorder="1" applyAlignment="1">
      <alignment horizontal="center"/>
    </xf>
    <xf numFmtId="0" fontId="40" fillId="0" borderId="6" xfId="0" applyFont="1" applyBorder="1" applyAlignment="1">
      <alignment horizontal="center"/>
    </xf>
    <xf numFmtId="0" fontId="40" fillId="0" borderId="8" xfId="0" applyFont="1" applyBorder="1" applyAlignment="1">
      <alignment horizontal="center"/>
    </xf>
    <xf numFmtId="0" fontId="0" fillId="0" borderId="0" xfId="0" applyAlignment="1">
      <alignment horizontal="left"/>
    </xf>
    <xf numFmtId="43" fontId="2" fillId="0" borderId="0" xfId="8" applyFont="1"/>
    <xf numFmtId="0" fontId="2" fillId="0" borderId="0" xfId="0" applyFont="1" applyAlignment="1">
      <alignment horizontal="left"/>
    </xf>
    <xf numFmtId="43" fontId="3" fillId="0" borderId="0" xfId="8" applyFont="1" applyAlignment="1">
      <alignment horizontal="center"/>
    </xf>
    <xf numFmtId="0" fontId="3" fillId="0" borderId="0" xfId="0" applyFont="1" applyAlignment="1">
      <alignment horizontal="center"/>
    </xf>
    <xf numFmtId="0" fontId="39" fillId="0" borderId="0" xfId="0" applyFont="1" applyAlignment="1"/>
    <xf numFmtId="43" fontId="3" fillId="0" borderId="1" xfId="8" applyFont="1" applyBorder="1" applyAlignment="1">
      <alignment horizontal="centerContinuous"/>
    </xf>
    <xf numFmtId="0" fontId="3" fillId="0" borderId="1" xfId="0" applyFont="1" applyBorder="1" applyAlignment="1">
      <alignment horizontal="center"/>
    </xf>
    <xf numFmtId="43" fontId="2" fillId="0" borderId="0" xfId="0" applyNumberFormat="1" applyFont="1"/>
    <xf numFmtId="17" fontId="2" fillId="0" borderId="0" xfId="0" applyNumberFormat="1" applyFont="1" applyAlignment="1">
      <alignment horizontal="left"/>
    </xf>
    <xf numFmtId="43" fontId="2" fillId="0" borderId="0" xfId="8" applyFont="1" applyFill="1"/>
    <xf numFmtId="0" fontId="2" fillId="12" borderId="23" xfId="0" applyFont="1" applyFill="1" applyBorder="1"/>
    <xf numFmtId="0" fontId="0" fillId="12" borderId="18" xfId="0" applyFill="1" applyBorder="1"/>
    <xf numFmtId="0" fontId="0" fillId="12" borderId="21" xfId="0" applyFill="1" applyBorder="1"/>
    <xf numFmtId="0" fontId="0" fillId="12" borderId="19" xfId="0" applyFill="1" applyBorder="1"/>
    <xf numFmtId="17" fontId="2" fillId="0" borderId="0" xfId="0" applyNumberFormat="1" applyFont="1" applyFill="1" applyAlignment="1">
      <alignment horizontal="left"/>
    </xf>
    <xf numFmtId="43" fontId="2" fillId="0" borderId="0" xfId="0" applyNumberFormat="1" applyFont="1" applyFill="1"/>
    <xf numFmtId="44" fontId="2" fillId="12" borderId="24" xfId="9" applyFont="1" applyFill="1" applyBorder="1"/>
    <xf numFmtId="43" fontId="0" fillId="12" borderId="20" xfId="0" applyNumberFormat="1" applyFill="1" applyBorder="1"/>
    <xf numFmtId="0" fontId="2" fillId="12" borderId="16" xfId="0" applyFont="1" applyFill="1" applyBorder="1"/>
    <xf numFmtId="0" fontId="0" fillId="12" borderId="17" xfId="0" applyFill="1" applyBorder="1"/>
    <xf numFmtId="0" fontId="2" fillId="0" borderId="0" xfId="4" quotePrefix="1" applyFont="1" applyFill="1" applyAlignment="1">
      <alignment wrapText="1"/>
    </xf>
    <xf numFmtId="0" fontId="3" fillId="0" borderId="0" xfId="0" applyFont="1" applyFill="1"/>
    <xf numFmtId="43" fontId="0" fillId="0" borderId="0" xfId="8" applyFont="1" applyFill="1"/>
    <xf numFmtId="0" fontId="0" fillId="0" borderId="0" xfId="0" quotePrefix="1" applyFill="1" applyAlignment="1">
      <alignment horizontal="center"/>
    </xf>
    <xf numFmtId="0" fontId="42" fillId="0" borderId="0" xfId="0" quotePrefix="1" applyFont="1" applyFill="1" applyAlignment="1">
      <alignment horizontal="center" vertical="top"/>
    </xf>
    <xf numFmtId="0" fontId="0" fillId="0" borderId="0" xfId="0" quotePrefix="1" applyFill="1" applyAlignment="1">
      <alignment horizontal="left" wrapText="1"/>
    </xf>
    <xf numFmtId="17" fontId="0" fillId="0" borderId="0" xfId="0" applyNumberFormat="1" applyFill="1"/>
    <xf numFmtId="167" fontId="0" fillId="0" borderId="0" xfId="8" applyNumberFormat="1" applyFont="1" applyFill="1"/>
    <xf numFmtId="0" fontId="0" fillId="0" borderId="0" xfId="0" quotePrefix="1" applyFill="1" applyAlignment="1">
      <alignment horizontal="left"/>
    </xf>
    <xf numFmtId="0" fontId="0" fillId="0" borderId="0" xfId="0" applyFill="1" applyAlignment="1">
      <alignment horizontal="left"/>
    </xf>
    <xf numFmtId="0" fontId="0" fillId="0" borderId="0" xfId="0" applyFill="1" applyBorder="1"/>
    <xf numFmtId="17" fontId="0" fillId="0" borderId="0" xfId="0" applyNumberFormat="1" applyFont="1" applyFill="1"/>
    <xf numFmtId="0" fontId="43" fillId="0" borderId="0" xfId="0" applyFont="1" applyFill="1"/>
    <xf numFmtId="0" fontId="3" fillId="0" borderId="18" xfId="0" quotePrefix="1" applyFont="1" applyFill="1" applyBorder="1" applyAlignment="1">
      <alignment horizontal="left"/>
    </xf>
    <xf numFmtId="0" fontId="0" fillId="0" borderId="21" xfId="0" applyFill="1" applyBorder="1"/>
    <xf numFmtId="0" fontId="0" fillId="0" borderId="19" xfId="0" applyFill="1" applyBorder="1"/>
    <xf numFmtId="0" fontId="0" fillId="0" borderId="25" xfId="0" applyFill="1" applyBorder="1"/>
    <xf numFmtId="0" fontId="0" fillId="0" borderId="26" xfId="0" applyFill="1" applyBorder="1"/>
    <xf numFmtId="43" fontId="0" fillId="0" borderId="0" xfId="8" applyNumberFormat="1" applyFont="1" applyFill="1" applyBorder="1"/>
    <xf numFmtId="43" fontId="0" fillId="0" borderId="26" xfId="0" applyNumberFormat="1" applyFill="1" applyBorder="1"/>
    <xf numFmtId="0" fontId="0" fillId="0" borderId="25" xfId="0" quotePrefix="1" applyFill="1" applyBorder="1" applyAlignment="1">
      <alignment horizontal="left"/>
    </xf>
    <xf numFmtId="43" fontId="0" fillId="0" borderId="0" xfId="0" applyNumberFormat="1" applyFill="1" applyBorder="1"/>
    <xf numFmtId="0" fontId="0" fillId="0" borderId="20" xfId="0" quotePrefix="1" applyFill="1" applyBorder="1" applyAlignment="1">
      <alignment horizontal="left"/>
    </xf>
    <xf numFmtId="0" fontId="0" fillId="0" borderId="16" xfId="0" applyFill="1" applyBorder="1"/>
    <xf numFmtId="43" fontId="0" fillId="0" borderId="16" xfId="0" applyNumberFormat="1" applyFill="1" applyBorder="1"/>
    <xf numFmtId="43" fontId="0" fillId="0" borderId="17" xfId="0" applyNumberFormat="1" applyFill="1" applyBorder="1"/>
    <xf numFmtId="167" fontId="0" fillId="0" borderId="0" xfId="0" applyNumberFormat="1" applyFill="1"/>
    <xf numFmtId="167" fontId="3" fillId="0" borderId="27" xfId="8" applyNumberFormat="1" applyFont="1" applyFill="1" applyBorder="1"/>
    <xf numFmtId="0" fontId="44" fillId="0" borderId="0" xfId="0" applyFont="1" applyAlignment="1">
      <alignment horizontal="center"/>
    </xf>
    <xf numFmtId="0" fontId="45" fillId="0" borderId="0" xfId="0" applyFont="1" applyAlignment="1">
      <alignment horizontal="centerContinuous"/>
    </xf>
    <xf numFmtId="0" fontId="45" fillId="0" borderId="0" xfId="0" applyFont="1" applyAlignment="1">
      <alignment horizontal="center"/>
    </xf>
    <xf numFmtId="44" fontId="2" fillId="0" borderId="0" xfId="9" applyFont="1"/>
    <xf numFmtId="43" fontId="3" fillId="0" borderId="22" xfId="8" applyFont="1" applyBorder="1"/>
    <xf numFmtId="43" fontId="3" fillId="0" borderId="0" xfId="0" applyNumberFormat="1" applyFont="1" applyBorder="1"/>
    <xf numFmtId="0" fontId="46" fillId="0" borderId="0" xfId="0" applyFont="1"/>
    <xf numFmtId="0" fontId="39" fillId="0" borderId="2" xfId="0" applyFont="1" applyBorder="1"/>
    <xf numFmtId="0" fontId="2" fillId="0" borderId="2" xfId="0" applyFont="1" applyBorder="1"/>
    <xf numFmtId="43" fontId="3" fillId="0" borderId="2" xfId="8" applyFont="1" applyBorder="1"/>
    <xf numFmtId="0" fontId="2" fillId="0" borderId="4" xfId="0" applyFont="1" applyBorder="1"/>
    <xf numFmtId="0" fontId="2" fillId="0" borderId="6" xfId="0" applyFont="1" applyBorder="1"/>
    <xf numFmtId="0" fontId="2" fillId="0" borderId="0" xfId="0" applyFont="1" applyFill="1" applyBorder="1" applyAlignment="1">
      <alignment horizontal="center"/>
    </xf>
    <xf numFmtId="0" fontId="2" fillId="0" borderId="8" xfId="0" applyFont="1" applyBorder="1"/>
    <xf numFmtId="0" fontId="39" fillId="0" borderId="6"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43" fontId="2" fillId="0" borderId="0" xfId="8" applyFont="1" applyAlignment="1">
      <alignment horizontal="center"/>
    </xf>
    <xf numFmtId="0" fontId="46" fillId="0" borderId="0" xfId="0" applyFont="1" applyFill="1"/>
    <xf numFmtId="0" fontId="0" fillId="0" borderId="2" xfId="0" applyFill="1" applyBorder="1"/>
    <xf numFmtId="43" fontId="2" fillId="0" borderId="0" xfId="8" applyFont="1" applyFill="1" applyAlignment="1">
      <alignment horizontal="center"/>
    </xf>
    <xf numFmtId="43" fontId="3" fillId="0" borderId="0" xfId="8" applyFont="1" applyFill="1"/>
    <xf numFmtId="0" fontId="37" fillId="0" borderId="0" xfId="0" applyFont="1" applyFill="1" applyAlignment="1">
      <alignment horizontal="centerContinuous"/>
    </xf>
    <xf numFmtId="0" fontId="3" fillId="0" borderId="0" xfId="0" applyFont="1" applyFill="1" applyAlignment="1">
      <alignment horizontal="centerContinuous"/>
    </xf>
    <xf numFmtId="43" fontId="38" fillId="0" borderId="22" xfId="8" applyFont="1" applyFill="1" applyBorder="1"/>
    <xf numFmtId="43" fontId="38" fillId="0" borderId="0" xfId="0" applyNumberFormat="1" applyFont="1" applyFill="1" applyBorder="1"/>
    <xf numFmtId="0" fontId="39" fillId="0" borderId="3" xfId="0" applyFont="1" applyFill="1" applyBorder="1"/>
    <xf numFmtId="43" fontId="38" fillId="0" borderId="2" xfId="8" applyFont="1" applyFill="1" applyBorder="1"/>
    <xf numFmtId="0" fontId="0" fillId="0" borderId="4" xfId="0" applyFill="1" applyBorder="1"/>
    <xf numFmtId="0" fontId="2" fillId="0" borderId="5" xfId="0" applyFont="1" applyFill="1" applyBorder="1" applyAlignment="1">
      <alignment horizontal="center"/>
    </xf>
    <xf numFmtId="0" fontId="0" fillId="0" borderId="6" xfId="0" applyFill="1" applyBorder="1"/>
    <xf numFmtId="0" fontId="2" fillId="0" borderId="5" xfId="0" applyFont="1" applyFill="1" applyBorder="1"/>
    <xf numFmtId="0" fontId="2" fillId="0" borderId="0" xfId="0" applyFont="1" applyFill="1" applyBorder="1" applyAlignment="1">
      <alignment horizontal="right"/>
    </xf>
    <xf numFmtId="0" fontId="2" fillId="0" borderId="0" xfId="0" quotePrefix="1" applyFont="1" applyFill="1" applyBorder="1"/>
    <xf numFmtId="43" fontId="3" fillId="0" borderId="0" xfId="8" applyFont="1" applyFill="1" applyBorder="1"/>
    <xf numFmtId="0" fontId="2" fillId="0" borderId="7" xfId="0" applyFont="1" applyFill="1" applyBorder="1"/>
    <xf numFmtId="0" fontId="2" fillId="0" borderId="1" xfId="0" applyFont="1" applyFill="1" applyBorder="1" applyAlignment="1">
      <alignment horizontal="right"/>
    </xf>
    <xf numFmtId="0" fontId="2" fillId="0" borderId="1" xfId="0" quotePrefix="1" applyFont="1" applyFill="1" applyBorder="1"/>
    <xf numFmtId="43" fontId="3" fillId="0" borderId="1" xfId="8" applyFont="1" applyFill="1" applyBorder="1"/>
    <xf numFmtId="0" fontId="0" fillId="0" borderId="8" xfId="0" applyFill="1" applyBorder="1"/>
    <xf numFmtId="0" fontId="40" fillId="0" borderId="2" xfId="0" applyFont="1" applyFill="1" applyBorder="1"/>
    <xf numFmtId="0" fontId="40" fillId="0" borderId="4" xfId="0" applyFont="1" applyFill="1" applyBorder="1"/>
    <xf numFmtId="0" fontId="41" fillId="0" borderId="0" xfId="0" applyFont="1" applyFill="1" applyBorder="1" applyAlignment="1">
      <alignment horizontal="center"/>
    </xf>
    <xf numFmtId="0" fontId="41" fillId="0" borderId="6" xfId="0" applyFont="1" applyFill="1" applyBorder="1" applyAlignment="1">
      <alignment horizontal="center"/>
    </xf>
    <xf numFmtId="43" fontId="40" fillId="0" borderId="0" xfId="8" applyFont="1" applyFill="1" applyBorder="1" applyAlignment="1">
      <alignment horizontal="right"/>
    </xf>
    <xf numFmtId="0" fontId="40" fillId="0" borderId="0" xfId="0" applyFont="1" applyFill="1" applyBorder="1"/>
    <xf numFmtId="0" fontId="40" fillId="0" borderId="6" xfId="0" applyFont="1" applyFill="1" applyBorder="1" applyAlignment="1">
      <alignment horizontal="center"/>
    </xf>
    <xf numFmtId="0" fontId="40" fillId="0" borderId="1" xfId="0" applyFont="1" applyFill="1" applyBorder="1"/>
    <xf numFmtId="43" fontId="40" fillId="0" borderId="1" xfId="8" applyFont="1" applyFill="1" applyBorder="1" applyAlignment="1">
      <alignment horizontal="right"/>
    </xf>
    <xf numFmtId="0" fontId="40" fillId="0" borderId="8" xfId="0" applyFont="1" applyFill="1" applyBorder="1" applyAlignment="1">
      <alignment horizontal="center"/>
    </xf>
    <xf numFmtId="0" fontId="0" fillId="0" borderId="0" xfId="0" quotePrefix="1" applyFill="1"/>
    <xf numFmtId="43" fontId="3" fillId="0" borderId="0" xfId="8" applyFont="1" applyFill="1" applyAlignment="1">
      <alignment horizontal="center"/>
    </xf>
    <xf numFmtId="0" fontId="39" fillId="0" borderId="0" xfId="0" applyFont="1" applyFill="1" applyAlignment="1"/>
    <xf numFmtId="43" fontId="3" fillId="0" borderId="1" xfId="8" applyFont="1" applyFill="1" applyBorder="1" applyAlignment="1">
      <alignment horizontal="centerContinuous"/>
    </xf>
    <xf numFmtId="0" fontId="3" fillId="0" borderId="1" xfId="0" applyFont="1" applyFill="1" applyBorder="1" applyAlignment="1">
      <alignment horizontal="center"/>
    </xf>
    <xf numFmtId="44" fontId="2" fillId="0" borderId="0" xfId="0" applyNumberFormat="1" applyFont="1" applyFill="1"/>
    <xf numFmtId="43" fontId="3" fillId="0" borderId="0" xfId="0" applyNumberFormat="1" applyFont="1" applyFill="1" applyBorder="1"/>
    <xf numFmtId="0" fontId="2" fillId="0" borderId="1" xfId="0" applyFont="1" applyBorder="1"/>
    <xf numFmtId="0" fontId="48" fillId="0" borderId="0" xfId="0" applyFont="1"/>
    <xf numFmtId="43" fontId="49" fillId="0" borderId="0" xfId="11" applyFont="1"/>
    <xf numFmtId="43" fontId="50" fillId="0" borderId="0" xfId="12" applyFont="1"/>
    <xf numFmtId="0" fontId="50" fillId="0" borderId="0" xfId="0" applyFont="1"/>
    <xf numFmtId="0" fontId="50" fillId="0" borderId="0" xfId="0" applyFont="1" applyFill="1"/>
    <xf numFmtId="0" fontId="51" fillId="0" borderId="0" xfId="0" applyFont="1"/>
    <xf numFmtId="0" fontId="52" fillId="0" borderId="0" xfId="0" applyFont="1"/>
    <xf numFmtId="43" fontId="53" fillId="0" borderId="0" xfId="11" applyFont="1"/>
    <xf numFmtId="0" fontId="24" fillId="0" borderId="0" xfId="0" applyFont="1" applyAlignment="1"/>
    <xf numFmtId="167" fontId="24" fillId="0" borderId="0" xfId="0" applyNumberFormat="1" applyFont="1" applyAlignment="1"/>
    <xf numFmtId="0" fontId="24" fillId="0" borderId="0" xfId="0" applyFont="1" applyFill="1" applyAlignment="1"/>
    <xf numFmtId="43" fontId="15" fillId="0" borderId="0" xfId="11" applyFont="1" applyAlignment="1">
      <alignment horizontal="center"/>
    </xf>
    <xf numFmtId="0" fontId="45" fillId="0" borderId="0" xfId="0" applyFont="1" applyFill="1" applyAlignment="1">
      <alignment horizontal="center"/>
    </xf>
    <xf numFmtId="0" fontId="50" fillId="0" borderId="0" xfId="0" applyFont="1" applyBorder="1"/>
    <xf numFmtId="16" fontId="45" fillId="0" borderId="0" xfId="0" applyNumberFormat="1" applyFont="1" applyAlignment="1">
      <alignment horizontal="right"/>
    </xf>
    <xf numFmtId="167" fontId="50" fillId="0" borderId="0" xfId="12" applyNumberFormat="1" applyFont="1"/>
    <xf numFmtId="0" fontId="55" fillId="0" borderId="0" xfId="0" applyFont="1"/>
    <xf numFmtId="43" fontId="15" fillId="0" borderId="0" xfId="11" applyFont="1"/>
    <xf numFmtId="0" fontId="51" fillId="0" borderId="0" xfId="0" applyFont="1" applyFill="1"/>
    <xf numFmtId="43" fontId="50" fillId="0" borderId="0" xfId="0" applyNumberFormat="1" applyFont="1"/>
    <xf numFmtId="16" fontId="50" fillId="0" borderId="0" xfId="0" applyNumberFormat="1" applyFont="1" applyAlignment="1">
      <alignment horizontal="right"/>
    </xf>
    <xf numFmtId="0" fontId="45" fillId="0" borderId="0" xfId="0" applyFont="1" applyAlignment="1">
      <alignment horizontal="right"/>
    </xf>
    <xf numFmtId="168" fontId="50" fillId="0" borderId="0" xfId="13" applyNumberFormat="1" applyFont="1" applyBorder="1"/>
    <xf numFmtId="43" fontId="50" fillId="0" borderId="0" xfId="12" applyFont="1" applyBorder="1"/>
    <xf numFmtId="0" fontId="45" fillId="0" borderId="0" xfId="0" applyFont="1" applyBorder="1" applyAlignment="1">
      <alignment horizontal="right"/>
    </xf>
    <xf numFmtId="43" fontId="50" fillId="0" borderId="0" xfId="11" applyNumberFormat="1" applyFont="1" applyBorder="1"/>
    <xf numFmtId="0" fontId="50" fillId="0" borderId="0" xfId="0" applyFont="1" applyFill="1" applyBorder="1"/>
    <xf numFmtId="0" fontId="56" fillId="0" borderId="0" xfId="0" applyFont="1" applyAlignment="1">
      <alignment horizontal="center"/>
    </xf>
    <xf numFmtId="43" fontId="50" fillId="0" borderId="0" xfId="11" applyNumberFormat="1" applyFont="1" applyFill="1" applyBorder="1"/>
    <xf numFmtId="43" fontId="50" fillId="0" borderId="0" xfId="0" applyNumberFormat="1" applyFont="1" applyBorder="1" applyAlignment="1">
      <alignment horizontal="right"/>
    </xf>
    <xf numFmtId="0" fontId="50" fillId="0" borderId="0" xfId="0" applyNumberFormat="1" applyFont="1" applyBorder="1"/>
    <xf numFmtId="0" fontId="50" fillId="0" borderId="0" xfId="0" applyFont="1" applyBorder="1" applyAlignment="1">
      <alignment horizontal="right"/>
    </xf>
    <xf numFmtId="43" fontId="50" fillId="0" borderId="0" xfId="12" applyNumberFormat="1" applyFont="1" applyBorder="1"/>
    <xf numFmtId="43" fontId="55" fillId="0" borderId="0" xfId="0" applyNumberFormat="1" applyFont="1" applyBorder="1"/>
    <xf numFmtId="43" fontId="50" fillId="0" borderId="0" xfId="0" applyNumberFormat="1" applyFont="1" applyFill="1" applyBorder="1"/>
    <xf numFmtId="0" fontId="50" fillId="0" borderId="0" xfId="0" applyFont="1" applyBorder="1" applyAlignment="1">
      <alignment horizontal="left"/>
    </xf>
    <xf numFmtId="43" fontId="50" fillId="0" borderId="0" xfId="0" applyNumberFormat="1" applyFont="1" applyFill="1"/>
    <xf numFmtId="0" fontId="50" fillId="0" borderId="0" xfId="0" applyFont="1" applyAlignment="1">
      <alignment horizontal="right"/>
    </xf>
    <xf numFmtId="43" fontId="15" fillId="0" borderId="0" xfId="11" applyFont="1" applyAlignment="1">
      <alignment horizontal="right"/>
    </xf>
    <xf numFmtId="0" fontId="50" fillId="0" borderId="0" xfId="0" applyFont="1" applyFill="1" applyAlignment="1"/>
    <xf numFmtId="169" fontId="50" fillId="0" borderId="0" xfId="0" applyNumberFormat="1" applyFont="1"/>
    <xf numFmtId="43" fontId="50" fillId="0" borderId="0" xfId="12" applyNumberFormat="1" applyFont="1"/>
    <xf numFmtId="0" fontId="56" fillId="0" borderId="0" xfId="0" applyFont="1" applyBorder="1"/>
    <xf numFmtId="0" fontId="45" fillId="11" borderId="0" xfId="0" applyFont="1" applyFill="1" applyAlignment="1">
      <alignment horizontal="center"/>
    </xf>
    <xf numFmtId="0" fontId="45" fillId="11" borderId="0" xfId="0" applyFont="1" applyFill="1" applyAlignment="1">
      <alignment horizontal="center" wrapText="1"/>
    </xf>
    <xf numFmtId="0" fontId="57" fillId="11" borderId="0" xfId="0" applyFont="1" applyFill="1" applyAlignment="1">
      <alignment horizontal="center" wrapText="1"/>
    </xf>
    <xf numFmtId="17" fontId="45" fillId="0" borderId="0" xfId="0" applyNumberFormat="1" applyFont="1" applyFill="1"/>
    <xf numFmtId="167" fontId="45" fillId="0" borderId="0" xfId="12" applyNumberFormat="1" applyFont="1" applyFill="1"/>
    <xf numFmtId="43" fontId="45" fillId="0" borderId="0" xfId="12" applyFont="1" applyFill="1"/>
    <xf numFmtId="43" fontId="45" fillId="0" borderId="0" xfId="0" applyNumberFormat="1" applyFont="1" applyFill="1"/>
    <xf numFmtId="169" fontId="45" fillId="0" borderId="0" xfId="0" applyNumberFormat="1" applyFont="1"/>
    <xf numFmtId="167" fontId="50" fillId="0" borderId="0" xfId="11" applyNumberFormat="1" applyFont="1" applyFill="1"/>
    <xf numFmtId="167" fontId="50" fillId="0" borderId="0" xfId="12" applyNumberFormat="1" applyFont="1" applyFill="1"/>
    <xf numFmtId="0" fontId="58" fillId="0" borderId="0" xfId="0" applyFont="1"/>
    <xf numFmtId="169" fontId="45" fillId="0" borderId="0" xfId="0" applyNumberFormat="1" applyFont="1" applyFill="1"/>
    <xf numFmtId="43" fontId="50" fillId="0" borderId="0" xfId="11" applyNumberFormat="1" applyFont="1"/>
    <xf numFmtId="16" fontId="0" fillId="0" borderId="0" xfId="0" quotePrefix="1" applyNumberFormat="1" applyFill="1"/>
    <xf numFmtId="44" fontId="0" fillId="0" borderId="0" xfId="14" applyFont="1"/>
    <xf numFmtId="44" fontId="0" fillId="0" borderId="0" xfId="14" applyFont="1" applyFill="1"/>
    <xf numFmtId="0" fontId="39" fillId="0" borderId="2" xfId="0" applyFont="1" applyFill="1" applyBorder="1"/>
    <xf numFmtId="0" fontId="2" fillId="0" borderId="2" xfId="0" applyFont="1" applyFill="1" applyBorder="1"/>
    <xf numFmtId="43" fontId="3" fillId="0" borderId="2" xfId="8" applyFont="1" applyFill="1" applyBorder="1"/>
    <xf numFmtId="0" fontId="2" fillId="0" borderId="0" xfId="0" quotePrefix="1" applyFont="1" applyFill="1" applyBorder="1" applyAlignment="1">
      <alignment horizontal="center"/>
    </xf>
    <xf numFmtId="0" fontId="2" fillId="0" borderId="7" xfId="0" applyFont="1" applyFill="1" applyBorder="1" applyAlignment="1">
      <alignment horizontal="center"/>
    </xf>
    <xf numFmtId="0" fontId="2" fillId="0" borderId="1" xfId="0" applyFont="1" applyFill="1" applyBorder="1" applyAlignment="1">
      <alignment horizontal="center"/>
    </xf>
    <xf numFmtId="0" fontId="2" fillId="0" borderId="1" xfId="0" quotePrefix="1" applyFont="1" applyFill="1" applyBorder="1" applyAlignment="1">
      <alignment horizontal="center"/>
    </xf>
    <xf numFmtId="0" fontId="39" fillId="0" borderId="3" xfId="0" applyFont="1" applyFill="1" applyBorder="1" applyAlignment="1">
      <alignment horizontal="center"/>
    </xf>
    <xf numFmtId="0" fontId="39" fillId="0" borderId="2" xfId="0" applyFont="1" applyFill="1" applyBorder="1" applyAlignment="1">
      <alignment horizontal="center"/>
    </xf>
    <xf numFmtId="0" fontId="2" fillId="0" borderId="2" xfId="0" applyFont="1" applyFill="1" applyBorder="1" applyAlignment="1">
      <alignment horizontal="center"/>
    </xf>
    <xf numFmtId="0" fontId="39" fillId="0" borderId="0" xfId="0" applyFont="1" applyFill="1" applyBorder="1" applyAlignment="1">
      <alignment horizontal="center"/>
    </xf>
    <xf numFmtId="43" fontId="2" fillId="0" borderId="0" xfId="8" applyFont="1" applyFill="1" applyBorder="1" applyAlignment="1">
      <alignment horizontal="right"/>
    </xf>
    <xf numFmtId="0" fontId="2" fillId="0" borderId="1" xfId="0" applyFont="1" applyFill="1" applyBorder="1"/>
    <xf numFmtId="43" fontId="2" fillId="0" borderId="1" xfId="8" applyFont="1" applyFill="1" applyBorder="1" applyAlignment="1">
      <alignment horizontal="right"/>
    </xf>
    <xf numFmtId="0" fontId="2" fillId="0" borderId="0" xfId="0" quotePrefix="1" applyFont="1" applyFill="1"/>
    <xf numFmtId="0" fontId="2" fillId="0" borderId="4" xfId="0" applyFont="1" applyFill="1" applyBorder="1"/>
    <xf numFmtId="0" fontId="39" fillId="0" borderId="6" xfId="0" applyFont="1" applyFill="1" applyBorder="1" applyAlignment="1">
      <alignment horizontal="center"/>
    </xf>
    <xf numFmtId="0" fontId="2" fillId="0" borderId="6" xfId="0" applyFont="1" applyFill="1" applyBorder="1" applyAlignment="1">
      <alignment horizontal="center"/>
    </xf>
    <xf numFmtId="0" fontId="2" fillId="0" borderId="8" xfId="0" applyFont="1" applyFill="1" applyBorder="1" applyAlignment="1">
      <alignment horizontal="center"/>
    </xf>
    <xf numFmtId="0" fontId="60" fillId="0" borderId="0" xfId="15" applyFont="1"/>
    <xf numFmtId="0" fontId="1" fillId="0" borderId="0" xfId="15" applyFill="1"/>
    <xf numFmtId="0" fontId="61" fillId="0" borderId="0" xfId="15" applyFont="1"/>
    <xf numFmtId="0" fontId="2" fillId="0" borderId="0" xfId="16" applyFont="1" applyFill="1" applyProtection="1"/>
    <xf numFmtId="0" fontId="2" fillId="0" borderId="0" xfId="16" applyFont="1" applyFill="1"/>
    <xf numFmtId="0" fontId="2" fillId="0" borderId="0" xfId="17" applyFont="1" applyFill="1"/>
    <xf numFmtId="0" fontId="2" fillId="0" borderId="0" xfId="18" applyFont="1" applyFill="1"/>
    <xf numFmtId="0" fontId="2" fillId="0" borderId="0" xfId="19" applyFont="1" applyFill="1" applyAlignment="1" applyProtection="1"/>
    <xf numFmtId="0" fontId="2" fillId="0" borderId="0" xfId="16" applyFont="1" applyFill="1" applyAlignment="1" applyProtection="1">
      <alignment horizontal="left"/>
    </xf>
    <xf numFmtId="0" fontId="63" fillId="0" borderId="0" xfId="15" applyFont="1" applyFill="1"/>
    <xf numFmtId="37" fontId="2" fillId="0" borderId="0" xfId="16" applyNumberFormat="1" applyFont="1" applyFill="1" applyProtection="1"/>
    <xf numFmtId="0" fontId="2" fillId="0" borderId="0" xfId="16" applyFont="1" applyFill="1" applyAlignment="1" applyProtection="1">
      <alignment horizontal="center"/>
    </xf>
    <xf numFmtId="0" fontId="2" fillId="0" borderId="0" xfId="16" applyFont="1" applyFill="1" applyAlignment="1">
      <alignment horizontal="center"/>
    </xf>
    <xf numFmtId="0" fontId="2" fillId="0" borderId="0" xfId="18" applyFont="1" applyFill="1" applyAlignment="1">
      <alignment horizontal="left"/>
    </xf>
    <xf numFmtId="0" fontId="2" fillId="0" borderId="0" xfId="18" quotePrefix="1" applyFont="1" applyFill="1" applyAlignment="1">
      <alignment horizontal="center"/>
    </xf>
    <xf numFmtId="0" fontId="2" fillId="0" borderId="1" xfId="16" applyFont="1" applyFill="1" applyBorder="1" applyAlignment="1" applyProtection="1">
      <alignment horizontal="center"/>
    </xf>
    <xf numFmtId="0" fontId="2" fillId="0" borderId="1" xfId="16" applyFont="1" applyFill="1" applyBorder="1"/>
    <xf numFmtId="37" fontId="2" fillId="0" borderId="1" xfId="16" applyNumberFormat="1" applyFont="1" applyFill="1" applyBorder="1" applyProtection="1"/>
    <xf numFmtId="0" fontId="2" fillId="0" borderId="1" xfId="16" applyFont="1" applyFill="1" applyBorder="1" applyAlignment="1">
      <alignment horizontal="center"/>
    </xf>
    <xf numFmtId="0" fontId="2" fillId="0" borderId="0" xfId="18" applyFont="1" applyFill="1" applyAlignment="1">
      <alignment horizontal="center"/>
    </xf>
    <xf numFmtId="0" fontId="2" fillId="0" borderId="2" xfId="16" applyFont="1" applyFill="1" applyBorder="1" applyAlignment="1" applyProtection="1">
      <alignment horizontal="center"/>
    </xf>
    <xf numFmtId="0" fontId="2" fillId="0" borderId="1" xfId="18" applyFont="1" applyFill="1" applyBorder="1" applyAlignment="1">
      <alignment horizontal="center"/>
    </xf>
    <xf numFmtId="0" fontId="2" fillId="0" borderId="0" xfId="15" quotePrefix="1" applyFont="1" applyFill="1" applyAlignment="1">
      <alignment horizontal="center"/>
    </xf>
    <xf numFmtId="0" fontId="2" fillId="0" borderId="2" xfId="18" quotePrefix="1" applyFont="1" applyFill="1" applyBorder="1" applyAlignment="1">
      <alignment horizontal="center"/>
    </xf>
    <xf numFmtId="0" fontId="2" fillId="0" borderId="0" xfId="15" applyFont="1" applyFill="1"/>
    <xf numFmtId="37" fontId="2" fillId="0" borderId="0" xfId="16" applyNumberFormat="1" applyFont="1" applyFill="1" applyBorder="1" applyProtection="1"/>
    <xf numFmtId="167" fontId="2" fillId="0" borderId="0" xfId="20" applyNumberFormat="1" applyFont="1" applyFill="1" applyAlignment="1" applyProtection="1">
      <alignment horizontal="center"/>
    </xf>
    <xf numFmtId="42" fontId="64" fillId="0" borderId="0" xfId="15" applyNumberFormat="1" applyFont="1" applyFill="1"/>
    <xf numFmtId="42" fontId="1" fillId="0" borderId="0" xfId="15" applyNumberFormat="1" applyFill="1"/>
    <xf numFmtId="167" fontId="0" fillId="0" borderId="0" xfId="20" applyNumberFormat="1" applyFont="1" applyFill="1"/>
    <xf numFmtId="10" fontId="66" fillId="0" borderId="0" xfId="15" applyNumberFormat="1" applyFont="1" applyFill="1"/>
    <xf numFmtId="0" fontId="1" fillId="0" borderId="0" xfId="15" applyFill="1" applyAlignment="1">
      <alignment horizontal="center"/>
    </xf>
    <xf numFmtId="14" fontId="1" fillId="0" borderId="0" xfId="15" applyNumberFormat="1" applyFill="1" applyAlignment="1">
      <alignment horizontal="right"/>
    </xf>
    <xf numFmtId="42" fontId="0" fillId="0" borderId="0" xfId="20" applyNumberFormat="1" applyFont="1" applyFill="1"/>
    <xf numFmtId="42" fontId="2" fillId="0" borderId="0" xfId="15" applyNumberFormat="1" applyFont="1" applyFill="1"/>
    <xf numFmtId="4" fontId="2" fillId="0" borderId="0" xfId="15" applyNumberFormat="1" applyFont="1" applyFill="1"/>
    <xf numFmtId="3" fontId="2" fillId="0" borderId="0" xfId="15" applyNumberFormat="1" applyFont="1" applyFill="1"/>
    <xf numFmtId="10" fontId="39" fillId="0" borderId="0" xfId="15" applyNumberFormat="1" applyFont="1" applyFill="1"/>
    <xf numFmtId="3" fontId="1" fillId="0" borderId="0" xfId="15" applyNumberFormat="1" applyFill="1"/>
    <xf numFmtId="170" fontId="1" fillId="0" borderId="0" xfId="15" applyNumberFormat="1" applyFill="1"/>
    <xf numFmtId="42" fontId="2" fillId="0" borderId="27" xfId="16" applyNumberFormat="1" applyFont="1" applyFill="1" applyBorder="1" applyProtection="1"/>
    <xf numFmtId="0" fontId="2" fillId="0" borderId="0" xfId="18" applyFont="1" applyFill="1" applyAlignment="1" applyProtection="1">
      <alignment horizontal="center"/>
    </xf>
    <xf numFmtId="5" fontId="0" fillId="0" borderId="0" xfId="20" applyNumberFormat="1" applyFont="1" applyFill="1"/>
    <xf numFmtId="14" fontId="1" fillId="6" borderId="0" xfId="15" applyNumberFormat="1" applyFill="1" applyAlignment="1">
      <alignment horizontal="right"/>
    </xf>
    <xf numFmtId="5" fontId="0" fillId="6" borderId="0" xfId="20" applyNumberFormat="1" applyFont="1" applyFill="1"/>
    <xf numFmtId="167" fontId="0" fillId="6" borderId="0" xfId="20" applyNumberFormat="1" applyFont="1" applyFill="1"/>
    <xf numFmtId="42" fontId="0" fillId="6" borderId="0" xfId="20" applyNumberFormat="1" applyFont="1" applyFill="1"/>
    <xf numFmtId="0" fontId="65" fillId="0" borderId="0" xfId="15" applyFont="1" applyFill="1"/>
    <xf numFmtId="167" fontId="2" fillId="0" borderId="0" xfId="20" quotePrefix="1" applyNumberFormat="1" applyFont="1" applyFill="1" applyAlignment="1">
      <alignment horizontal="left"/>
    </xf>
    <xf numFmtId="167" fontId="1" fillId="0" borderId="0" xfId="15" applyNumberFormat="1" applyFill="1"/>
    <xf numFmtId="0" fontId="2" fillId="0" borderId="0" xfId="0" quotePrefix="1" applyFont="1"/>
    <xf numFmtId="0" fontId="3" fillId="0" borderId="0" xfId="4" applyFont="1" applyFill="1" applyAlignment="1">
      <alignment horizontal="center"/>
    </xf>
    <xf numFmtId="0" fontId="36" fillId="0" borderId="0" xfId="0" applyFont="1" applyAlignment="1">
      <alignment horizontal="center"/>
    </xf>
    <xf numFmtId="0" fontId="37" fillId="0" borderId="0" xfId="0" applyFont="1" applyAlignment="1">
      <alignment horizontal="center"/>
    </xf>
    <xf numFmtId="0" fontId="54" fillId="0" borderId="0" xfId="0" applyFont="1" applyAlignment="1">
      <alignment horizontal="left" vertical="top" wrapText="1"/>
    </xf>
    <xf numFmtId="0" fontId="44" fillId="0" borderId="0" xfId="0" applyFont="1" applyAlignment="1">
      <alignment horizontal="center"/>
    </xf>
    <xf numFmtId="0" fontId="45" fillId="0" borderId="0" xfId="0" applyFont="1" applyAlignment="1">
      <alignment horizontal="center"/>
    </xf>
    <xf numFmtId="0" fontId="36" fillId="0" borderId="0" xfId="0" applyFont="1" applyFill="1" applyAlignment="1">
      <alignment horizontal="center"/>
    </xf>
    <xf numFmtId="0" fontId="37" fillId="0" borderId="0" xfId="0" applyFont="1" applyFill="1" applyAlignment="1">
      <alignment horizontal="center"/>
    </xf>
    <xf numFmtId="0" fontId="1" fillId="13" borderId="28" xfId="15" applyFill="1" applyBorder="1" applyAlignment="1">
      <alignment horizontal="left" vertical="top" wrapText="1"/>
    </xf>
    <xf numFmtId="0" fontId="1" fillId="13" borderId="29" xfId="15" applyFill="1" applyBorder="1" applyAlignment="1">
      <alignment horizontal="left" vertical="top" wrapText="1"/>
    </xf>
    <xf numFmtId="0" fontId="1" fillId="13" borderId="30" xfId="15" applyFill="1" applyBorder="1" applyAlignment="1">
      <alignment horizontal="left" vertical="top" wrapText="1"/>
    </xf>
    <xf numFmtId="0" fontId="65" fillId="0" borderId="0" xfId="15" applyFont="1" applyFill="1" applyAlignment="1">
      <alignment horizontal="left" wrapText="1"/>
    </xf>
  </cellXfs>
  <cellStyles count="21">
    <cellStyle name="Comma" xfId="11" builtinId="3"/>
    <cellStyle name="Comma 10 2 2" xfId="12"/>
    <cellStyle name="Comma 2" xfId="8"/>
    <cellStyle name="Comma 2 2" xfId="2"/>
    <cellStyle name="Comma 2 2 2" xfId="5"/>
    <cellStyle name="Comma 3" xfId="20"/>
    <cellStyle name="Currency" xfId="14" builtinId="4"/>
    <cellStyle name="Currency 2" xfId="9"/>
    <cellStyle name="Currency 2 2" xfId="3"/>
    <cellStyle name="Currency 2 2 2" xfId="7"/>
    <cellStyle name="Currency 5" xfId="10"/>
    <cellStyle name="Good" xfId="1" builtinId="26"/>
    <cellStyle name="Normal" xfId="0" builtinId="0"/>
    <cellStyle name="Normal 2" xfId="4"/>
    <cellStyle name="Normal 2 2" xfId="6"/>
    <cellStyle name="Normal 3" xfId="15"/>
    <cellStyle name="Normal_KPSC ELECTRIC SFRs" xfId="16"/>
    <cellStyle name="Normal_KPSC GAS SFRs-Forward Looking" xfId="19"/>
    <cellStyle name="Normal_SCH_D2.12" xfId="17"/>
    <cellStyle name="Normal_SCH_D2.17" xfId="18"/>
    <cellStyle name="Percent 10 3" xfId="13"/>
  </cellStyles>
  <dxfs count="40">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s>
  <tableStyles count="0" defaultTableStyle="TableStyleMedium9" defaultPivotStyle="PivotStyleLight16"/>
  <colors>
    <mruColors>
      <color rgb="FF0033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theme" Target="theme/theme1.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s>
</file>

<file path=xl/drawings/drawing1.xml><?xml version="1.0" encoding="utf-8"?>
<xdr:wsDr xmlns:xdr="http://schemas.openxmlformats.org/drawingml/2006/spreadsheetDrawing" xmlns:a="http://schemas.openxmlformats.org/drawingml/2006/main">
  <xdr:twoCellAnchor>
    <xdr:from>
      <xdr:col>15</xdr:col>
      <xdr:colOff>85725</xdr:colOff>
      <xdr:row>19</xdr:row>
      <xdr:rowOff>28575</xdr:rowOff>
    </xdr:from>
    <xdr:to>
      <xdr:col>15</xdr:col>
      <xdr:colOff>114300</xdr:colOff>
      <xdr:row>57</xdr:row>
      <xdr:rowOff>133350</xdr:rowOff>
    </xdr:to>
    <xdr:cxnSp macro="">
      <xdr:nvCxnSpPr>
        <xdr:cNvPr id="2" name="Straight Arrow Connector 1">
          <a:extLst>
            <a:ext uri="{FF2B5EF4-FFF2-40B4-BE49-F238E27FC236}">
              <a16:creationId xmlns:a16="http://schemas.microsoft.com/office/drawing/2014/main" id="{BDCE4053-B26A-4BF3-94E9-4E044CB1D71A}"/>
            </a:ext>
          </a:extLst>
        </xdr:cNvPr>
        <xdr:cNvCxnSpPr/>
      </xdr:nvCxnSpPr>
      <xdr:spPr>
        <a:xfrm flipH="1">
          <a:off x="15188565" y="4973955"/>
          <a:ext cx="28575" cy="706945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set\Asset\PROJECTS\SDWT\MONTHLY\Amortization\2000\Leas2000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Quarterly\4Q2005\PwC\From%20BU\DATA\EXCEL\Billings\monthly\JMB.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jgs9531\LOCALS~1\Temp\C.Documents%20and%20Settings.All%20Users.LNotes.jgs9531\m&amp;f\Copy%20of%20INVAUG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sset\Asset\PROJECTS\SDWT\REALEST\JOURNALS\2006\022006-D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rterly\4Q2005\PwC\From%20BU\SUBSIDRY\SPRDSHT\MTH_DATA\MTH_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rterly\4Q2005\PwC\From%20BU\Data\Data\financial%20statements\1999\december\0999%20fin%20rpt%20data%20req.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rterly\4Q2005\PwC\From%20BU\Accounting\MKZ%20files\Data\financial%20statements\2002\0402\march%20fr%20data%20requ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tool30\eudora\attach\Earnings%20Drive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sset\Asset\M%20&amp;%20F%20Accounting\Stores%20Loading\2000\9608A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sset\Asset\PROJECTS\SDWT\MONTHLY\Amortization\2002\Leas2002_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mad0291\LOCALS~1\Temp\C.Documents%20and%20Settings.All%20Users.LNotes.MAD0291\~975884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Quarterly\4Q2005\PwC\From%20BU\FinRpt\Needs%20-%20%20Data%20Request\Quarterly%20Data%20Request\Energy%20Services\EnSer_QDa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Quarterly\4Q2005\PwC\From%20BU\Data\Data\D&amp;T%20audit\Cashflow\1999\1999%20CASH%20FLOW%20DETAI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IntRpt\Mgmt_Report\Corporate%20Summary%20Info\Sept%2099\Corp%20Su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ntRpt\Mgmt_Report\EARNINGS%20Summary%20Bullets\2002\Nov-02\PC%20Earnings%20Package\0293Mgmt%20Cash%20Flo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PRepAn\DE%20Ohio%20and%20Kentucky\Reg%20Assets\Rollforwards\2013\DEK%20Reg%20Asset%20Rollforward%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Ljohans\AppData\Local\Microsoft\Windows\INetCache\Content.Outlook\005WCT29\919_DEK%20Old%20Meters%20Reg%20Asset%20Entri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PRepAn/DE%20Ohio%20and%20Kentucky/Journal%20Entries/Amortizations/DEK/East%20Bend%20OM%20and%20Gas%20Amortization/ROBOT%20East%20Bend%20OM%20&amp;%20Gas%20IM%20Reg%20Asset%20Amort%20Sch%20DW%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Rate%20Case%20Filings\DEK%20Electric%20Case%202017-XXXX\SFR%20Model\KPSC%20Electric%20SFRs-2017%20-%20Forecas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sset\5%20-%20Rate%20Cases\DEK%20-%20Electric%202017\Final%20Files\KPSC%20Electric%20SFRs-2017%20-%20Forecaste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Quarterly\4Q2005\PwC\From%20BU\SYD\EnronCreditExposure5-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YD\Middle%20Office\Records\2003\Jun_03\2003-06-30\dealcap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uarterly\4Q2005\PwC\From%20BU\USER\NVISION\INSTANCE\DGLHOXB1+Detailed%20Balance%20Sheet+2003-03-30+AUS_HO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hcd1754\Local%20Settings\Temporary%20Internet%20Files\OLKB\03_2008%20March%20Equity%20AFUDC%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JChate\AppData\Local\Microsoft\Windows\Temporary%20Internet%20Files\Content.Outlook\MUAE357I\Book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 - Exp"/>
      <sheetName val="Summ - Bal"/>
      <sheetName val="Intangible (2)"/>
      <sheetName val="DOWN DEPR. BAL"/>
      <sheetName val="Down Aint Bal."/>
      <sheetName val="Curr Mth"/>
      <sheetName val="Date"/>
      <sheetName val="Check"/>
      <sheetName val="Date Macro"/>
      <sheetName val="UPLOAD MACRO"/>
      <sheetName val="DOWNLOAD MACRO"/>
      <sheetName val="Print Macro"/>
      <sheetName val="Module1"/>
      <sheetName val="Int. - 13 Month"/>
      <sheetName val="Int. Base Change"/>
    </sheetNames>
    <sheetDataSet>
      <sheetData sheetId="0"/>
      <sheetData sheetId="1"/>
      <sheetData sheetId="2"/>
      <sheetData sheetId="3">
        <row r="11">
          <cell r="A11" t="str">
            <v>VSAM04</v>
          </cell>
          <cell r="C11">
            <v>20017</v>
          </cell>
          <cell r="E11" t="str">
            <v>VSAM04</v>
          </cell>
          <cell r="F11" t="str">
            <v>Acquire/Maintain</v>
          </cell>
          <cell r="G11">
            <v>3682033</v>
          </cell>
          <cell r="R11" t="str">
            <v>20017VSAM04</v>
          </cell>
        </row>
        <row r="12">
          <cell r="A12" t="str">
            <v>DMDELPRD</v>
          </cell>
          <cell r="C12">
            <v>20017</v>
          </cell>
          <cell r="E12" t="str">
            <v>DMDELPRD</v>
          </cell>
          <cell r="F12" t="str">
            <v>DP&amp;S</v>
          </cell>
          <cell r="G12">
            <v>5770909</v>
          </cell>
          <cell r="R12" t="str">
            <v>20017DMDELPRD</v>
          </cell>
        </row>
        <row r="13">
          <cell r="A13" t="str">
            <v>ATLASUT</v>
          </cell>
          <cell r="C13">
            <v>20017</v>
          </cell>
          <cell r="E13" t="str">
            <v>ATLASUT</v>
          </cell>
          <cell r="F13" t="str">
            <v>Atlas UT</v>
          </cell>
          <cell r="G13">
            <v>4803755</v>
          </cell>
          <cell r="R13" t="str">
            <v>20017ATLASUT</v>
          </cell>
        </row>
        <row r="14">
          <cell r="A14" t="str">
            <v>PNX14CAP</v>
          </cell>
          <cell r="C14">
            <v>20017</v>
          </cell>
          <cell r="E14" t="str">
            <v>PNX14CAP</v>
          </cell>
          <cell r="F14" t="str">
            <v>Phoenix Phases 1-4</v>
          </cell>
          <cell r="G14">
            <v>20126797</v>
          </cell>
          <cell r="R14" t="str">
            <v>20017PNX14CAP</v>
          </cell>
        </row>
        <row r="15">
          <cell r="A15" t="str">
            <v>MKTGIM1</v>
          </cell>
          <cell r="C15">
            <v>20017</v>
          </cell>
          <cell r="E15" t="str">
            <v>MKTGIM1</v>
          </cell>
          <cell r="F15" t="str">
            <v>MKTG IM General Project</v>
          </cell>
          <cell r="G15">
            <v>396</v>
          </cell>
          <cell r="R15" t="str">
            <v>20017MKTGIM1</v>
          </cell>
        </row>
        <row r="16">
          <cell r="A16" t="str">
            <v>RWMSLUT</v>
          </cell>
          <cell r="C16">
            <v>20017</v>
          </cell>
          <cell r="E16" t="str">
            <v>RWMSLUT</v>
          </cell>
          <cell r="F16" t="str">
            <v>RWMS Proj Labor UT</v>
          </cell>
          <cell r="G16">
            <v>3567980</v>
          </cell>
          <cell r="R16" t="str">
            <v>20017RWMSLUT</v>
          </cell>
        </row>
        <row r="17">
          <cell r="A17" t="str">
            <v>WKFLED1</v>
          </cell>
          <cell r="E17" t="str">
            <v>WKFLED1</v>
          </cell>
          <cell r="F17" t="str">
            <v>Workflow Proj Duke Labor</v>
          </cell>
          <cell r="G17">
            <v>0</v>
          </cell>
          <cell r="R17" t="str">
            <v>WKFLED1</v>
          </cell>
        </row>
        <row r="18">
          <cell r="A18" t="str">
            <v>HRMSCAP</v>
          </cell>
          <cell r="C18">
            <v>20018</v>
          </cell>
          <cell r="E18" t="str">
            <v>HRMSCAP</v>
          </cell>
          <cell r="F18" t="str">
            <v>OEEXPRESS - Core Pay Track</v>
          </cell>
          <cell r="G18">
            <v>139333</v>
          </cell>
          <cell r="R18" t="str">
            <v>20018HRMSCAP</v>
          </cell>
        </row>
        <row r="19">
          <cell r="A19" t="str">
            <v>FMIS1CCG</v>
          </cell>
          <cell r="C19">
            <v>20018</v>
          </cell>
          <cell r="E19" t="str">
            <v>FMIS1CCG</v>
          </cell>
          <cell r="F19" t="str">
            <v>FMIS Release 1</v>
          </cell>
          <cell r="G19">
            <v>477381</v>
          </cell>
          <cell r="R19" t="str">
            <v>20018FMIS1CCG</v>
          </cell>
        </row>
        <row r="20">
          <cell r="A20" t="str">
            <v>FMIS2CCG</v>
          </cell>
          <cell r="C20">
            <v>20018</v>
          </cell>
          <cell r="E20" t="str">
            <v>FMIS2CCG</v>
          </cell>
          <cell r="F20" t="str">
            <v>FMIS Release 2</v>
          </cell>
          <cell r="G20">
            <v>693833</v>
          </cell>
          <cell r="R20" t="str">
            <v>20018FMIS2CCG</v>
          </cell>
        </row>
        <row r="21">
          <cell r="A21" t="str">
            <v>FMIS3CDP</v>
          </cell>
          <cell r="C21">
            <v>20018</v>
          </cell>
          <cell r="E21" t="str">
            <v>FMIS3CDP</v>
          </cell>
          <cell r="F21" t="str">
            <v>FMIS Release 3</v>
          </cell>
          <cell r="G21">
            <v>24160264</v>
          </cell>
          <cell r="R21" t="str">
            <v>20018FMIS3CDP</v>
          </cell>
        </row>
        <row r="22">
          <cell r="A22" t="str">
            <v>FMIS4CCG</v>
          </cell>
          <cell r="C22">
            <v>20018</v>
          </cell>
          <cell r="E22" t="str">
            <v>FMIS4CCG</v>
          </cell>
          <cell r="F22" t="str">
            <v>FSRP Rel 4 Corp Gov</v>
          </cell>
          <cell r="G22">
            <v>250</v>
          </cell>
          <cell r="R22" t="str">
            <v>20018FMIS4CCG</v>
          </cell>
        </row>
        <row r="23">
          <cell r="A23" t="str">
            <v>BMCTOOLS</v>
          </cell>
          <cell r="C23">
            <v>20018</v>
          </cell>
          <cell r="E23" t="str">
            <v>BMCTOOLS</v>
          </cell>
          <cell r="F23" t="str">
            <v>Database Maintenace Tools</v>
          </cell>
          <cell r="G23">
            <v>3193331</v>
          </cell>
          <cell r="R23" t="str">
            <v>20018BMCTOOLS</v>
          </cell>
        </row>
        <row r="24">
          <cell r="A24" t="str">
            <v>HRMSOMCAP</v>
          </cell>
          <cell r="C24">
            <v>20018</v>
          </cell>
          <cell r="E24" t="str">
            <v>HRMSOMCAP</v>
          </cell>
          <cell r="F24" t="str">
            <v>OEEXPRESS - Core Pay Track</v>
          </cell>
          <cell r="G24">
            <v>4369735</v>
          </cell>
          <cell r="R24" t="str">
            <v>20018HRMSOMCAP</v>
          </cell>
        </row>
        <row r="25">
          <cell r="A25" t="str">
            <v>REMEDYVS</v>
          </cell>
          <cell r="C25">
            <v>20018</v>
          </cell>
          <cell r="E25" t="str">
            <v>REMEDYVS</v>
          </cell>
          <cell r="F25" t="str">
            <v>Implementaion of Request Trac</v>
          </cell>
          <cell r="G25">
            <v>781032</v>
          </cell>
          <cell r="R25" t="str">
            <v>20018REMEDYVS</v>
          </cell>
        </row>
        <row r="26">
          <cell r="A26" t="str">
            <v>CATFMIS</v>
          </cell>
          <cell r="C26">
            <v>20018</v>
          </cell>
          <cell r="E26" t="str">
            <v>CATFMIS</v>
          </cell>
          <cell r="F26" t="str">
            <v>Fmis Release 3 Accounting</v>
          </cell>
          <cell r="G26">
            <v>2802755</v>
          </cell>
          <cell r="R26" t="str">
            <v>20018CATFMIS</v>
          </cell>
        </row>
        <row r="27">
          <cell r="A27" t="str">
            <v>RPVS</v>
          </cell>
          <cell r="C27">
            <v>20018</v>
          </cell>
          <cell r="E27" t="str">
            <v>RPVS</v>
          </cell>
          <cell r="F27" t="str">
            <v>Financial System Replacement</v>
          </cell>
          <cell r="G27">
            <v>2776929</v>
          </cell>
          <cell r="R27" t="str">
            <v>20018RPVS</v>
          </cell>
        </row>
        <row r="28">
          <cell r="A28" t="str">
            <v>HRMS2B</v>
          </cell>
          <cell r="C28">
            <v>20018</v>
          </cell>
          <cell r="E28" t="str">
            <v>HRMS2B</v>
          </cell>
          <cell r="F28" t="str">
            <v>OE Express Release 2B</v>
          </cell>
          <cell r="G28">
            <v>162192</v>
          </cell>
          <cell r="R28" t="str">
            <v>20018HRMS2B</v>
          </cell>
        </row>
        <row r="29">
          <cell r="A29" t="str">
            <v>Y2KPLAT</v>
          </cell>
          <cell r="C29">
            <v>20018</v>
          </cell>
          <cell r="E29" t="str">
            <v>Y2KPLAT</v>
          </cell>
          <cell r="F29" t="str">
            <v>Year 2000 Platinum  Tools</v>
          </cell>
          <cell r="G29">
            <v>1519375</v>
          </cell>
          <cell r="R29" t="str">
            <v>20018Y2KPLAT</v>
          </cell>
        </row>
        <row r="30">
          <cell r="A30" t="str">
            <v>HRMSENHC</v>
          </cell>
          <cell r="C30">
            <v>20013</v>
          </cell>
          <cell r="E30" t="str">
            <v>HRMSENHC</v>
          </cell>
          <cell r="F30" t="str">
            <v>OE Exprss System Enhancements</v>
          </cell>
          <cell r="G30">
            <v>235631</v>
          </cell>
          <cell r="R30" t="str">
            <v>20013HRMSENHC</v>
          </cell>
        </row>
        <row r="31">
          <cell r="A31" t="str">
            <v>HRMSENHC</v>
          </cell>
          <cell r="C31">
            <v>20018</v>
          </cell>
          <cell r="E31" t="str">
            <v>HRMSENHC</v>
          </cell>
          <cell r="F31" t="str">
            <v>OE Exprss System Enhancements</v>
          </cell>
          <cell r="G31">
            <v>4808127</v>
          </cell>
          <cell r="R31" t="str">
            <v>20018HRMSENHC</v>
          </cell>
        </row>
        <row r="32">
          <cell r="A32" t="str">
            <v>EPROCPO</v>
          </cell>
          <cell r="C32">
            <v>20013</v>
          </cell>
          <cell r="E32" t="str">
            <v>EPROCPO</v>
          </cell>
          <cell r="F32" t="str">
            <v>eProcurement PS AP Component</v>
          </cell>
          <cell r="G32">
            <v>553904</v>
          </cell>
          <cell r="R32" t="str">
            <v>20013EPROCPO</v>
          </cell>
        </row>
        <row r="33">
          <cell r="A33" t="str">
            <v>EPROCPO</v>
          </cell>
          <cell r="C33">
            <v>20018</v>
          </cell>
          <cell r="E33" t="str">
            <v>EPROCPO</v>
          </cell>
          <cell r="F33" t="str">
            <v>Implementation Elec Proc Pro</v>
          </cell>
          <cell r="G33">
            <v>459472</v>
          </cell>
          <cell r="R33" t="str">
            <v>20018EPROCPO</v>
          </cell>
        </row>
        <row r="34">
          <cell r="A34" t="str">
            <v>EPROCAP</v>
          </cell>
          <cell r="C34">
            <v>20044</v>
          </cell>
          <cell r="E34" t="str">
            <v>EPROCAP</v>
          </cell>
          <cell r="F34" t="str">
            <v>eProcurement PS AP Component</v>
          </cell>
          <cell r="G34">
            <v>42554</v>
          </cell>
          <cell r="R34" t="str">
            <v>20044EPROCAP</v>
          </cell>
        </row>
        <row r="35">
          <cell r="A35" t="str">
            <v>EPROCPO</v>
          </cell>
          <cell r="C35">
            <v>20044</v>
          </cell>
          <cell r="E35" t="str">
            <v>EPROCPO</v>
          </cell>
          <cell r="F35" t="str">
            <v>eProcmnt PS PO Component</v>
          </cell>
          <cell r="G35">
            <v>0</v>
          </cell>
          <cell r="R35" t="str">
            <v>20044EPROCPO</v>
          </cell>
        </row>
        <row r="36">
          <cell r="A36" t="str">
            <v>DEDBVSTOT</v>
          </cell>
          <cell r="C36">
            <v>20037</v>
          </cell>
          <cell r="E36" t="str">
            <v>DEDBVSTOT</v>
          </cell>
          <cell r="F36" t="str">
            <v>DEDB/CSDB Intangible Total</v>
          </cell>
          <cell r="G36">
            <v>956136</v>
          </cell>
          <cell r="R36" t="str">
            <v>20037DEDBVSTOT</v>
          </cell>
        </row>
        <row r="37">
          <cell r="A37" t="str">
            <v>CSOCSWMI</v>
          </cell>
          <cell r="C37">
            <v>20040</v>
          </cell>
          <cell r="E37" t="str">
            <v>CSOCSWMI</v>
          </cell>
          <cell r="F37" t="str">
            <v>SOC Migration Software project</v>
          </cell>
          <cell r="G37">
            <v>2678789</v>
          </cell>
          <cell r="R37" t="str">
            <v>20040CSOCSWMI</v>
          </cell>
        </row>
        <row r="38">
          <cell r="A38" t="str">
            <v>TEGTTC</v>
          </cell>
          <cell r="C38">
            <v>20040</v>
          </cell>
          <cell r="E38" t="str">
            <v>TEGTTC</v>
          </cell>
          <cell r="F38" t="str">
            <v>Generation Trading and Transac</v>
          </cell>
          <cell r="G38">
            <v>1077019</v>
          </cell>
          <cell r="R38" t="str">
            <v>20040TEGTTC</v>
          </cell>
        </row>
        <row r="39">
          <cell r="A39" t="str">
            <v>CTCCSWMI</v>
          </cell>
          <cell r="C39">
            <v>20020</v>
          </cell>
          <cell r="E39" t="str">
            <v>CTCCSWMI</v>
          </cell>
          <cell r="F39" t="str">
            <v>Tcc Migration Phase 1</v>
          </cell>
          <cell r="G39">
            <v>4366834</v>
          </cell>
          <cell r="R39" t="str">
            <v>20020CTCCSWMI</v>
          </cell>
        </row>
        <row r="40">
          <cell r="A40" t="str">
            <v>VS4738A1</v>
          </cell>
          <cell r="C40">
            <v>20020</v>
          </cell>
          <cell r="E40" t="str">
            <v>VS4738A1</v>
          </cell>
          <cell r="F40" t="str">
            <v>Twams Capital UT Top</v>
          </cell>
          <cell r="G40">
            <v>6206053</v>
          </cell>
          <cell r="R40" t="str">
            <v>20020VS4738A1</v>
          </cell>
        </row>
        <row r="42">
          <cell r="G42" t="str">
            <v xml:space="preserve"> </v>
          </cell>
        </row>
        <row r="43">
          <cell r="E43" t="str">
            <v>TOTAL 106</v>
          </cell>
          <cell r="G43">
            <v>100412799</v>
          </cell>
        </row>
        <row r="45">
          <cell r="F45" t="str">
            <v>CHECK TOTAL</v>
          </cell>
          <cell r="G45">
            <v>100412799</v>
          </cell>
        </row>
        <row r="46">
          <cell r="F46" t="str">
            <v>DIF</v>
          </cell>
          <cell r="G46">
            <v>0</v>
          </cell>
        </row>
      </sheetData>
      <sheetData sheetId="4">
        <row r="1">
          <cell r="A1">
            <v>2502251300</v>
          </cell>
          <cell r="B1" t="str">
            <v>20018</v>
          </cell>
          <cell r="C1">
            <v>4369735</v>
          </cell>
          <cell r="D1" t="str">
            <v>GEN OFF HUMAN RESOURCES DEPT</v>
          </cell>
          <cell r="E1" t="str">
            <v>200007 AINT</v>
          </cell>
        </row>
        <row r="2">
          <cell r="A2" t="str">
            <v>2502255600</v>
          </cell>
          <cell r="B2" t="str">
            <v>20018</v>
          </cell>
          <cell r="C2">
            <v>1034851</v>
          </cell>
          <cell r="D2" t="str">
            <v>GEN OFF PGG IT DIVISION GSD</v>
          </cell>
          <cell r="E2" t="str">
            <v>200007 AINT</v>
          </cell>
        </row>
        <row r="3">
          <cell r="A3" t="str">
            <v>2523524100</v>
          </cell>
          <cell r="B3" t="str">
            <v>20018</v>
          </cell>
          <cell r="C3">
            <v>362711</v>
          </cell>
          <cell r="D3" t="str">
            <v>PRINT SHOP LEASED STRUCTURE IMPROVEMENT</v>
          </cell>
          <cell r="E3" t="str">
            <v>200007 AGENLEASEIMP</v>
          </cell>
        </row>
        <row r="4">
          <cell r="A4" t="str">
            <v>2528528000</v>
          </cell>
          <cell r="B4" t="str">
            <v>20018</v>
          </cell>
          <cell r="C4">
            <v>447244</v>
          </cell>
          <cell r="D4" t="str">
            <v>WACHOVIA PROD TECH SERV/STD AND TEST FAC</v>
          </cell>
          <cell r="E4" t="str">
            <v>200007 AGENLEASEIMP</v>
          </cell>
        </row>
        <row r="5">
          <cell r="A5" t="str">
            <v>2528528500</v>
          </cell>
          <cell r="B5" t="str">
            <v>20018</v>
          </cell>
          <cell r="C5">
            <v>2162985</v>
          </cell>
          <cell r="D5" t="str">
            <v>WACHOVIA CTR S TRYON ST</v>
          </cell>
          <cell r="E5" t="str">
            <v>200007 AGENLEASEIMP</v>
          </cell>
        </row>
        <row r="6">
          <cell r="A6" t="str">
            <v>2528528500</v>
          </cell>
          <cell r="B6" t="str">
            <v>20018</v>
          </cell>
          <cell r="C6">
            <v>366814</v>
          </cell>
          <cell r="D6" t="str">
            <v>WACHOVIA CTR S TRYON ST</v>
          </cell>
          <cell r="E6" t="str">
            <v>200007 ANONLEASEIMP</v>
          </cell>
        </row>
        <row r="7">
          <cell r="A7" t="str">
            <v>2540540000</v>
          </cell>
          <cell r="B7" t="str">
            <v>20018</v>
          </cell>
          <cell r="C7">
            <v>773113</v>
          </cell>
          <cell r="D7" t="str">
            <v>WOOLCO BLDG-WILKINSON BLVD-LEASED</v>
          </cell>
          <cell r="E7" t="str">
            <v>200007 AGENLEASEIMP</v>
          </cell>
        </row>
        <row r="8">
          <cell r="A8" t="str">
            <v>2900250000</v>
          </cell>
          <cell r="B8" t="str">
            <v>20013</v>
          </cell>
          <cell r="C8">
            <v>789535</v>
          </cell>
          <cell r="D8" t="str">
            <v>INTANGIBLE PLANT - GENERAL</v>
          </cell>
          <cell r="E8" t="str">
            <v>200007 AINT</v>
          </cell>
        </row>
        <row r="9">
          <cell r="A9" t="str">
            <v>2900250000</v>
          </cell>
          <cell r="B9" t="str">
            <v>20017</v>
          </cell>
          <cell r="C9">
            <v>29579739</v>
          </cell>
          <cell r="D9" t="str">
            <v>INTANGIBLE PLANT - GENERAL</v>
          </cell>
          <cell r="E9" t="str">
            <v>200007 AINT</v>
          </cell>
        </row>
        <row r="10">
          <cell r="A10" t="str">
            <v>2900250000</v>
          </cell>
          <cell r="B10" t="str">
            <v>20018</v>
          </cell>
          <cell r="C10">
            <v>48431263</v>
          </cell>
          <cell r="D10" t="str">
            <v>INTANGIBLE PLANT - GENERAL</v>
          </cell>
          <cell r="E10" t="str">
            <v>200007 AINT</v>
          </cell>
        </row>
        <row r="11">
          <cell r="A11" t="str">
            <v>2900260000</v>
          </cell>
          <cell r="B11" t="str">
            <v>20020</v>
          </cell>
          <cell r="C11">
            <v>10572887</v>
          </cell>
          <cell r="D11" t="str">
            <v>INTANGIBLE PLANT-TRANSMISSION</v>
          </cell>
          <cell r="E11" t="str">
            <v>200007 AINT</v>
          </cell>
        </row>
        <row r="12">
          <cell r="A12" t="str">
            <v>2900260000</v>
          </cell>
          <cell r="B12" t="str">
            <v>20040</v>
          </cell>
          <cell r="C12">
            <v>2678789</v>
          </cell>
          <cell r="D12" t="str">
            <v>INTANGIBLE PLANT-TRANSMISSION</v>
          </cell>
          <cell r="E12" t="str">
            <v>200007 AINT</v>
          </cell>
        </row>
        <row r="13">
          <cell r="A13" t="str">
            <v>2900400000</v>
          </cell>
          <cell r="B13" t="str">
            <v>20017</v>
          </cell>
          <cell r="C13">
            <v>8372131</v>
          </cell>
          <cell r="D13" t="str">
            <v>INTANGIBLE PLANT-DIST. WIRE</v>
          </cell>
          <cell r="E13" t="str">
            <v>200007 AINT</v>
          </cell>
        </row>
        <row r="14">
          <cell r="A14" t="str">
            <v>2900701000</v>
          </cell>
          <cell r="B14" t="str">
            <v>20040</v>
          </cell>
          <cell r="C14">
            <v>2042503</v>
          </cell>
          <cell r="D14" t="str">
            <v>INTANGIBLE PLANT-HYDRO</v>
          </cell>
          <cell r="E14" t="str">
            <v>200007 AINT</v>
          </cell>
        </row>
        <row r="15">
          <cell r="A15" t="str">
            <v>2900703000</v>
          </cell>
          <cell r="B15" t="str">
            <v>20040</v>
          </cell>
          <cell r="C15">
            <v>1077019</v>
          </cell>
          <cell r="D15" t="str">
            <v>INTANGIBLE PLANT-FOSSIL/HYDRO</v>
          </cell>
          <cell r="E15" t="str">
            <v>200007 AINT</v>
          </cell>
        </row>
        <row r="16">
          <cell r="A16" t="str">
            <v>2900730000</v>
          </cell>
          <cell r="B16" t="str">
            <v>20037</v>
          </cell>
          <cell r="C16">
            <v>956136</v>
          </cell>
          <cell r="D16" t="str">
            <v>INTANGIBLE PLANT-NUCLEAR GO</v>
          </cell>
          <cell r="E16" t="str">
            <v>200007 AINT</v>
          </cell>
        </row>
        <row r="17">
          <cell r="A17" t="str">
            <v>4140030200</v>
          </cell>
          <cell r="B17" t="str">
            <v>20017</v>
          </cell>
          <cell r="C17">
            <v>91775</v>
          </cell>
          <cell r="D17" t="str">
            <v>WINSTON SALEM MERCH/BUS OFF N SUMMIT SQ</v>
          </cell>
          <cell r="E17" t="str">
            <v>200007 AGENLEASEIMP</v>
          </cell>
        </row>
        <row r="18">
          <cell r="A18" t="str">
            <v>4140030300</v>
          </cell>
          <cell r="B18" t="str">
            <v>20017</v>
          </cell>
          <cell r="C18">
            <v>122797</v>
          </cell>
          <cell r="D18" t="str">
            <v>WINSTON SALEM MERCH/BO PARKWY</v>
          </cell>
          <cell r="E18" t="str">
            <v>200007 AGENLEASEIMP</v>
          </cell>
        </row>
        <row r="19">
          <cell r="A19" t="str">
            <v>4140030400</v>
          </cell>
          <cell r="B19" t="str">
            <v>20017</v>
          </cell>
          <cell r="C19">
            <v>121461</v>
          </cell>
          <cell r="D19" t="str">
            <v>WINSTON SALEM MERCH/BO LEASE</v>
          </cell>
          <cell r="E19" t="str">
            <v>200007 AGENLEASEIMP</v>
          </cell>
        </row>
        <row r="20">
          <cell r="A20" t="str">
            <v>4150212500</v>
          </cell>
          <cell r="B20" t="str">
            <v>20017</v>
          </cell>
          <cell r="C20">
            <v>52597</v>
          </cell>
          <cell r="D20" t="str">
            <v>MOCKSVILLE OFF &amp; OPER CT 278 N MAIN RENT</v>
          </cell>
          <cell r="E20" t="str">
            <v>200007 AGENLEASEIMP</v>
          </cell>
        </row>
        <row r="21">
          <cell r="A21" t="str">
            <v>4150212700</v>
          </cell>
          <cell r="B21" t="str">
            <v>20017</v>
          </cell>
          <cell r="C21">
            <v>94142</v>
          </cell>
          <cell r="D21" t="str">
            <v>MOCKSVILLE MERCH/COLL OFFICE</v>
          </cell>
          <cell r="E21" t="str">
            <v>200007 AGENLEASEIMP</v>
          </cell>
        </row>
        <row r="22">
          <cell r="A22" t="str">
            <v>4150215100</v>
          </cell>
          <cell r="B22" t="str">
            <v>20017</v>
          </cell>
          <cell r="C22">
            <v>115409</v>
          </cell>
          <cell r="D22" t="str">
            <v>SALISBURY MERC/BO MARKET PL LE</v>
          </cell>
          <cell r="E22" t="str">
            <v>200007 AGENLEASEIMP</v>
          </cell>
        </row>
        <row r="23">
          <cell r="A23" t="str">
            <v>4170292100</v>
          </cell>
          <cell r="B23" t="str">
            <v>20017</v>
          </cell>
          <cell r="C23">
            <v>74581</v>
          </cell>
          <cell r="D23" t="str">
            <v>YADKINVILLE BUS/MERCH OFF</v>
          </cell>
          <cell r="E23" t="str">
            <v>200007 AGENLEASEIMP</v>
          </cell>
        </row>
        <row r="24">
          <cell r="A24" t="str">
            <v>4170296000</v>
          </cell>
          <cell r="B24" t="str">
            <v>20017</v>
          </cell>
          <cell r="C24">
            <v>123138</v>
          </cell>
          <cell r="D24" t="str">
            <v>ELKIN MERCH/COLL RIDGEWAY CROS</v>
          </cell>
          <cell r="E24" t="str">
            <v>200007 AGENLEASEIMP</v>
          </cell>
        </row>
        <row r="25">
          <cell r="A25" t="str">
            <v>4190170500</v>
          </cell>
          <cell r="B25" t="str">
            <v>20017</v>
          </cell>
          <cell r="C25">
            <v>66481</v>
          </cell>
          <cell r="D25" t="str">
            <v>REIDSVILLE MERCH/COLL FREEWAY</v>
          </cell>
          <cell r="E25" t="str">
            <v>200007 AGENLEASEIMP</v>
          </cell>
        </row>
        <row r="26">
          <cell r="A26" t="str">
            <v>4340090300</v>
          </cell>
          <cell r="B26" t="str">
            <v>20017</v>
          </cell>
          <cell r="C26">
            <v>71895</v>
          </cell>
          <cell r="D26" t="str">
            <v>GREENSBORO WESTRIDGE SQ-LEASED</v>
          </cell>
          <cell r="E26" t="str">
            <v>200007 AGENLEASEIMP</v>
          </cell>
        </row>
        <row r="27">
          <cell r="A27" t="str">
            <v>4340090400</v>
          </cell>
          <cell r="B27" t="str">
            <v>20017</v>
          </cell>
          <cell r="C27">
            <v>139387</v>
          </cell>
          <cell r="D27" t="str">
            <v>GREENSBORO MERCH/BUS OFF</v>
          </cell>
          <cell r="E27" t="str">
            <v>200007 AGENLEASEIMP</v>
          </cell>
        </row>
        <row r="28">
          <cell r="A28" t="str">
            <v>4340092400</v>
          </cell>
          <cell r="B28" t="str">
            <v>20017</v>
          </cell>
          <cell r="C28">
            <v>107827</v>
          </cell>
          <cell r="D28" t="str">
            <v>GREENSBORO BUS OFF/MERCH RANDLEMAN RD</v>
          </cell>
          <cell r="E28" t="str">
            <v>200007 AGENLEASEIMP</v>
          </cell>
        </row>
        <row r="29">
          <cell r="A29" t="str">
            <v>4350100800</v>
          </cell>
          <cell r="B29" t="str">
            <v>20017</v>
          </cell>
          <cell r="C29">
            <v>101398</v>
          </cell>
          <cell r="D29" t="str">
            <v>HIGH POINT BO/MERCH LEASE MARKET PL</v>
          </cell>
          <cell r="E29" t="str">
            <v>200007 AGENLEASEIMP</v>
          </cell>
        </row>
        <row r="30">
          <cell r="A30" t="str">
            <v>4360111200</v>
          </cell>
          <cell r="B30" t="str">
            <v>20017</v>
          </cell>
          <cell r="C30">
            <v>121863</v>
          </cell>
          <cell r="D30" t="str">
            <v>BURLINGTON MERCH/ BUS OFF LEAS</v>
          </cell>
          <cell r="E30" t="str">
            <v>200007 AGENLEASEIMP</v>
          </cell>
        </row>
        <row r="31">
          <cell r="A31" t="str">
            <v>4540021000</v>
          </cell>
          <cell r="B31" t="str">
            <v>20017</v>
          </cell>
          <cell r="C31">
            <v>126575</v>
          </cell>
          <cell r="D31" t="str">
            <v>GREENVILLE MERCH/COLL</v>
          </cell>
          <cell r="E31" t="str">
            <v>200007 AGENLEASEIMP</v>
          </cell>
        </row>
        <row r="32">
          <cell r="A32" t="str">
            <v>4590608100</v>
          </cell>
          <cell r="B32" t="str">
            <v>20017</v>
          </cell>
          <cell r="C32">
            <v>109787</v>
          </cell>
          <cell r="D32" t="str">
            <v>GAFFNEY APPL/BO PEACHTREE CTR</v>
          </cell>
          <cell r="E32" t="str">
            <v>200007 AGENLEASEIMP</v>
          </cell>
        </row>
        <row r="33">
          <cell r="A33" t="str">
            <v>4590609500</v>
          </cell>
          <cell r="B33" t="str">
            <v>20017</v>
          </cell>
          <cell r="C33">
            <v>3054</v>
          </cell>
          <cell r="D33" t="str">
            <v>INMAN OFFICE 145 MAIN ST RENTED</v>
          </cell>
          <cell r="E33" t="str">
            <v>200007 AGENLEASEIMP</v>
          </cell>
        </row>
        <row r="34">
          <cell r="A34" t="str">
            <v>4640049000</v>
          </cell>
          <cell r="B34" t="str">
            <v>20017</v>
          </cell>
          <cell r="C34">
            <v>3827</v>
          </cell>
          <cell r="D34" t="str">
            <v>CLEMSON OFF 106 N. CLEMSON RENTED</v>
          </cell>
          <cell r="E34" t="str">
            <v>200007 AGENLEASEIMP</v>
          </cell>
        </row>
        <row r="35">
          <cell r="A35" t="str">
            <v>4740132000</v>
          </cell>
          <cell r="B35" t="str">
            <v>20017</v>
          </cell>
          <cell r="C35">
            <v>162914</v>
          </cell>
          <cell r="D35" t="str">
            <v>HICKORY MERCH/COLL HICKORY PLA</v>
          </cell>
          <cell r="E35" t="str">
            <v>200007 AGENLEASEIMP</v>
          </cell>
        </row>
        <row r="36">
          <cell r="A36" t="str">
            <v>4760655000</v>
          </cell>
          <cell r="B36" t="str">
            <v>20017</v>
          </cell>
          <cell r="C36">
            <v>1180</v>
          </cell>
          <cell r="D36" t="str">
            <v>MARION BUS OFF 205 S MAIN STREET</v>
          </cell>
          <cell r="E36" t="str">
            <v>200007 AGENLEASEIMP</v>
          </cell>
        </row>
        <row r="37">
          <cell r="A37" t="str">
            <v>4790294300</v>
          </cell>
          <cell r="B37" t="str">
            <v>20017</v>
          </cell>
          <cell r="C37">
            <v>95817</v>
          </cell>
          <cell r="D37" t="str">
            <v>WILKESBORO MERCH/COLL OFFICE</v>
          </cell>
          <cell r="E37" t="str">
            <v>200007 AGENLEASEIMP</v>
          </cell>
        </row>
        <row r="38">
          <cell r="A38" t="str">
            <v>4800650300</v>
          </cell>
          <cell r="B38" t="str">
            <v>20017</v>
          </cell>
          <cell r="C38">
            <v>196969</v>
          </cell>
          <cell r="D38" t="str">
            <v>HENDERSONVILLE BUS OFF &amp; MERCHANDISE</v>
          </cell>
          <cell r="E38" t="str">
            <v>200007 AGENLEASEIMP</v>
          </cell>
        </row>
        <row r="39">
          <cell r="A39" t="str">
            <v>4800660100</v>
          </cell>
          <cell r="B39" t="str">
            <v>20017</v>
          </cell>
          <cell r="C39">
            <v>138364</v>
          </cell>
          <cell r="D39" t="str">
            <v>BREVARD MERCH/COL HWY 64W</v>
          </cell>
          <cell r="E39" t="str">
            <v>200007 AGENLEASEIMP</v>
          </cell>
        </row>
        <row r="40">
          <cell r="A40" t="str">
            <v>4800660300</v>
          </cell>
          <cell r="B40" t="str">
            <v>20017</v>
          </cell>
          <cell r="C40">
            <v>7111</v>
          </cell>
          <cell r="D40" t="str">
            <v>BREVARD OFFICE 223W MAIN RENTED</v>
          </cell>
          <cell r="E40" t="str">
            <v>200007 AGENLEASEIMP</v>
          </cell>
        </row>
        <row r="41">
          <cell r="A41" t="str">
            <v>4940010400</v>
          </cell>
          <cell r="B41" t="str">
            <v>20017</v>
          </cell>
          <cell r="C41">
            <v>189263</v>
          </cell>
          <cell r="D41" t="str">
            <v>CHARLOTTE SATELLITE OFF N GRAHAM LEASED</v>
          </cell>
          <cell r="E41" t="str">
            <v>200007 AGENLEASEIMP</v>
          </cell>
        </row>
        <row r="42">
          <cell r="A42" t="str">
            <v>4950213000</v>
          </cell>
          <cell r="B42" t="str">
            <v>20017</v>
          </cell>
          <cell r="C42">
            <v>2290</v>
          </cell>
          <cell r="D42" t="str">
            <v>KANNAPOLIS OFF S LOOP ROAD LEASED</v>
          </cell>
          <cell r="E42" t="str">
            <v>200007 AGENLEASEIMP</v>
          </cell>
        </row>
        <row r="43">
          <cell r="A43" t="str">
            <v>4960217300</v>
          </cell>
          <cell r="B43" t="str">
            <v>20017</v>
          </cell>
          <cell r="C43">
            <v>61778</v>
          </cell>
          <cell r="D43" t="str">
            <v>MOORESVILLE APPLIANCE STORE</v>
          </cell>
          <cell r="E43" t="str">
            <v>200007 AGENLEASEIMP</v>
          </cell>
        </row>
        <row r="44">
          <cell r="A44" t="str">
            <v>4970720500</v>
          </cell>
          <cell r="B44" t="str">
            <v>20017</v>
          </cell>
          <cell r="C44">
            <v>155964</v>
          </cell>
          <cell r="D44" t="str">
            <v>LANCASTER MERCH/COLL LANCERS C</v>
          </cell>
          <cell r="E44" t="str">
            <v>200007 AGENLEASEIMP</v>
          </cell>
        </row>
        <row r="45">
          <cell r="A45" t="str">
            <v>5000790600</v>
          </cell>
          <cell r="B45" t="str">
            <v>20017</v>
          </cell>
          <cell r="C45">
            <v>92436</v>
          </cell>
          <cell r="D45" t="str">
            <v>GASTONIA MERC/BO FRANKIN SQ LE</v>
          </cell>
          <cell r="E45" t="str">
            <v>200007 AGENLEASEIMP</v>
          </cell>
        </row>
        <row r="46">
          <cell r="A46" t="str">
            <v>5000795500</v>
          </cell>
          <cell r="B46" t="str">
            <v>20017</v>
          </cell>
          <cell r="C46">
            <v>187145</v>
          </cell>
          <cell r="D46" t="str">
            <v>LINCOLNTON BUS OFF/APPL STORE</v>
          </cell>
          <cell r="E46" t="str">
            <v>200007 AGENLEASEIMP</v>
          </cell>
        </row>
        <row r="47">
          <cell r="A47" t="str">
            <v>7246204100</v>
          </cell>
          <cell r="B47" t="str">
            <v>20025</v>
          </cell>
          <cell r="C47">
            <v>467594</v>
          </cell>
          <cell r="D47" t="str">
            <v>BUZZARD ROOST LEASED HYDRO IMPROVE-INSUR</v>
          </cell>
          <cell r="E47" t="str">
            <v>200007 AHYDLEASEIMP</v>
          </cell>
        </row>
      </sheetData>
      <sheetData sheetId="5">
        <row r="1">
          <cell r="A1" t="str">
            <v>CATFMIS</v>
          </cell>
          <cell r="B1" t="str">
            <v>20013</v>
          </cell>
          <cell r="C1" t="str">
            <v>2900250000</v>
          </cell>
          <cell r="D1">
            <v>0</v>
          </cell>
          <cell r="E1" t="str">
            <v>200007</v>
          </cell>
        </row>
        <row r="2">
          <cell r="A2" t="str">
            <v>EPROCPO</v>
          </cell>
          <cell r="B2" t="str">
            <v>20013</v>
          </cell>
          <cell r="C2" t="str">
            <v>2900250000</v>
          </cell>
          <cell r="D2">
            <v>553904</v>
          </cell>
          <cell r="E2" t="str">
            <v>200007</v>
          </cell>
        </row>
        <row r="3">
          <cell r="A3" t="str">
            <v>HRMSCAP</v>
          </cell>
          <cell r="B3" t="str">
            <v>20013</v>
          </cell>
          <cell r="C3" t="str">
            <v>2900250000</v>
          </cell>
          <cell r="D3">
            <v>0</v>
          </cell>
          <cell r="E3" t="str">
            <v>200007</v>
          </cell>
        </row>
        <row r="4">
          <cell r="A4" t="str">
            <v>HRMSENHC</v>
          </cell>
          <cell r="B4" t="str">
            <v>20013</v>
          </cell>
          <cell r="C4" t="str">
            <v>2900250000</v>
          </cell>
          <cell r="D4">
            <v>235631</v>
          </cell>
          <cell r="E4" t="str">
            <v>200007</v>
          </cell>
        </row>
        <row r="5">
          <cell r="A5" t="str">
            <v>HRMSOMCAP</v>
          </cell>
          <cell r="B5" t="str">
            <v>20013</v>
          </cell>
          <cell r="C5" t="str">
            <v>2502251300</v>
          </cell>
          <cell r="D5">
            <v>0</v>
          </cell>
          <cell r="E5" t="str">
            <v>200007</v>
          </cell>
        </row>
        <row r="6">
          <cell r="A6" t="str">
            <v>HRMS2B</v>
          </cell>
          <cell r="B6" t="str">
            <v>20013</v>
          </cell>
          <cell r="C6" t="str">
            <v>2900250000</v>
          </cell>
          <cell r="D6">
            <v>0</v>
          </cell>
          <cell r="E6" t="str">
            <v>200007</v>
          </cell>
        </row>
        <row r="7">
          <cell r="A7" t="str">
            <v>ATLASUT</v>
          </cell>
          <cell r="B7" t="str">
            <v>20017</v>
          </cell>
          <cell r="C7" t="str">
            <v>2900400000</v>
          </cell>
          <cell r="D7">
            <v>4803755</v>
          </cell>
          <cell r="E7" t="str">
            <v>200007</v>
          </cell>
        </row>
        <row r="8">
          <cell r="A8" t="str">
            <v>DMDELPRD</v>
          </cell>
          <cell r="B8" t="str">
            <v>20017</v>
          </cell>
          <cell r="C8">
            <v>2900250000</v>
          </cell>
          <cell r="D8">
            <v>5770909</v>
          </cell>
          <cell r="E8" t="str">
            <v>200007</v>
          </cell>
        </row>
        <row r="9">
          <cell r="A9" t="str">
            <v>MKTGIM1</v>
          </cell>
          <cell r="B9" t="str">
            <v>20017</v>
          </cell>
          <cell r="C9" t="str">
            <v>2900400000</v>
          </cell>
          <cell r="D9">
            <v>396</v>
          </cell>
          <cell r="E9" t="str">
            <v>200007</v>
          </cell>
        </row>
        <row r="10">
          <cell r="A10" t="str">
            <v>PNX14CAP</v>
          </cell>
          <cell r="B10" t="str">
            <v>20017</v>
          </cell>
          <cell r="C10" t="str">
            <v>2900250000</v>
          </cell>
          <cell r="D10">
            <v>20126797</v>
          </cell>
          <cell r="E10" t="str">
            <v>200007</v>
          </cell>
        </row>
        <row r="11">
          <cell r="A11" t="str">
            <v>RWMSLUT</v>
          </cell>
          <cell r="B11" t="str">
            <v>20017</v>
          </cell>
          <cell r="C11" t="str">
            <v>2900400000</v>
          </cell>
          <cell r="D11">
            <v>3567980</v>
          </cell>
          <cell r="E11" t="str">
            <v>200007</v>
          </cell>
        </row>
        <row r="12">
          <cell r="A12" t="str">
            <v>VSAM04</v>
          </cell>
          <cell r="B12" t="str">
            <v>20017</v>
          </cell>
          <cell r="C12" t="str">
            <v>2900250000</v>
          </cell>
          <cell r="D12">
            <v>3682033</v>
          </cell>
          <cell r="E12" t="str">
            <v>200007</v>
          </cell>
        </row>
        <row r="13">
          <cell r="A13" t="str">
            <v>BMCTOOLS</v>
          </cell>
          <cell r="B13" t="str">
            <v>20018</v>
          </cell>
          <cell r="C13" t="str">
            <v>2900250000</v>
          </cell>
          <cell r="D13">
            <v>3193331</v>
          </cell>
          <cell r="E13" t="str">
            <v>200007</v>
          </cell>
        </row>
        <row r="14">
          <cell r="A14" t="str">
            <v>CATFMIS</v>
          </cell>
          <cell r="B14" t="str">
            <v>20018</v>
          </cell>
          <cell r="C14" t="str">
            <v>2900250000</v>
          </cell>
          <cell r="D14">
            <v>2802755</v>
          </cell>
          <cell r="E14" t="str">
            <v>200007</v>
          </cell>
        </row>
        <row r="15">
          <cell r="A15" t="str">
            <v>EPROCPO</v>
          </cell>
          <cell r="B15" t="str">
            <v>20018</v>
          </cell>
          <cell r="C15" t="str">
            <v>2900250000</v>
          </cell>
          <cell r="D15">
            <v>459472</v>
          </cell>
          <cell r="E15" t="str">
            <v>200007</v>
          </cell>
        </row>
        <row r="16">
          <cell r="A16" t="str">
            <v>FMIS1CCG</v>
          </cell>
          <cell r="B16" t="str">
            <v>20018</v>
          </cell>
          <cell r="C16" t="str">
            <v>2900250000</v>
          </cell>
          <cell r="D16">
            <v>477381</v>
          </cell>
          <cell r="E16" t="str">
            <v>200007</v>
          </cell>
        </row>
        <row r="17">
          <cell r="A17" t="str">
            <v>FMIS2CCG</v>
          </cell>
          <cell r="B17" t="str">
            <v>20018</v>
          </cell>
          <cell r="C17" t="str">
            <v>2900250000</v>
          </cell>
          <cell r="D17">
            <v>693833</v>
          </cell>
          <cell r="E17" t="str">
            <v>200007</v>
          </cell>
        </row>
        <row r="18">
          <cell r="A18" t="str">
            <v>FMIS3CDP</v>
          </cell>
          <cell r="B18" t="str">
            <v>20018</v>
          </cell>
          <cell r="C18" t="str">
            <v>2900250000</v>
          </cell>
          <cell r="D18">
            <v>24160264</v>
          </cell>
          <cell r="E18" t="str">
            <v>200007</v>
          </cell>
        </row>
        <row r="19">
          <cell r="A19" t="str">
            <v>FMIS4CCG</v>
          </cell>
          <cell r="B19" t="str">
            <v>20018</v>
          </cell>
          <cell r="C19" t="str">
            <v>2900250000</v>
          </cell>
          <cell r="D19">
            <v>250</v>
          </cell>
          <cell r="E19" t="str">
            <v>200007</v>
          </cell>
        </row>
        <row r="20">
          <cell r="A20" t="str">
            <v>HRMSCAP</v>
          </cell>
          <cell r="B20" t="str">
            <v>20018</v>
          </cell>
          <cell r="C20" t="str">
            <v>2900250000</v>
          </cell>
          <cell r="D20">
            <v>139333</v>
          </cell>
          <cell r="E20" t="str">
            <v>200007</v>
          </cell>
        </row>
        <row r="21">
          <cell r="A21" t="str">
            <v>HRMSENHC</v>
          </cell>
          <cell r="B21" t="str">
            <v>20018</v>
          </cell>
          <cell r="C21" t="str">
            <v>2900250000</v>
          </cell>
          <cell r="D21">
            <v>4808127</v>
          </cell>
          <cell r="E21" t="str">
            <v>200007</v>
          </cell>
        </row>
        <row r="22">
          <cell r="A22" t="str">
            <v>HRMSOMCAP</v>
          </cell>
          <cell r="B22" t="str">
            <v>20018</v>
          </cell>
          <cell r="C22" t="str">
            <v>2502251300</v>
          </cell>
          <cell r="D22">
            <v>4369735</v>
          </cell>
          <cell r="E22" t="str">
            <v>200007</v>
          </cell>
        </row>
        <row r="23">
          <cell r="A23" t="str">
            <v>HRMS2B</v>
          </cell>
          <cell r="B23" t="str">
            <v>20018</v>
          </cell>
          <cell r="C23" t="str">
            <v>2900250000</v>
          </cell>
          <cell r="D23">
            <v>162192</v>
          </cell>
          <cell r="E23" t="str">
            <v>200007</v>
          </cell>
        </row>
        <row r="24">
          <cell r="A24" t="str">
            <v>REMEDYVS</v>
          </cell>
          <cell r="B24" t="str">
            <v>20018</v>
          </cell>
          <cell r="C24" t="str">
            <v>2900250000</v>
          </cell>
          <cell r="D24">
            <v>781032</v>
          </cell>
          <cell r="E24" t="str">
            <v>200007</v>
          </cell>
        </row>
        <row r="25">
          <cell r="A25" t="str">
            <v>RPVS</v>
          </cell>
          <cell r="B25">
            <v>20018</v>
          </cell>
          <cell r="C25">
            <v>2900250000</v>
          </cell>
          <cell r="D25">
            <v>2776929</v>
          </cell>
          <cell r="E25">
            <v>200007</v>
          </cell>
        </row>
        <row r="26">
          <cell r="A26" t="str">
            <v>Y2KPLAT</v>
          </cell>
          <cell r="B26">
            <v>20018</v>
          </cell>
          <cell r="C26">
            <v>2900250000</v>
          </cell>
          <cell r="D26">
            <v>1519375</v>
          </cell>
          <cell r="E26">
            <v>200007</v>
          </cell>
        </row>
        <row r="27">
          <cell r="A27" t="str">
            <v>CTCCSWMI</v>
          </cell>
          <cell r="B27">
            <v>20020</v>
          </cell>
          <cell r="C27">
            <v>2900260000</v>
          </cell>
          <cell r="D27">
            <v>4366834</v>
          </cell>
          <cell r="E27">
            <v>200007</v>
          </cell>
        </row>
      </sheetData>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VOUCHER"/>
      <sheetName val="COVERSHEET"/>
    </sheetNames>
    <sheetDataSet>
      <sheetData sheetId="0"/>
      <sheetData sheetId="1"/>
      <sheetData sheetId="2" refreshError="1">
        <row r="1">
          <cell r="J1" t="str">
            <v>MSA GENERAL LEDGER</v>
          </cell>
        </row>
        <row r="2">
          <cell r="J2" t="str">
            <v>General Ledger Transactions</v>
          </cell>
          <cell r="M2" t="str">
            <v>Company</v>
          </cell>
          <cell r="N2" t="str">
            <v>Effective Date</v>
          </cell>
          <cell r="P2" t="str">
            <v>Source Code:</v>
          </cell>
          <cell r="R2" t="str">
            <v>IB</v>
          </cell>
        </row>
        <row r="3">
          <cell r="J3" t="str">
            <v>TEXAS EASTERN TRANSMISSION CORP</v>
          </cell>
          <cell r="M3" t="str">
            <v>0001</v>
          </cell>
          <cell r="N3">
            <v>35626</v>
          </cell>
          <cell r="P3" t="str">
            <v>Batch:</v>
          </cell>
          <cell r="R3" t="str">
            <v>20</v>
          </cell>
        </row>
        <row r="7">
          <cell r="B7" t="str">
            <v>Dr/</v>
          </cell>
          <cell r="F7" t="str">
            <v>Assoc.</v>
          </cell>
          <cell r="L7" t="str">
            <v>Proj.</v>
          </cell>
          <cell r="M7" t="str">
            <v>Volume</v>
          </cell>
        </row>
        <row r="8">
          <cell r="A8" t="str">
            <v>Item</v>
          </cell>
          <cell r="B8" t="str">
            <v>Cr</v>
          </cell>
          <cell r="C8" t="str">
            <v>Co</v>
          </cell>
          <cell r="D8" t="str">
            <v>Ferc</v>
          </cell>
          <cell r="E8" t="str">
            <v>Detail</v>
          </cell>
          <cell r="F8" t="str">
            <v>Co.</v>
          </cell>
          <cell r="G8" t="str">
            <v>Center</v>
          </cell>
          <cell r="I8" t="str">
            <v>Amount</v>
          </cell>
          <cell r="K8" t="str">
            <v>Description 1</v>
          </cell>
          <cell r="L8" t="str">
            <v>Code</v>
          </cell>
          <cell r="M8" t="str">
            <v>(MMBTU)</v>
          </cell>
          <cell r="N8" t="str">
            <v>Desc 2</v>
          </cell>
          <cell r="P8" t="str">
            <v>Desc 3</v>
          </cell>
        </row>
        <row r="21">
          <cell r="I21" t="str">
            <v>(SEE ATTACHED)</v>
          </cell>
        </row>
        <row r="31">
          <cell r="G31" t="str">
            <v>Total Debits</v>
          </cell>
          <cell r="I31">
            <v>986.22</v>
          </cell>
        </row>
        <row r="32">
          <cell r="G32" t="str">
            <v>Total Credits</v>
          </cell>
          <cell r="I32">
            <v>986.22</v>
          </cell>
        </row>
        <row r="34">
          <cell r="B34" t="str">
            <v>Explanation:</v>
          </cell>
          <cell r="D34" t="str">
            <v>To invoice JMB Realty for bus barn rental.</v>
          </cell>
        </row>
        <row r="41">
          <cell r="A41" t="str">
            <v>Keypunched by:__________________ Finalized by:___________________ Prepared by:_________________ Verified by:__________________ Approved by:__________________</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ge 3"/>
      <sheetName val="Page 4"/>
      <sheetName val="Page 5"/>
      <sheetName val="Page 6"/>
      <sheetName val="Page 7"/>
      <sheetName val="Page 8"/>
      <sheetName val="Page 9"/>
      <sheetName val="Page 10"/>
      <sheetName val="Page 10 (2)"/>
      <sheetName val="Page 11"/>
      <sheetName val="Page 11 (2)"/>
      <sheetName val="S200_data"/>
      <sheetName val="Instruct"/>
      <sheetName val="Key Asset"/>
      <sheetName val="4.3 Page"/>
      <sheetName val="Date"/>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
      <sheetName val="Journal"/>
      <sheetName val="Summary Sheet"/>
      <sheetName val="Acct Inf Table"/>
      <sheetName val="Business Units"/>
      <sheetName val="Date Table"/>
      <sheetName val="Notes"/>
      <sheetName val="Sheet13"/>
      <sheetName val="Sheet14"/>
      <sheetName val="Sheet15"/>
      <sheetName val="Sheet16"/>
    </sheetNames>
    <sheetDataSet>
      <sheetData sheetId="0"/>
      <sheetData sheetId="1">
        <row r="1">
          <cell r="A1" t="str">
            <v>022006</v>
          </cell>
        </row>
      </sheetData>
      <sheetData sheetId="2"/>
      <sheetData sheetId="3"/>
      <sheetData sheetId="4"/>
      <sheetData sheetId="5"/>
      <sheetData sheetId="6">
        <row r="1">
          <cell r="A1" t="str">
            <v>FEBRUARY</v>
          </cell>
        </row>
        <row r="2">
          <cell r="A2">
            <v>28</v>
          </cell>
        </row>
      </sheetData>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mp;S_ESTI_IS"/>
      <sheetName val="DCPS_ESTI_IS"/>
      <sheetName val="DFD_ESTI_IS"/>
      <sheetName val="DCI_ESTI_IS"/>
      <sheetName val="Merch_ESTI_IS"/>
      <sheetName val="NP&amp;L_ESTI_IS"/>
      <sheetName val="DEG_ESTI_IS"/>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equest"/>
      <sheetName val="Crescent 10010"/>
      <sheetName val="Debt Detail"/>
      <sheetName val="capitalized interest"/>
      <sheetName val="Cap Ex"/>
      <sheetName val="Change in PP&amp;E"/>
      <sheetName val="notes receivable"/>
      <sheetName val="minority interest"/>
      <sheetName val="investment in affiliates"/>
      <sheetName val="other noncurrent asse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Detail"/>
      <sheetName val="data request"/>
      <sheetName val="Income Stmt Template"/>
      <sheetName val="Balance Sheet Template"/>
      <sheetName val="Crescent 10010"/>
      <sheetName val="capitalized interest"/>
      <sheetName val="Cap Ex"/>
      <sheetName val="Change in PP&amp;E"/>
      <sheetName val="notes receivable"/>
      <sheetName val="NR detail"/>
      <sheetName val="minority interest"/>
      <sheetName val="investment in affilia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Earnings Drivers (QTR)"/>
      <sheetName val="IR Earnings Drivers (YTD)"/>
      <sheetName val="Ongoing EPS - QTR"/>
      <sheetName val="Ongoing EPS - YTD"/>
      <sheetName val="Summary of EBITs"/>
      <sheetName val="Ongoing EBITs"/>
      <sheetName val="Flux"/>
      <sheetName val="Taxes"/>
    </sheetNames>
    <sheetDataSet>
      <sheetData sheetId="0">
        <row r="1">
          <cell r="A1" t="str">
            <v>Duke Energy Corporation</v>
          </cell>
        </row>
        <row r="2">
          <cell r="A2" t="str">
            <v>Earnings Per Share Drivers</v>
          </cell>
        </row>
        <row r="3">
          <cell r="A3" t="str">
            <v>Three Months Ended December 31, 2002</v>
          </cell>
        </row>
        <row r="5">
          <cell r="J5" t="str">
            <v>Corp</v>
          </cell>
        </row>
        <row r="6">
          <cell r="A6" t="str">
            <v>(In millions, except where noted)</v>
          </cell>
          <cell r="B6" t="str">
            <v>EBIT</v>
          </cell>
          <cell r="F6" t="str">
            <v>Dollar</v>
          </cell>
          <cell r="H6" t="str">
            <v>Percent</v>
          </cell>
          <cell r="J6" t="str">
            <v>Tax</v>
          </cell>
          <cell r="L6" t="str">
            <v>$ Variance</v>
          </cell>
          <cell r="N6" t="str">
            <v>Number of</v>
          </cell>
          <cell r="P6" t="str">
            <v>Dollars/</v>
          </cell>
        </row>
        <row r="7">
          <cell r="B7">
            <v>2002</v>
          </cell>
          <cell r="D7">
            <v>2001</v>
          </cell>
          <cell r="F7" t="str">
            <v xml:space="preserve">Variance </v>
          </cell>
          <cell r="H7" t="str">
            <v xml:space="preserve">Variance </v>
          </cell>
          <cell r="J7" t="str">
            <v>Rate</v>
          </cell>
          <cell r="L7" t="str">
            <v>Net of Taxes</v>
          </cell>
          <cell r="N7" t="str">
            <v>Shares</v>
          </cell>
          <cell r="P7" t="str">
            <v>Share</v>
          </cell>
        </row>
        <row r="8">
          <cell r="A8" t="str">
            <v>Franchised Electric</v>
          </cell>
        </row>
        <row r="9">
          <cell r="A9" t="str">
            <v>2002</v>
          </cell>
        </row>
        <row r="12">
          <cell r="F12">
            <v>0</v>
          </cell>
          <cell r="J12">
            <v>0.31952662721893493</v>
          </cell>
          <cell r="L12">
            <v>0</v>
          </cell>
          <cell r="N12">
            <v>833802778</v>
          </cell>
          <cell r="P12">
            <v>0</v>
          </cell>
        </row>
        <row r="13">
          <cell r="F13">
            <v>0</v>
          </cell>
          <cell r="J13">
            <v>0.31952662721893493</v>
          </cell>
          <cell r="L13">
            <v>0</v>
          </cell>
          <cell r="N13">
            <v>833802778</v>
          </cell>
          <cell r="P13">
            <v>0</v>
          </cell>
        </row>
        <row r="14">
          <cell r="F14">
            <v>0</v>
          </cell>
          <cell r="J14">
            <v>0.31952662721893493</v>
          </cell>
          <cell r="L14">
            <v>0</v>
          </cell>
          <cell r="N14">
            <v>833802778</v>
          </cell>
          <cell r="P14">
            <v>0</v>
          </cell>
        </row>
        <row r="15">
          <cell r="A15" t="str">
            <v>2001</v>
          </cell>
        </row>
        <row r="16">
          <cell r="F16">
            <v>0</v>
          </cell>
          <cell r="J16">
            <v>0.31952662721893493</v>
          </cell>
          <cell r="L16">
            <v>0</v>
          </cell>
          <cell r="N16">
            <v>833802778</v>
          </cell>
          <cell r="P16">
            <v>0</v>
          </cell>
        </row>
        <row r="17">
          <cell r="F17">
            <v>-22</v>
          </cell>
          <cell r="J17">
            <v>0.31952662721893493</v>
          </cell>
          <cell r="L17">
            <v>-14.970414201183431</v>
          </cell>
          <cell r="N17">
            <v>833802778</v>
          </cell>
          <cell r="P17">
            <v>-1.7954382734358593E-2</v>
          </cell>
        </row>
        <row r="18">
          <cell r="A18" t="str">
            <v xml:space="preserve">   Total Franchised Electric</v>
          </cell>
          <cell r="B18">
            <v>585</v>
          </cell>
          <cell r="D18">
            <v>607</v>
          </cell>
          <cell r="F18">
            <v>-22</v>
          </cell>
          <cell r="H18">
            <v>-3.6243822075782535E-2</v>
          </cell>
          <cell r="L18">
            <v>-14.970414201183431</v>
          </cell>
          <cell r="P18">
            <v>-1.7954382734358593E-2</v>
          </cell>
        </row>
        <row r="20">
          <cell r="A20" t="str">
            <v>Natural Gas Transmission</v>
          </cell>
        </row>
        <row r="21">
          <cell r="A21" t="str">
            <v>2002</v>
          </cell>
        </row>
        <row r="22">
          <cell r="F22">
            <v>0</v>
          </cell>
          <cell r="J22">
            <v>0.31952662721893493</v>
          </cell>
          <cell r="L22">
            <v>0</v>
          </cell>
          <cell r="N22">
            <v>833802778</v>
          </cell>
          <cell r="P22">
            <v>0</v>
          </cell>
        </row>
        <row r="23">
          <cell r="F23">
            <v>0</v>
          </cell>
          <cell r="J23">
            <v>0.31952662721893493</v>
          </cell>
          <cell r="L23">
            <v>0</v>
          </cell>
          <cell r="N23">
            <v>833802778</v>
          </cell>
          <cell r="P23">
            <v>0</v>
          </cell>
        </row>
        <row r="24">
          <cell r="F24">
            <v>0</v>
          </cell>
          <cell r="J24">
            <v>0.31952662721893493</v>
          </cell>
          <cell r="L24">
            <v>0</v>
          </cell>
          <cell r="N24">
            <v>833802778</v>
          </cell>
          <cell r="P24">
            <v>0</v>
          </cell>
        </row>
        <row r="25">
          <cell r="F25">
            <v>0</v>
          </cell>
          <cell r="J25">
            <v>0.31952662721893493</v>
          </cell>
          <cell r="L25">
            <v>0</v>
          </cell>
          <cell r="N25">
            <v>833802778</v>
          </cell>
          <cell r="P25">
            <v>0</v>
          </cell>
        </row>
        <row r="26">
          <cell r="F26">
            <v>0</v>
          </cell>
          <cell r="J26">
            <v>0.31952662721893493</v>
          </cell>
          <cell r="L26">
            <v>0</v>
          </cell>
          <cell r="N26">
            <v>833802778</v>
          </cell>
          <cell r="P26">
            <v>0</v>
          </cell>
        </row>
        <row r="27">
          <cell r="F27">
            <v>144</v>
          </cell>
          <cell r="J27">
            <v>0.31952662721893493</v>
          </cell>
          <cell r="L27">
            <v>97.988165680473358</v>
          </cell>
          <cell r="N27">
            <v>833802778</v>
          </cell>
          <cell r="P27">
            <v>0.11751959607943806</v>
          </cell>
        </row>
        <row r="28">
          <cell r="A28" t="str">
            <v xml:space="preserve">   Total Natural Gas Transmission</v>
          </cell>
          <cell r="B28">
            <v>287</v>
          </cell>
          <cell r="D28">
            <v>143</v>
          </cell>
          <cell r="F28">
            <v>144</v>
          </cell>
          <cell r="H28">
            <v>1.0069930069930071</v>
          </cell>
          <cell r="L28">
            <v>97.988165680473358</v>
          </cell>
          <cell r="P28">
            <v>0.11751959607943806</v>
          </cell>
        </row>
        <row r="30">
          <cell r="A30" t="str">
            <v>Field Services</v>
          </cell>
        </row>
        <row r="32">
          <cell r="F32">
            <v>0</v>
          </cell>
          <cell r="J32">
            <v>0.31952662721893493</v>
          </cell>
          <cell r="L32">
            <v>0</v>
          </cell>
          <cell r="N32">
            <v>833802778</v>
          </cell>
          <cell r="P32">
            <v>0</v>
          </cell>
        </row>
        <row r="33">
          <cell r="F33">
            <v>0</v>
          </cell>
          <cell r="J33">
            <v>0.31952662721893493</v>
          </cell>
          <cell r="L33">
            <v>0</v>
          </cell>
          <cell r="N33">
            <v>833802778</v>
          </cell>
          <cell r="P33">
            <v>0</v>
          </cell>
        </row>
        <row r="34">
          <cell r="F34">
            <v>0</v>
          </cell>
          <cell r="J34">
            <v>0.31952662721893493</v>
          </cell>
          <cell r="L34">
            <v>0</v>
          </cell>
          <cell r="N34">
            <v>833802778</v>
          </cell>
          <cell r="P34">
            <v>0</v>
          </cell>
        </row>
        <row r="35">
          <cell r="F35">
            <v>-52</v>
          </cell>
          <cell r="J35">
            <v>0.31952662721893493</v>
          </cell>
          <cell r="L35">
            <v>-35.38461538461538</v>
          </cell>
          <cell r="N35">
            <v>833802778</v>
          </cell>
          <cell r="P35">
            <v>-4.2437631917574853E-2</v>
          </cell>
        </row>
        <row r="36">
          <cell r="A36" t="str">
            <v xml:space="preserve">   Total Field Services</v>
          </cell>
          <cell r="B36">
            <v>23</v>
          </cell>
          <cell r="D36">
            <v>75</v>
          </cell>
          <cell r="F36">
            <v>-52</v>
          </cell>
          <cell r="H36">
            <v>-0.69333333333333336</v>
          </cell>
          <cell r="L36">
            <v>-35.38461538461538</v>
          </cell>
          <cell r="P36">
            <v>-4.2437631917574853E-2</v>
          </cell>
        </row>
        <row r="38">
          <cell r="A38" t="str">
            <v>Duke Energy North America</v>
          </cell>
        </row>
        <row r="39">
          <cell r="A39" t="str">
            <v>2002</v>
          </cell>
        </row>
        <row r="40">
          <cell r="F40">
            <v>0</v>
          </cell>
          <cell r="J40">
            <v>0.31952662721893493</v>
          </cell>
          <cell r="L40">
            <v>0</v>
          </cell>
          <cell r="N40">
            <v>833802778</v>
          </cell>
          <cell r="P40">
            <v>0</v>
          </cell>
        </row>
        <row r="43">
          <cell r="F43">
            <v>0</v>
          </cell>
          <cell r="J43">
            <v>0.31952662721893493</v>
          </cell>
          <cell r="L43">
            <v>0</v>
          </cell>
          <cell r="N43">
            <v>833802778</v>
          </cell>
          <cell r="P43">
            <v>0</v>
          </cell>
        </row>
        <row r="44">
          <cell r="F44">
            <v>0</v>
          </cell>
          <cell r="J44">
            <v>0.31952662721893493</v>
          </cell>
          <cell r="L44">
            <v>0</v>
          </cell>
          <cell r="N44">
            <v>833802778</v>
          </cell>
          <cell r="P44">
            <v>0</v>
          </cell>
        </row>
        <row r="45">
          <cell r="F45">
            <v>0</v>
          </cell>
          <cell r="J45">
            <v>0.31952662721893493</v>
          </cell>
          <cell r="L45">
            <v>0</v>
          </cell>
          <cell r="N45">
            <v>833802778</v>
          </cell>
          <cell r="P45">
            <v>0</v>
          </cell>
        </row>
        <row r="47">
          <cell r="F47">
            <v>0</v>
          </cell>
          <cell r="J47">
            <v>0.31952662721893493</v>
          </cell>
          <cell r="L47">
            <v>0</v>
          </cell>
          <cell r="N47">
            <v>833802778</v>
          </cell>
          <cell r="P47">
            <v>0</v>
          </cell>
        </row>
        <row r="48">
          <cell r="F48">
            <v>0</v>
          </cell>
        </row>
        <row r="49">
          <cell r="F49">
            <v>0</v>
          </cell>
          <cell r="J49">
            <v>0.31952662721893493</v>
          </cell>
          <cell r="L49">
            <v>0</v>
          </cell>
          <cell r="N49">
            <v>833802778</v>
          </cell>
          <cell r="P49">
            <v>0</v>
          </cell>
        </row>
        <row r="50">
          <cell r="F50">
            <v>0</v>
          </cell>
          <cell r="J50">
            <v>0.31952662721893493</v>
          </cell>
          <cell r="L50">
            <v>0</v>
          </cell>
          <cell r="N50">
            <v>833802778</v>
          </cell>
          <cell r="P50">
            <v>0</v>
          </cell>
        </row>
        <row r="51">
          <cell r="F51">
            <v>0</v>
          </cell>
          <cell r="J51">
            <v>0.31952662721893493</v>
          </cell>
          <cell r="L51">
            <v>0</v>
          </cell>
          <cell r="N51">
            <v>833802778</v>
          </cell>
          <cell r="P51">
            <v>0</v>
          </cell>
        </row>
        <row r="52">
          <cell r="F52">
            <v>0</v>
          </cell>
          <cell r="J52">
            <v>0.31952662721893493</v>
          </cell>
          <cell r="L52">
            <v>0</v>
          </cell>
          <cell r="N52">
            <v>833802778</v>
          </cell>
          <cell r="P52">
            <v>0</v>
          </cell>
        </row>
        <row r="53">
          <cell r="A53" t="str">
            <v>2001</v>
          </cell>
        </row>
        <row r="55">
          <cell r="F55">
            <v>0</v>
          </cell>
          <cell r="J55">
            <v>0.31952662721893493</v>
          </cell>
          <cell r="L55">
            <v>0</v>
          </cell>
          <cell r="N55">
            <v>833802778</v>
          </cell>
          <cell r="P55">
            <v>0</v>
          </cell>
        </row>
        <row r="56">
          <cell r="F56">
            <v>0</v>
          </cell>
          <cell r="J56">
            <v>0.31952662721893493</v>
          </cell>
          <cell r="L56">
            <v>0</v>
          </cell>
          <cell r="N56">
            <v>833802778</v>
          </cell>
          <cell r="P56">
            <v>0</v>
          </cell>
        </row>
        <row r="57">
          <cell r="F57">
            <v>-761</v>
          </cell>
          <cell r="J57">
            <v>0.31952662721893493</v>
          </cell>
          <cell r="L57">
            <v>-517.84023668639043</v>
          </cell>
          <cell r="N57">
            <v>833802778</v>
          </cell>
          <cell r="P57">
            <v>-0.62105842094758579</v>
          </cell>
        </row>
        <row r="58">
          <cell r="A58" t="str">
            <v>*Trading Variance Explanations: results reflect the negative impacts of a prolonged</v>
          </cell>
        </row>
        <row r="59">
          <cell r="A59" t="str">
            <v xml:space="preserve">  economic downturn, continued low price volatility levels, reduced spark spreads</v>
          </cell>
        </row>
        <row r="60">
          <cell r="A60" t="str">
            <v xml:space="preserve">  and decreased market liquidity. These factors led to sharply depressed spot</v>
          </cell>
        </row>
        <row r="61">
          <cell r="A61" t="str">
            <v xml:space="preserve">  and forward wholesale power prices, particularly during the critical summer months</v>
          </cell>
        </row>
        <row r="62">
          <cell r="A62" t="str">
            <v xml:space="preserve">   In contrast, last year's results were driven by unusually high natural gas and</v>
          </cell>
        </row>
        <row r="63">
          <cell r="A63" t="str">
            <v xml:space="preserve">   power prices and volatility levels.</v>
          </cell>
        </row>
        <row r="64">
          <cell r="A64" t="str">
            <v xml:space="preserve">   Total North American Wholesale Energy</v>
          </cell>
          <cell r="B64">
            <v>-107</v>
          </cell>
          <cell r="D64">
            <v>654</v>
          </cell>
          <cell r="F64">
            <v>-761</v>
          </cell>
          <cell r="H64">
            <v>-1.1636085626911314</v>
          </cell>
          <cell r="L64">
            <v>-517.84023668639043</v>
          </cell>
          <cell r="P64">
            <v>-0.62105842094758579</v>
          </cell>
        </row>
        <row r="65">
          <cell r="A65" t="str">
            <v xml:space="preserve"> </v>
          </cell>
        </row>
        <row r="66">
          <cell r="A66" t="str">
            <v>International Energy</v>
          </cell>
        </row>
        <row r="67">
          <cell r="F67">
            <v>0</v>
          </cell>
          <cell r="J67">
            <v>0.31952662721893493</v>
          </cell>
          <cell r="L67">
            <v>0</v>
          </cell>
          <cell r="N67">
            <v>833802778</v>
          </cell>
          <cell r="P67">
            <v>0</v>
          </cell>
        </row>
        <row r="68">
          <cell r="F68">
            <v>0</v>
          </cell>
          <cell r="J68">
            <v>0.31952662721893493</v>
          </cell>
          <cell r="L68">
            <v>0</v>
          </cell>
          <cell r="N68">
            <v>833802778</v>
          </cell>
          <cell r="P68">
            <v>0</v>
          </cell>
        </row>
        <row r="69">
          <cell r="F69">
            <v>0</v>
          </cell>
          <cell r="J69">
            <v>0.31952662721893493</v>
          </cell>
          <cell r="L69">
            <v>0</v>
          </cell>
          <cell r="N69">
            <v>833802778</v>
          </cell>
          <cell r="P69">
            <v>0</v>
          </cell>
        </row>
        <row r="71">
          <cell r="F71">
            <v>0</v>
          </cell>
          <cell r="J71">
            <v>0.31952662721893493</v>
          </cell>
          <cell r="L71">
            <v>0</v>
          </cell>
          <cell r="N71">
            <v>833802778</v>
          </cell>
          <cell r="P71">
            <v>0</v>
          </cell>
        </row>
        <row r="72">
          <cell r="A72">
            <v>2001</v>
          </cell>
        </row>
        <row r="73">
          <cell r="F73">
            <v>0</v>
          </cell>
          <cell r="J73">
            <v>0.31952662721893493</v>
          </cell>
          <cell r="L73">
            <v>0</v>
          </cell>
          <cell r="N73">
            <v>833802778</v>
          </cell>
          <cell r="P73">
            <v>0</v>
          </cell>
        </row>
        <row r="74">
          <cell r="F74">
            <v>-99</v>
          </cell>
          <cell r="J74">
            <v>0.31952662721893493</v>
          </cell>
          <cell r="L74">
            <v>-67.366863905325431</v>
          </cell>
          <cell r="N74">
            <v>833802778</v>
          </cell>
          <cell r="P74">
            <v>-8.0794722304613653E-2</v>
          </cell>
        </row>
        <row r="75">
          <cell r="A75" t="str">
            <v xml:space="preserve">   Total International Energy</v>
          </cell>
          <cell r="B75">
            <v>-25</v>
          </cell>
          <cell r="D75">
            <v>74</v>
          </cell>
          <cell r="F75">
            <v>-99</v>
          </cell>
          <cell r="H75">
            <v>-1.3378378378378379</v>
          </cell>
          <cell r="L75">
            <v>-67.366863905325431</v>
          </cell>
          <cell r="P75">
            <v>-8.0794722304613653E-2</v>
          </cell>
        </row>
        <row r="77">
          <cell r="B77" t="str">
            <v>Continued on next page……….</v>
          </cell>
        </row>
        <row r="79">
          <cell r="B79" t="str">
            <v>Continued from previous page.</v>
          </cell>
        </row>
        <row r="80">
          <cell r="A80" t="str">
            <v>Other Energy Services</v>
          </cell>
        </row>
        <row r="81">
          <cell r="A81">
            <v>2002</v>
          </cell>
        </row>
        <row r="83">
          <cell r="F83">
            <v>0</v>
          </cell>
          <cell r="J83">
            <v>0.31952662721893493</v>
          </cell>
          <cell r="L83">
            <v>0</v>
          </cell>
          <cell r="N83">
            <v>833802778</v>
          </cell>
          <cell r="P83">
            <v>0</v>
          </cell>
        </row>
        <row r="85">
          <cell r="F85">
            <v>0</v>
          </cell>
          <cell r="J85">
            <v>0.31952662721893493</v>
          </cell>
          <cell r="L85">
            <v>0</v>
          </cell>
          <cell r="N85">
            <v>833802778</v>
          </cell>
          <cell r="P85">
            <v>0</v>
          </cell>
        </row>
        <row r="86">
          <cell r="F86">
            <v>0</v>
          </cell>
          <cell r="J86">
            <v>0.31952662721893493</v>
          </cell>
          <cell r="L86">
            <v>0</v>
          </cell>
          <cell r="N86">
            <v>833802778</v>
          </cell>
          <cell r="P86">
            <v>0</v>
          </cell>
        </row>
        <row r="87">
          <cell r="A87">
            <v>2001</v>
          </cell>
        </row>
        <row r="88">
          <cell r="F88">
            <v>0</v>
          </cell>
          <cell r="J88">
            <v>0.31952662721893493</v>
          </cell>
          <cell r="L88">
            <v>0</v>
          </cell>
          <cell r="N88">
            <v>833802778</v>
          </cell>
          <cell r="P88">
            <v>0</v>
          </cell>
        </row>
        <row r="89">
          <cell r="F89">
            <v>0</v>
          </cell>
          <cell r="J89">
            <v>0.31952662721893493</v>
          </cell>
          <cell r="L89">
            <v>0</v>
          </cell>
          <cell r="N89">
            <v>833802778</v>
          </cell>
          <cell r="P89">
            <v>0</v>
          </cell>
        </row>
        <row r="91">
          <cell r="F91">
            <v>67</v>
          </cell>
          <cell r="J91">
            <v>0.31952662721893493</v>
          </cell>
          <cell r="L91">
            <v>45.591715976331358</v>
          </cell>
          <cell r="N91">
            <v>833802778</v>
          </cell>
          <cell r="P91">
            <v>5.467925650918299E-2</v>
          </cell>
        </row>
        <row r="92">
          <cell r="A92" t="str">
            <v xml:space="preserve">   Total Other Energy Services</v>
          </cell>
          <cell r="B92">
            <v>9</v>
          </cell>
          <cell r="D92">
            <v>-58</v>
          </cell>
          <cell r="F92">
            <v>67</v>
          </cell>
          <cell r="H92">
            <v>1.1551724137931034</v>
          </cell>
          <cell r="L92">
            <v>45.591715976331358</v>
          </cell>
          <cell r="P92">
            <v>5.467925650918299E-2</v>
          </cell>
        </row>
        <row r="94">
          <cell r="A94" t="str">
            <v>Duke Ventures</v>
          </cell>
        </row>
        <row r="95">
          <cell r="F95">
            <v>0</v>
          </cell>
          <cell r="J95">
            <v>0.31952662721893493</v>
          </cell>
          <cell r="L95">
            <v>0</v>
          </cell>
          <cell r="N95">
            <v>833802778</v>
          </cell>
          <cell r="P95">
            <v>0</v>
          </cell>
        </row>
        <row r="96">
          <cell r="A96" t="str">
            <v xml:space="preserve">   Total Duke Ventures</v>
          </cell>
          <cell r="B96">
            <v>21</v>
          </cell>
          <cell r="D96">
            <v>51</v>
          </cell>
          <cell r="F96">
            <v>-30</v>
          </cell>
          <cell r="H96">
            <v>-0.58823529411764708</v>
          </cell>
          <cell r="L96">
            <v>0</v>
          </cell>
          <cell r="P96">
            <v>0</v>
          </cell>
        </row>
        <row r="98">
          <cell r="A98" t="str">
            <v>Other Operations (includes certain unallocated corporate costs)</v>
          </cell>
        </row>
        <row r="99">
          <cell r="A99" t="str">
            <v>Other misc variances (see supporting schedule)</v>
          </cell>
          <cell r="F99">
            <v>-64</v>
          </cell>
          <cell r="J99">
            <v>0.31952662721893493</v>
          </cell>
          <cell r="L99">
            <v>-43.550295857988161</v>
          </cell>
          <cell r="N99">
            <v>833802778</v>
          </cell>
          <cell r="P99">
            <v>-5.2230931590861361E-2</v>
          </cell>
        </row>
        <row r="100">
          <cell r="A100" t="str">
            <v xml:space="preserve">   Total Other Operations</v>
          </cell>
          <cell r="B100">
            <v>-118</v>
          </cell>
          <cell r="D100">
            <v>-54</v>
          </cell>
          <cell r="F100">
            <v>-64</v>
          </cell>
          <cell r="H100">
            <v>-1.1851851851851851</v>
          </cell>
          <cell r="L100">
            <v>-43.550295857988161</v>
          </cell>
          <cell r="P100">
            <v>-5.2230931590861361E-2</v>
          </cell>
        </row>
        <row r="102">
          <cell r="A102" t="str">
            <v xml:space="preserve">  Total Segment EBIT</v>
          </cell>
          <cell r="B102">
            <v>675</v>
          </cell>
          <cell r="D102">
            <v>1492</v>
          </cell>
          <cell r="F102">
            <v>-787</v>
          </cell>
          <cell r="H102">
            <v>-0.52747989276139406</v>
          </cell>
          <cell r="L102">
            <v>-535.53254437869782</v>
          </cell>
          <cell r="P102">
            <v>-0.64227723690637328</v>
          </cell>
        </row>
        <row r="104">
          <cell r="A104" t="str">
            <v>Other items affecting EPS</v>
          </cell>
        </row>
        <row r="105">
          <cell r="A105" t="str">
            <v>Increase in interest expense</v>
          </cell>
          <cell r="F105">
            <v>-125</v>
          </cell>
          <cell r="J105">
            <v>0.31952662721893493</v>
          </cell>
          <cell r="L105">
            <v>-85.059171597633124</v>
          </cell>
          <cell r="N105">
            <v>833802778</v>
          </cell>
          <cell r="P105">
            <v>-0.10201353826340109</v>
          </cell>
        </row>
        <row r="106">
          <cell r="A106" t="str">
            <v>Decrease in minority interest expense related to interest and taxes</v>
          </cell>
          <cell r="F106">
            <v>4</v>
          </cell>
          <cell r="J106">
            <v>0.31952662721893493</v>
          </cell>
          <cell r="L106">
            <v>2.72189349112426</v>
          </cell>
          <cell r="N106">
            <v>833802778</v>
          </cell>
          <cell r="P106">
            <v>3.2644332244288351E-3</v>
          </cell>
        </row>
        <row r="107">
          <cell r="A107" t="str">
            <v>Decrease in preferred securities interest, attributable to DENA financing</v>
          </cell>
          <cell r="F107">
            <v>0</v>
          </cell>
          <cell r="J107">
            <v>0.31952662721893493</v>
          </cell>
          <cell r="L107">
            <v>0</v>
          </cell>
          <cell r="N107">
            <v>833802778</v>
          </cell>
          <cell r="P107">
            <v>0</v>
          </cell>
        </row>
        <row r="108">
          <cell r="A108" t="str">
            <v>Change in weighted ave shares o/s = 58.6 million shares</v>
          </cell>
        </row>
        <row r="109">
          <cell r="A109" t="str">
            <v xml:space="preserve">     2002 Earn for Com SH of $ 227/ 833.8 shares in CY = $0.2722</v>
          </cell>
        </row>
        <row r="110">
          <cell r="A110" t="str">
            <v xml:space="preserve">     2002 Earn for Com SH of $227/ 775.2 shares in PY = $0.2928</v>
          </cell>
          <cell r="P110">
            <v>-2.06E-2</v>
          </cell>
        </row>
        <row r="111">
          <cell r="A111" t="str">
            <v>Change in effective tax rate</v>
          </cell>
          <cell r="F111">
            <v>19.147335423197493</v>
          </cell>
          <cell r="L111">
            <v>19.147335423197493</v>
          </cell>
          <cell r="N111">
            <v>833802778</v>
          </cell>
          <cell r="P111">
            <v>2.2963866190426022E-2</v>
          </cell>
        </row>
        <row r="112">
          <cell r="A112" t="str">
            <v xml:space="preserve">  Total Other items</v>
          </cell>
          <cell r="F112">
            <v>-101.85266457680251</v>
          </cell>
          <cell r="L112">
            <v>-63.189942683311372</v>
          </cell>
          <cell r="P112">
            <v>-9.6385238848546231E-2</v>
          </cell>
        </row>
        <row r="114">
          <cell r="A114" t="str">
            <v>EPS Variance, Total Corporation</v>
          </cell>
          <cell r="P114">
            <v>-0.73866247575492017</v>
          </cell>
        </row>
        <row r="118">
          <cell r="L118" t="str">
            <v>EPS, three months ended September 30, 2002</v>
          </cell>
          <cell r="P118">
            <v>0.27</v>
          </cell>
        </row>
        <row r="119">
          <cell r="A119" t="str">
            <v>NOTE Totals may not foot due to rounding</v>
          </cell>
          <cell r="L119" t="str">
            <v>EPS, three months ended September 30, 2001</v>
          </cell>
          <cell r="P119">
            <v>1.02</v>
          </cell>
        </row>
        <row r="120">
          <cell r="L120" t="str">
            <v>Variance</v>
          </cell>
          <cell r="P120">
            <v>-0.75</v>
          </cell>
        </row>
        <row r="121">
          <cell r="A121" t="str">
            <v xml:space="preserve">NOTE 1: Detail of Duke Power revenue amounts for weather, economy and growth should not be perceived as exact. Although they are calculated using the </v>
          </cell>
        </row>
        <row r="122">
          <cell r="A122" t="str">
            <v>best data available, there is no way to determine the precise effect weather and the slowing economy has on Franchised Electric's earnings. These are approximate</v>
          </cell>
        </row>
        <row r="123">
          <cell r="A123" t="str">
            <v>numbers reported to Duke's management.</v>
          </cell>
        </row>
      </sheetData>
      <sheetData sheetId="1"/>
      <sheetData sheetId="2">
        <row r="1">
          <cell r="A1" t="str">
            <v>Duke Energy Corporation</v>
          </cell>
        </row>
        <row r="2">
          <cell r="A2" t="str">
            <v>Ongoing Earnings Per Share Calculation</v>
          </cell>
        </row>
        <row r="3">
          <cell r="A3" t="str">
            <v>Three Months Ended December 31, 2002</v>
          </cell>
        </row>
        <row r="7">
          <cell r="D7" t="str">
            <v>Earnings</v>
          </cell>
          <cell r="H7" t="str">
            <v>Interest and</v>
          </cell>
          <cell r="J7" t="str">
            <v>Earnings</v>
          </cell>
        </row>
        <row r="8">
          <cell r="D8" t="str">
            <v>Before Interest</v>
          </cell>
          <cell r="F8" t="str">
            <v>Income</v>
          </cell>
          <cell r="H8" t="str">
            <v>Preferred</v>
          </cell>
          <cell r="J8" t="str">
            <v>for Common</v>
          </cell>
          <cell r="L8" t="str">
            <v>Basic</v>
          </cell>
        </row>
        <row r="9">
          <cell r="A9" t="str">
            <v>(In millions, except where noted)</v>
          </cell>
          <cell r="D9" t="str">
            <v>and Taxes</v>
          </cell>
          <cell r="F9" t="str">
            <v>Taxes</v>
          </cell>
          <cell r="H9" t="str">
            <v>Stock</v>
          </cell>
          <cell r="J9" t="str">
            <v>Stock</v>
          </cell>
          <cell r="L9" t="str">
            <v>EPS</v>
          </cell>
        </row>
        <row r="11">
          <cell r="A11" t="str">
            <v>Quarter Ended December 31, 2002 Earnings</v>
          </cell>
          <cell r="D11">
            <v>668</v>
          </cell>
          <cell r="F11">
            <v>-108</v>
          </cell>
          <cell r="H11">
            <v>-333</v>
          </cell>
          <cell r="J11">
            <v>227</v>
          </cell>
          <cell r="L11">
            <v>0.27</v>
          </cell>
        </row>
        <row r="13">
          <cell r="A13" t="str">
            <v>Non-core EBIT items</v>
          </cell>
        </row>
        <row r="14">
          <cell r="A14" t="str">
            <v>DENA</v>
          </cell>
        </row>
        <row r="15">
          <cell r="F15">
            <v>0</v>
          </cell>
          <cell r="J15">
            <v>0</v>
          </cell>
          <cell r="L15">
            <v>0</v>
          </cell>
        </row>
        <row r="16">
          <cell r="F16">
            <v>0</v>
          </cell>
          <cell r="J16">
            <v>0</v>
          </cell>
          <cell r="L16">
            <v>0</v>
          </cell>
        </row>
        <row r="17">
          <cell r="D17">
            <v>0</v>
          </cell>
          <cell r="F17">
            <v>0</v>
          </cell>
          <cell r="J17">
            <v>0</v>
          </cell>
          <cell r="L17">
            <v>0</v>
          </cell>
        </row>
        <row r="18">
          <cell r="D18">
            <v>0</v>
          </cell>
          <cell r="F18">
            <v>0</v>
          </cell>
          <cell r="J18">
            <v>0</v>
          </cell>
          <cell r="L18">
            <v>0</v>
          </cell>
        </row>
        <row r="19">
          <cell r="A19" t="str">
            <v>DEI</v>
          </cell>
        </row>
        <row r="20">
          <cell r="D20">
            <v>0</v>
          </cell>
          <cell r="F20">
            <v>0</v>
          </cell>
          <cell r="J20">
            <v>0</v>
          </cell>
          <cell r="L20">
            <v>0</v>
          </cell>
        </row>
        <row r="21">
          <cell r="A21" t="str">
            <v>Franchised Electric</v>
          </cell>
        </row>
        <row r="22">
          <cell r="D22">
            <v>0</v>
          </cell>
          <cell r="F22">
            <v>0</v>
          </cell>
          <cell r="J22">
            <v>0</v>
          </cell>
          <cell r="L22">
            <v>0</v>
          </cell>
        </row>
        <row r="24">
          <cell r="A24" t="str">
            <v>Ongoing</v>
          </cell>
          <cell r="D24">
            <v>668</v>
          </cell>
          <cell r="F24">
            <v>-108</v>
          </cell>
          <cell r="H24">
            <v>-333</v>
          </cell>
          <cell r="J24">
            <v>227</v>
          </cell>
          <cell r="L24">
            <v>0.27</v>
          </cell>
        </row>
        <row r="26">
          <cell r="A26" t="str">
            <v>Franchised Electric</v>
          </cell>
        </row>
        <row r="27">
          <cell r="B27" t="str">
            <v>Weather impacts (a)</v>
          </cell>
          <cell r="D27">
            <v>0</v>
          </cell>
          <cell r="F27">
            <v>0</v>
          </cell>
          <cell r="J27">
            <v>0</v>
          </cell>
          <cell r="L27">
            <v>0</v>
          </cell>
        </row>
        <row r="29">
          <cell r="A29" t="str">
            <v>Normalized  Earnings</v>
          </cell>
          <cell r="D29">
            <v>668</v>
          </cell>
          <cell r="F29">
            <v>-108</v>
          </cell>
          <cell r="H29">
            <v>-333</v>
          </cell>
          <cell r="J29">
            <v>227</v>
          </cell>
          <cell r="L29">
            <v>0.27</v>
          </cell>
        </row>
        <row r="36">
          <cell r="A36" t="str">
            <v>Quarter Ended December 31, 2001 Earnings</v>
          </cell>
          <cell r="D36">
            <v>0</v>
          </cell>
          <cell r="F36">
            <v>0</v>
          </cell>
          <cell r="H36">
            <v>0</v>
          </cell>
          <cell r="J36">
            <v>0</v>
          </cell>
          <cell r="L36" t="e">
            <v>#DIV/0!</v>
          </cell>
        </row>
        <row r="38">
          <cell r="A38" t="str">
            <v>Non-core EBIT items</v>
          </cell>
        </row>
        <row r="41">
          <cell r="J41">
            <v>0</v>
          </cell>
          <cell r="L41" t="e">
            <v>#DIV/0!</v>
          </cell>
        </row>
        <row r="44">
          <cell r="A44" t="str">
            <v>Ongoing</v>
          </cell>
          <cell r="D44">
            <v>0</v>
          </cell>
          <cell r="F44">
            <v>0</v>
          </cell>
          <cell r="H44">
            <v>0</v>
          </cell>
          <cell r="J44">
            <v>0</v>
          </cell>
          <cell r="L44" t="e">
            <v>#DIV/0!</v>
          </cell>
        </row>
        <row r="46">
          <cell r="A46" t="str">
            <v>Franchised Electric</v>
          </cell>
        </row>
        <row r="47">
          <cell r="B47" t="str">
            <v>Weather impacts (a)</v>
          </cell>
          <cell r="D47">
            <v>0</v>
          </cell>
          <cell r="F47">
            <v>0</v>
          </cell>
          <cell r="J47">
            <v>0</v>
          </cell>
          <cell r="L47" t="e">
            <v>#DIV/0!</v>
          </cell>
        </row>
        <row r="49">
          <cell r="A49" t="str">
            <v>Normalized Earnings</v>
          </cell>
          <cell r="D49">
            <v>0</v>
          </cell>
          <cell r="F49">
            <v>0</v>
          </cell>
          <cell r="H49">
            <v>0</v>
          </cell>
          <cell r="J49">
            <v>0</v>
          </cell>
          <cell r="L49" t="e">
            <v>#DIV/0!</v>
          </cell>
        </row>
        <row r="52">
          <cell r="A52" t="str">
            <v xml:space="preserve">(a) </v>
          </cell>
          <cell r="B52" t="str">
            <v>Amount represents an estimate and should not be discussed specifically.  Note that this is a variance compared to normalized</v>
          </cell>
        </row>
        <row r="53">
          <cell r="B53" t="str">
            <v>(or budgeted) weather, not versus prior year weather.</v>
          </cell>
        </row>
      </sheetData>
      <sheetData sheetId="3">
        <row r="1">
          <cell r="A1" t="str">
            <v>Duke Energy Corporation</v>
          </cell>
        </row>
        <row r="2">
          <cell r="A2" t="str">
            <v>Ongoing Earnings Per Share Calculation</v>
          </cell>
        </row>
        <row r="3">
          <cell r="A3" t="str">
            <v>Year to Date Ended December 31, 2002</v>
          </cell>
        </row>
        <row r="7">
          <cell r="D7" t="str">
            <v>Earnings</v>
          </cell>
          <cell r="H7" t="str">
            <v>Interest and</v>
          </cell>
          <cell r="J7" t="str">
            <v>Cum. Change</v>
          </cell>
          <cell r="L7" t="str">
            <v>Earnings</v>
          </cell>
        </row>
        <row r="8">
          <cell r="D8" t="str">
            <v>Before Interest</v>
          </cell>
          <cell r="F8" t="str">
            <v>Income</v>
          </cell>
          <cell r="H8" t="str">
            <v>Preferred</v>
          </cell>
          <cell r="J8" t="str">
            <v>In Accounting</v>
          </cell>
          <cell r="L8" t="str">
            <v>for Common</v>
          </cell>
          <cell r="N8" t="str">
            <v>Basic</v>
          </cell>
        </row>
        <row r="9">
          <cell r="A9" t="str">
            <v>(In millions, except where noted)</v>
          </cell>
          <cell r="D9" t="str">
            <v>and Taxes</v>
          </cell>
          <cell r="F9" t="str">
            <v>Taxes</v>
          </cell>
          <cell r="H9" t="str">
            <v>Stock</v>
          </cell>
          <cell r="J9" t="str">
            <v>Principle</v>
          </cell>
          <cell r="L9" t="str">
            <v>Stock</v>
          </cell>
          <cell r="N9" t="str">
            <v>EPS</v>
          </cell>
        </row>
        <row r="11">
          <cell r="A11" t="str">
            <v>YTD December 31, 2002 Earnings</v>
          </cell>
          <cell r="D11">
            <v>2476</v>
          </cell>
          <cell r="F11">
            <v>-513</v>
          </cell>
          <cell r="H11">
            <v>-887</v>
          </cell>
          <cell r="J11">
            <v>0</v>
          </cell>
          <cell r="L11">
            <v>1076</v>
          </cell>
          <cell r="N11">
            <v>1.32</v>
          </cell>
        </row>
        <row r="13">
          <cell r="A13" t="str">
            <v>Non-core EBIT items</v>
          </cell>
        </row>
        <row r="14">
          <cell r="A14" t="str">
            <v>DENA</v>
          </cell>
        </row>
        <row r="15">
          <cell r="B15" t="str">
            <v>Termination obligation on GE Turbines $121, Write-off of</v>
          </cell>
          <cell r="F15">
            <v>0</v>
          </cell>
          <cell r="L15">
            <v>0</v>
          </cell>
          <cell r="N15">
            <v>0</v>
          </cell>
        </row>
        <row r="16">
          <cell r="B16" t="str">
            <v xml:space="preserve">   site development costs $31, South Bay impairment $31 </v>
          </cell>
          <cell r="F16">
            <v>0</v>
          </cell>
          <cell r="L16">
            <v>0</v>
          </cell>
          <cell r="N16">
            <v>0</v>
          </cell>
        </row>
        <row r="17">
          <cell r="B17" t="str">
            <v xml:space="preserve">    and demobilization costs $12</v>
          </cell>
          <cell r="D17">
            <v>195</v>
          </cell>
          <cell r="F17">
            <v>-76</v>
          </cell>
          <cell r="L17">
            <v>119</v>
          </cell>
          <cell r="N17">
            <v>0.15</v>
          </cell>
        </row>
        <row r="18">
          <cell r="B18" t="str">
            <v>Severance costs</v>
          </cell>
          <cell r="D18">
            <v>12</v>
          </cell>
          <cell r="F18">
            <v>-5</v>
          </cell>
          <cell r="L18">
            <v>7</v>
          </cell>
          <cell r="N18">
            <v>0.01</v>
          </cell>
        </row>
        <row r="19">
          <cell r="A19" t="str">
            <v>DEI</v>
          </cell>
        </row>
        <row r="20">
          <cell r="B20" t="str">
            <v>Impairment of turbines &amp; other project write-off costs</v>
          </cell>
          <cell r="D20">
            <v>91</v>
          </cell>
          <cell r="F20">
            <v>-35</v>
          </cell>
          <cell r="L20">
            <v>56</v>
          </cell>
          <cell r="N20">
            <v>7.0000000000000007E-2</v>
          </cell>
        </row>
        <row r="21">
          <cell r="A21" t="str">
            <v>Franchised Electric</v>
          </cell>
        </row>
        <row r="22">
          <cell r="B22" t="str">
            <v>Severance accrual</v>
          </cell>
          <cell r="D22">
            <v>21</v>
          </cell>
          <cell r="F22">
            <v>-8</v>
          </cell>
          <cell r="L22">
            <v>13</v>
          </cell>
          <cell r="N22">
            <v>0.02</v>
          </cell>
        </row>
        <row r="24">
          <cell r="A24" t="str">
            <v>Ongoing earnings</v>
          </cell>
          <cell r="D24">
            <v>2795</v>
          </cell>
          <cell r="F24">
            <v>-637</v>
          </cell>
          <cell r="H24">
            <v>-887</v>
          </cell>
          <cell r="J24">
            <v>0</v>
          </cell>
          <cell r="L24">
            <v>1271</v>
          </cell>
          <cell r="N24">
            <v>1.57</v>
          </cell>
        </row>
        <row r="26">
          <cell r="A26" t="str">
            <v>Franchised Electric</v>
          </cell>
        </row>
        <row r="27">
          <cell r="B27" t="str">
            <v>Weather impacts (a)</v>
          </cell>
          <cell r="D27">
            <v>-42</v>
          </cell>
          <cell r="F27">
            <v>16</v>
          </cell>
          <cell r="L27">
            <v>-26</v>
          </cell>
          <cell r="N27">
            <v>-0.03</v>
          </cell>
        </row>
        <row r="29">
          <cell r="A29" t="str">
            <v>Normalized Earnings</v>
          </cell>
          <cell r="D29">
            <v>2753</v>
          </cell>
          <cell r="F29">
            <v>-621</v>
          </cell>
          <cell r="H29">
            <v>-887</v>
          </cell>
          <cell r="J29">
            <v>0</v>
          </cell>
          <cell r="L29">
            <v>1245</v>
          </cell>
          <cell r="N29">
            <v>1.54</v>
          </cell>
        </row>
        <row r="36">
          <cell r="A36" t="str">
            <v>YTD December 31, 2001 Earnings</v>
          </cell>
          <cell r="D36">
            <v>0</v>
          </cell>
          <cell r="F36">
            <v>0</v>
          </cell>
          <cell r="H36">
            <v>0</v>
          </cell>
          <cell r="J36">
            <v>-96</v>
          </cell>
          <cell r="L36">
            <v>-96</v>
          </cell>
          <cell r="N36" t="e">
            <v>#DIV/0!</v>
          </cell>
        </row>
        <row r="38">
          <cell r="A38" t="str">
            <v>Non-core EBIT items</v>
          </cell>
        </row>
        <row r="40">
          <cell r="A40" t="str">
            <v>Corporate and Other</v>
          </cell>
        </row>
        <row r="41">
          <cell r="B41" t="str">
            <v>Cumulative effect of change in accounting principles</v>
          </cell>
          <cell r="J41">
            <v>96</v>
          </cell>
          <cell r="L41">
            <v>96</v>
          </cell>
          <cell r="N41" t="e">
            <v>#DIV/0!</v>
          </cell>
        </row>
        <row r="43">
          <cell r="D43">
            <v>0</v>
          </cell>
          <cell r="F43">
            <v>0</v>
          </cell>
          <cell r="L43">
            <v>0</v>
          </cell>
          <cell r="N43" t="e">
            <v>#DIV/0!</v>
          </cell>
        </row>
      </sheetData>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08ANAL"/>
    </sheetNames>
    <definedNames>
      <definedName name="Goto_Rat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 - Bal"/>
      <sheetName val="Summ - Exp"/>
      <sheetName val="Curr Mth"/>
      <sheetName val="Intangible (2)"/>
      <sheetName val="Check"/>
      <sheetName val="Int. - 13 Month"/>
      <sheetName val="DOWN DEPR. BAL"/>
      <sheetName val="Down Aint Bal."/>
      <sheetName val="Date"/>
      <sheetName val="Date Macro"/>
      <sheetName val="UPLOAD MACRO"/>
      <sheetName val="DOWNLOAD MACRO"/>
      <sheetName val="Print Macro"/>
      <sheetName val="Module1"/>
    </sheetNames>
    <sheetDataSet>
      <sheetData sheetId="0"/>
      <sheetData sheetId="1"/>
      <sheetData sheetId="2"/>
      <sheetData sheetId="3"/>
      <sheetData sheetId="4">
        <row r="11">
          <cell r="G11">
            <v>2379387</v>
          </cell>
        </row>
        <row r="12">
          <cell r="G12">
            <v>7359825</v>
          </cell>
        </row>
        <row r="13">
          <cell r="G13">
            <v>1302645</v>
          </cell>
        </row>
        <row r="14">
          <cell r="G14">
            <v>0</v>
          </cell>
        </row>
        <row r="15">
          <cell r="G15">
            <v>7712392</v>
          </cell>
        </row>
        <row r="16">
          <cell r="G16">
            <v>339838</v>
          </cell>
        </row>
        <row r="17">
          <cell r="G17">
            <v>0</v>
          </cell>
        </row>
        <row r="18">
          <cell r="G18">
            <v>687653</v>
          </cell>
        </row>
        <row r="19">
          <cell r="G19">
            <v>0</v>
          </cell>
        </row>
        <row r="20">
          <cell r="G20">
            <v>24160264</v>
          </cell>
        </row>
        <row r="21">
          <cell r="G21">
            <v>0</v>
          </cell>
        </row>
        <row r="22">
          <cell r="G22">
            <v>781032</v>
          </cell>
        </row>
        <row r="23">
          <cell r="G23">
            <v>0</v>
          </cell>
        </row>
        <row r="24">
          <cell r="G24">
            <v>2777832</v>
          </cell>
        </row>
        <row r="25">
          <cell r="G25">
            <v>24204028</v>
          </cell>
        </row>
        <row r="26">
          <cell r="G26">
            <v>16415836</v>
          </cell>
        </row>
        <row r="27">
          <cell r="G27">
            <v>20126797</v>
          </cell>
        </row>
        <row r="28">
          <cell r="G28">
            <v>0</v>
          </cell>
        </row>
        <row r="29">
          <cell r="G29">
            <v>2660294</v>
          </cell>
        </row>
        <row r="30">
          <cell r="G30">
            <v>2004</v>
          </cell>
        </row>
        <row r="31">
          <cell r="G31">
            <v>208996</v>
          </cell>
        </row>
        <row r="32">
          <cell r="G32">
            <v>668</v>
          </cell>
        </row>
        <row r="34">
          <cell r="G34">
            <v>956136</v>
          </cell>
        </row>
        <row r="35">
          <cell r="G35">
            <v>2678789</v>
          </cell>
        </row>
        <row r="36">
          <cell r="G36">
            <v>8423</v>
          </cell>
        </row>
        <row r="37">
          <cell r="G37">
            <v>6483596</v>
          </cell>
        </row>
        <row r="39">
          <cell r="G39" t="str">
            <v xml:space="preserve"> </v>
          </cell>
        </row>
        <row r="40">
          <cell r="G40">
            <v>121246435</v>
          </cell>
        </row>
        <row r="42">
          <cell r="G42">
            <v>121246435</v>
          </cell>
        </row>
        <row r="43">
          <cell r="G43">
            <v>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structions"/>
      <sheetName val="schedules"/>
      <sheetName val="monthly import"/>
      <sheetName val="recon to dp fin rptg and anal"/>
      <sheetName val="Lease 2004"/>
      <sheetName val="Intangible AvA"/>
      <sheetName val="Dep by Month"/>
      <sheetName val="Module1"/>
      <sheetName val="Print Macros"/>
    </sheetNames>
    <sheetDataSet>
      <sheetData sheetId="0" refreshError="1"/>
      <sheetData sheetId="1" refreshError="1"/>
      <sheetData sheetId="2">
        <row r="9">
          <cell r="A9" t="str">
            <v>DEPRECIATION AND AMORTIZATION</v>
          </cell>
        </row>
        <row r="10">
          <cell r="A10" t="str">
            <v>ACTUAL VS. BUDGET</v>
          </cell>
        </row>
        <row r="11">
          <cell r="A11" t="str">
            <v xml:space="preserve"> </v>
          </cell>
          <cell r="D11" t="str">
            <v>September</v>
          </cell>
          <cell r="E11">
            <v>2004</v>
          </cell>
        </row>
        <row r="12">
          <cell r="A12" t="str">
            <v xml:space="preserve"> </v>
          </cell>
        </row>
        <row r="13">
          <cell r="C13" t="str">
            <v>MONTH</v>
          </cell>
          <cell r="F13" t="str">
            <v xml:space="preserve"> </v>
          </cell>
          <cell r="G13" t="str">
            <v>Y-T-D</v>
          </cell>
        </row>
        <row r="14">
          <cell r="E14" t="str">
            <v>F/(U)</v>
          </cell>
          <cell r="I14" t="str">
            <v>F/(U)</v>
          </cell>
        </row>
        <row r="15">
          <cell r="C15" t="str">
            <v>ACTUAL</v>
          </cell>
          <cell r="D15" t="str">
            <v>BUDGET</v>
          </cell>
          <cell r="E15" t="str">
            <v>VARIANCE</v>
          </cell>
          <cell r="G15" t="str">
            <v>ACTUAL</v>
          </cell>
          <cell r="H15" t="str">
            <v>BUDGET</v>
          </cell>
          <cell r="I15" t="str">
            <v>VARIANCE</v>
          </cell>
        </row>
        <row r="17">
          <cell r="A17" t="str">
            <v>403.10</v>
          </cell>
          <cell r="B17" t="str">
            <v>Fossil Plant</v>
          </cell>
          <cell r="C17">
            <v>6045394.0000000009</v>
          </cell>
          <cell r="D17">
            <v>6125414</v>
          </cell>
          <cell r="E17">
            <v>80019.999999999069</v>
          </cell>
          <cell r="F17" t="str">
            <v>E</v>
          </cell>
          <cell r="G17">
            <v>54408579</v>
          </cell>
          <cell r="H17">
            <v>55128726</v>
          </cell>
          <cell r="I17">
            <v>720147</v>
          </cell>
          <cell r="J17" t="str">
            <v>M</v>
          </cell>
        </row>
        <row r="18">
          <cell r="A18" t="str">
            <v>403.20</v>
          </cell>
          <cell r="B18" t="str">
            <v>Hydro Plant</v>
          </cell>
          <cell r="C18">
            <v>2604955</v>
          </cell>
          <cell r="D18">
            <v>2620124</v>
          </cell>
          <cell r="E18">
            <v>15169</v>
          </cell>
          <cell r="G18">
            <v>23444918</v>
          </cell>
          <cell r="H18">
            <v>23581116</v>
          </cell>
          <cell r="I18">
            <v>136198</v>
          </cell>
        </row>
        <row r="19">
          <cell r="A19" t="str">
            <v>403.30</v>
          </cell>
          <cell r="B19" t="str">
            <v>Transmission Plant</v>
          </cell>
          <cell r="C19">
            <v>3916455</v>
          </cell>
          <cell r="D19">
            <v>3932744</v>
          </cell>
          <cell r="E19">
            <v>16289</v>
          </cell>
          <cell r="G19">
            <v>35248126</v>
          </cell>
          <cell r="H19">
            <v>35394696</v>
          </cell>
          <cell r="I19">
            <v>146570</v>
          </cell>
        </row>
        <row r="20">
          <cell r="A20" t="str">
            <v>403.40</v>
          </cell>
          <cell r="B20" t="str">
            <v>Distribution Plant</v>
          </cell>
          <cell r="C20">
            <v>18699051.999999996</v>
          </cell>
          <cell r="D20">
            <v>18950716</v>
          </cell>
          <cell r="E20">
            <v>251664.00000000373</v>
          </cell>
          <cell r="F20" t="str">
            <v>C</v>
          </cell>
          <cell r="G20">
            <v>168291459</v>
          </cell>
          <cell r="H20">
            <v>170556444</v>
          </cell>
          <cell r="I20">
            <v>2264985</v>
          </cell>
          <cell r="J20" t="str">
            <v>K</v>
          </cell>
        </row>
        <row r="21">
          <cell r="A21" t="str">
            <v>403.50</v>
          </cell>
          <cell r="B21" t="str">
            <v>General Plant</v>
          </cell>
          <cell r="C21">
            <v>2529528</v>
          </cell>
          <cell r="D21">
            <v>2851242</v>
          </cell>
          <cell r="E21">
            <v>321714</v>
          </cell>
          <cell r="F21" t="str">
            <v>B</v>
          </cell>
          <cell r="G21">
            <v>22765750</v>
          </cell>
          <cell r="H21">
            <v>25661178</v>
          </cell>
          <cell r="I21">
            <v>2895428</v>
          </cell>
          <cell r="J21" t="str">
            <v>J</v>
          </cell>
        </row>
        <row r="22">
          <cell r="A22" t="str">
            <v>403.60</v>
          </cell>
          <cell r="B22" t="str">
            <v>Combustion Turbine Plant</v>
          </cell>
          <cell r="C22">
            <v>2482937</v>
          </cell>
          <cell r="D22">
            <v>2485900</v>
          </cell>
          <cell r="E22">
            <v>2963</v>
          </cell>
          <cell r="G22">
            <v>22346428</v>
          </cell>
          <cell r="H22">
            <v>22373100</v>
          </cell>
          <cell r="I22">
            <v>26672</v>
          </cell>
        </row>
        <row r="23">
          <cell r="A23" t="str">
            <v>403.70</v>
          </cell>
          <cell r="B23" t="str">
            <v>Nuclear Plant</v>
          </cell>
          <cell r="C23">
            <v>11078155</v>
          </cell>
          <cell r="D23">
            <v>11369106</v>
          </cell>
          <cell r="E23">
            <v>290951</v>
          </cell>
          <cell r="F23" t="str">
            <v>D</v>
          </cell>
          <cell r="G23">
            <v>100758579</v>
          </cell>
          <cell r="H23">
            <v>102321954</v>
          </cell>
          <cell r="I23">
            <v>1563375</v>
          </cell>
          <cell r="J23" t="str">
            <v>L</v>
          </cell>
        </row>
        <row r="24">
          <cell r="A24" t="str">
            <v>403.80</v>
          </cell>
          <cell r="B24" t="str">
            <v>Nuclear Decommissioning</v>
          </cell>
          <cell r="C24">
            <v>5840207</v>
          </cell>
          <cell r="D24">
            <v>5919000</v>
          </cell>
          <cell r="E24">
            <v>78793</v>
          </cell>
          <cell r="F24" t="str">
            <v>F</v>
          </cell>
          <cell r="G24">
            <v>52599760</v>
          </cell>
          <cell r="H24">
            <v>53271000</v>
          </cell>
          <cell r="I24">
            <v>671240</v>
          </cell>
          <cell r="J24" t="str">
            <v>N</v>
          </cell>
        </row>
        <row r="25">
          <cell r="A25" t="str">
            <v>404.10</v>
          </cell>
          <cell r="B25" t="str">
            <v>Ltd. Term-Elec. Plt.</v>
          </cell>
          <cell r="C25">
            <v>18606</v>
          </cell>
          <cell r="D25" t="str">
            <v>0</v>
          </cell>
          <cell r="E25">
            <v>-18606</v>
          </cell>
          <cell r="G25">
            <v>167450</v>
          </cell>
          <cell r="H25" t="str">
            <v>0</v>
          </cell>
          <cell r="I25">
            <v>-167450</v>
          </cell>
          <cell r="J25" t="str">
            <v xml:space="preserve"> </v>
          </cell>
        </row>
        <row r="26">
          <cell r="A26" t="str">
            <v>404.20/40/50</v>
          </cell>
          <cell r="B26" t="str">
            <v>Intangible Plant</v>
          </cell>
          <cell r="C26">
            <v>1604446</v>
          </cell>
          <cell r="D26">
            <v>2568406</v>
          </cell>
          <cell r="E26">
            <v>963960</v>
          </cell>
          <cell r="F26" t="str">
            <v>A</v>
          </cell>
          <cell r="G26">
            <v>15817556</v>
          </cell>
          <cell r="H26">
            <v>23115654</v>
          </cell>
          <cell r="I26">
            <v>7298098</v>
          </cell>
          <cell r="J26" t="str">
            <v>I</v>
          </cell>
        </row>
        <row r="27">
          <cell r="A27" t="str">
            <v>406.00</v>
          </cell>
          <cell r="B27" t="str">
            <v>Amor/Elec Plt Acquisition Adj.</v>
          </cell>
          <cell r="C27" t="str">
            <v>0</v>
          </cell>
          <cell r="D27" t="str">
            <v>0</v>
          </cell>
          <cell r="E27">
            <v>0</v>
          </cell>
          <cell r="G27">
            <v>0</v>
          </cell>
          <cell r="H27" t="str">
            <v>0</v>
          </cell>
          <cell r="I27">
            <v>0</v>
          </cell>
        </row>
        <row r="28">
          <cell r="A28" t="str">
            <v>407.31</v>
          </cell>
          <cell r="B28" t="str">
            <v>Clean Air Amortization</v>
          </cell>
          <cell r="C28">
            <v>23062095.07</v>
          </cell>
          <cell r="D28">
            <v>23062096</v>
          </cell>
          <cell r="E28">
            <v>0.92999999970197678</v>
          </cell>
          <cell r="G28">
            <v>102193522.03</v>
          </cell>
          <cell r="H28">
            <v>102193530</v>
          </cell>
          <cell r="I28">
            <v>7.9699999988079071</v>
          </cell>
        </row>
        <row r="29">
          <cell r="A29" t="str">
            <v>411.60</v>
          </cell>
          <cell r="B29" t="str">
            <v>Gain from Disp. of Plt.</v>
          </cell>
          <cell r="C29" t="str">
            <v>0</v>
          </cell>
          <cell r="D29" t="str">
            <v>0</v>
          </cell>
          <cell r="E29">
            <v>0</v>
          </cell>
          <cell r="G29">
            <v>-53754</v>
          </cell>
          <cell r="H29" t="str">
            <v>0</v>
          </cell>
          <cell r="I29">
            <v>53754</v>
          </cell>
          <cell r="J29" t="str">
            <v xml:space="preserve"> </v>
          </cell>
        </row>
        <row r="30">
          <cell r="A30" t="str">
            <v>411.70</v>
          </cell>
          <cell r="B30" t="str">
            <v>Losses from Disp. of Plt.</v>
          </cell>
          <cell r="C30">
            <v>0</v>
          </cell>
          <cell r="D30">
            <v>0</v>
          </cell>
          <cell r="E30">
            <v>0</v>
          </cell>
          <cell r="G30">
            <v>0</v>
          </cell>
          <cell r="H30">
            <v>0</v>
          </cell>
          <cell r="I30">
            <v>0</v>
          </cell>
        </row>
        <row r="31">
          <cell r="A31" t="str">
            <v>411.80</v>
          </cell>
          <cell r="B31" t="str">
            <v>Gain from Disp. Of Allowances</v>
          </cell>
          <cell r="C31" t="str">
            <v>0</v>
          </cell>
          <cell r="D31">
            <v>-1416666</v>
          </cell>
          <cell r="E31">
            <v>-1416666</v>
          </cell>
          <cell r="F31" t="str">
            <v>G</v>
          </cell>
          <cell r="G31">
            <v>-9167705</v>
          </cell>
          <cell r="H31">
            <v>-12749994</v>
          </cell>
          <cell r="I31">
            <v>-3582289</v>
          </cell>
          <cell r="J31" t="str">
            <v>O</v>
          </cell>
        </row>
        <row r="33">
          <cell r="A33" t="str">
            <v>TOTAL</v>
          </cell>
          <cell r="C33">
            <v>77881830.069999993</v>
          </cell>
          <cell r="D33">
            <v>78468082</v>
          </cell>
          <cell r="E33">
            <v>586251.9300000025</v>
          </cell>
          <cell r="G33">
            <v>588820668.02999997</v>
          </cell>
          <cell r="H33">
            <v>600847404</v>
          </cell>
          <cell r="I33">
            <v>12026735.969999999</v>
          </cell>
        </row>
        <row r="34">
          <cell r="B34" t="str">
            <v xml:space="preserve"> </v>
          </cell>
          <cell r="I34" t="str">
            <v>To Discussion Sheet</v>
          </cell>
        </row>
        <row r="36">
          <cell r="A36" t="str">
            <v xml:space="preserve">(A) </v>
          </cell>
          <cell r="B36" t="str">
            <v>Variance is due to timing - budget spreads amortization over 12 months versus actual in service month and after the budget was established,</v>
          </cell>
        </row>
        <row r="37">
          <cell r="B37" t="str">
            <v xml:space="preserve">     the calculation for Intangible Plant basis was adjusted. </v>
          </cell>
        </row>
        <row r="38">
          <cell r="A38" t="str">
            <v xml:space="preserve">(B) </v>
          </cell>
          <cell r="B38" t="str">
            <v>Variance is primarily due to budgeted estimated beginning balances versus actual beginning depreciable balances</v>
          </cell>
        </row>
        <row r="39">
          <cell r="A39" t="str">
            <v xml:space="preserve">(C) </v>
          </cell>
          <cell r="B39" t="str">
            <v>Variance is primarily due to budgeted estimated beginning balances versus actual beginning depreciable balances</v>
          </cell>
        </row>
        <row r="40">
          <cell r="A40" t="str">
            <v>(D)</v>
          </cell>
          <cell r="B40" t="str">
            <v>Variance is primarily due to budgeted estimated beginning balances versus actual beginning depreciable balances</v>
          </cell>
        </row>
        <row r="41">
          <cell r="A41" t="str">
            <v xml:space="preserve">(E) </v>
          </cell>
          <cell r="B41" t="str">
            <v>Variance is primarily due to budgeted estimated beginning balances versus actual beginning depreciable balances</v>
          </cell>
        </row>
        <row r="42">
          <cell r="A42" t="str">
            <v>(F)</v>
          </cell>
          <cell r="B42" t="str">
            <v>Variance is primarily due to budgeted estimated beginning balances versus actual beginning depreciable balances</v>
          </cell>
        </row>
        <row r="43">
          <cell r="A43" t="str">
            <v>(G)</v>
          </cell>
          <cell r="B43" t="str">
            <v>Variance is due to sales of emissions allowances less than budgeted.</v>
          </cell>
        </row>
        <row r="44">
          <cell r="A44" t="str">
            <v>(H)</v>
          </cell>
          <cell r="B44" t="str">
            <v>No H above.</v>
          </cell>
        </row>
        <row r="45">
          <cell r="A45" t="str">
            <v>(I)</v>
          </cell>
          <cell r="B45" t="str">
            <v>Variance is due to timing - budget spreads amortization over 12 months versus actual in service month and after the budget was established,</v>
          </cell>
        </row>
        <row r="46">
          <cell r="B46" t="str">
            <v xml:space="preserve">     the calculation for Intangible Plant basis was adjusted. </v>
          </cell>
        </row>
        <row r="47">
          <cell r="A47" t="str">
            <v>(J)</v>
          </cell>
          <cell r="B47" t="str">
            <v>Variance is primarily due to budgeted estimated beginning balances versus actual beginning depreciable balances</v>
          </cell>
        </row>
        <row r="48">
          <cell r="A48" t="str">
            <v>(K)</v>
          </cell>
          <cell r="B48" t="str">
            <v>Variance is primarily due to budgeted estimated beginning balances versus actual beginning depreciable balances</v>
          </cell>
        </row>
        <row r="49">
          <cell r="A49" t="str">
            <v>(L)</v>
          </cell>
          <cell r="B49" t="str">
            <v>Variance is primarily due to budgeted estimated beginning balances versus actual beginning depreciable balances</v>
          </cell>
        </row>
        <row r="50">
          <cell r="A50" t="str">
            <v>(M)</v>
          </cell>
          <cell r="B50" t="str">
            <v>Variance is primarily due to budgeted estimated beginning balances versus actual beginning depreciable balances</v>
          </cell>
        </row>
        <row r="51">
          <cell r="A51" t="str">
            <v>(N)</v>
          </cell>
          <cell r="B51" t="str">
            <v>Variance is primarily due to budgeted estimated beginning balances versus actual beginning depreciable balances</v>
          </cell>
        </row>
        <row r="52">
          <cell r="A52" t="str">
            <v>(O)</v>
          </cell>
          <cell r="B52" t="str">
            <v>Variance is due to sales of emissions allowances less than budgeted.</v>
          </cell>
        </row>
        <row r="58">
          <cell r="A58" t="str">
            <v>ACTUAL VS. ACTUAL</v>
          </cell>
        </row>
        <row r="59">
          <cell r="A59" t="str">
            <v xml:space="preserve"> </v>
          </cell>
          <cell r="B59" t="str">
            <v xml:space="preserve"> </v>
          </cell>
          <cell r="D59" t="str">
            <v>September</v>
          </cell>
          <cell r="E59">
            <v>2004</v>
          </cell>
        </row>
        <row r="60">
          <cell r="A60" t="str">
            <v xml:space="preserve"> </v>
          </cell>
        </row>
        <row r="61">
          <cell r="C61" t="str">
            <v>MONTH</v>
          </cell>
          <cell r="F61" t="str">
            <v xml:space="preserve"> </v>
          </cell>
          <cell r="G61" t="str">
            <v>Y-T-D</v>
          </cell>
        </row>
        <row r="62">
          <cell r="C62" t="str">
            <v>September</v>
          </cell>
          <cell r="D62" t="str">
            <v>September</v>
          </cell>
          <cell r="E62" t="str">
            <v>F/(U)</v>
          </cell>
          <cell r="G62" t="str">
            <v>September</v>
          </cell>
          <cell r="H62" t="str">
            <v>September</v>
          </cell>
          <cell r="I62" t="str">
            <v>F/(U)</v>
          </cell>
        </row>
        <row r="63">
          <cell r="C63">
            <v>2004</v>
          </cell>
          <cell r="D63">
            <v>2003</v>
          </cell>
          <cell r="E63" t="str">
            <v>VARIANCE</v>
          </cell>
          <cell r="G63">
            <v>2004</v>
          </cell>
          <cell r="H63">
            <v>2003</v>
          </cell>
          <cell r="I63" t="str">
            <v>VARIANCE</v>
          </cell>
        </row>
        <row r="65">
          <cell r="A65" t="str">
            <v>403.10</v>
          </cell>
          <cell r="B65" t="str">
            <v>Fossil Plant</v>
          </cell>
          <cell r="C65">
            <v>6045394.0000000009</v>
          </cell>
          <cell r="D65">
            <v>4975931</v>
          </cell>
          <cell r="E65">
            <v>-1069463.0000000009</v>
          </cell>
          <cell r="F65" t="str">
            <v>A</v>
          </cell>
          <cell r="G65">
            <v>54408579</v>
          </cell>
          <cell r="H65">
            <v>44783370.000000007</v>
          </cell>
          <cell r="I65">
            <v>-9625208.9999999925</v>
          </cell>
          <cell r="J65" t="str">
            <v>K</v>
          </cell>
        </row>
        <row r="66">
          <cell r="A66" t="str">
            <v>403.20</v>
          </cell>
          <cell r="B66" t="str">
            <v>Hydro Plant</v>
          </cell>
          <cell r="C66">
            <v>2604955</v>
          </cell>
          <cell r="D66">
            <v>2580227</v>
          </cell>
          <cell r="E66">
            <v>-24728</v>
          </cell>
          <cell r="G66">
            <v>23444918</v>
          </cell>
          <cell r="H66">
            <v>23222017</v>
          </cell>
          <cell r="I66">
            <v>-222901</v>
          </cell>
        </row>
        <row r="67">
          <cell r="A67" t="str">
            <v>403.30</v>
          </cell>
          <cell r="B67" t="str">
            <v>Transmission Plant</v>
          </cell>
          <cell r="C67">
            <v>3916455</v>
          </cell>
          <cell r="D67">
            <v>3792901</v>
          </cell>
          <cell r="E67">
            <v>-123554</v>
          </cell>
          <cell r="G67">
            <v>35248126</v>
          </cell>
          <cell r="H67">
            <v>34136105</v>
          </cell>
          <cell r="I67">
            <v>-1112021</v>
          </cell>
          <cell r="J67" t="str">
            <v>O</v>
          </cell>
        </row>
        <row r="68">
          <cell r="A68" t="str">
            <v>403.40</v>
          </cell>
          <cell r="B68" t="str">
            <v>Distribution Plant</v>
          </cell>
          <cell r="C68">
            <v>18699051.999999996</v>
          </cell>
          <cell r="D68">
            <v>18153141</v>
          </cell>
          <cell r="E68">
            <v>-545910.99999999627</v>
          </cell>
          <cell r="F68" t="str">
            <v>B</v>
          </cell>
          <cell r="G68">
            <v>168291459</v>
          </cell>
          <cell r="H68">
            <v>163382084</v>
          </cell>
          <cell r="I68">
            <v>-4909375</v>
          </cell>
          <cell r="J68" t="str">
            <v>L</v>
          </cell>
        </row>
        <row r="69">
          <cell r="A69" t="str">
            <v>403.50</v>
          </cell>
          <cell r="B69" t="str">
            <v>General Plant</v>
          </cell>
          <cell r="C69">
            <v>2529528</v>
          </cell>
          <cell r="D69">
            <v>2630727</v>
          </cell>
          <cell r="E69">
            <v>101199</v>
          </cell>
          <cell r="F69" t="str">
            <v>F</v>
          </cell>
          <cell r="G69">
            <v>22765750</v>
          </cell>
          <cell r="H69">
            <v>23676551</v>
          </cell>
          <cell r="I69">
            <v>910801</v>
          </cell>
          <cell r="J69" t="str">
            <v>I</v>
          </cell>
        </row>
        <row r="70">
          <cell r="A70" t="str">
            <v>403.60</v>
          </cell>
          <cell r="B70" t="str">
            <v>Combustion Turbine Plant</v>
          </cell>
          <cell r="C70">
            <v>2482937</v>
          </cell>
          <cell r="D70">
            <v>2579089</v>
          </cell>
          <cell r="E70">
            <v>96152</v>
          </cell>
          <cell r="G70">
            <v>22346428</v>
          </cell>
          <cell r="H70">
            <v>23211793</v>
          </cell>
          <cell r="I70">
            <v>865365</v>
          </cell>
          <cell r="J70" t="str">
            <v>J</v>
          </cell>
        </row>
        <row r="71">
          <cell r="A71" t="str">
            <v>403.70</v>
          </cell>
          <cell r="B71" t="str">
            <v>Nuclear Plant</v>
          </cell>
          <cell r="C71">
            <v>11078155</v>
          </cell>
          <cell r="D71">
            <v>10803484</v>
          </cell>
          <cell r="E71">
            <v>-274671</v>
          </cell>
          <cell r="F71" t="str">
            <v>C</v>
          </cell>
          <cell r="G71">
            <v>100758579</v>
          </cell>
          <cell r="H71">
            <v>97231325</v>
          </cell>
          <cell r="I71">
            <v>-3527254</v>
          </cell>
          <cell r="J71" t="str">
            <v>M</v>
          </cell>
        </row>
        <row r="72">
          <cell r="A72" t="str">
            <v>403.80</v>
          </cell>
          <cell r="B72" t="str">
            <v>Nuclear Decommissioning</v>
          </cell>
          <cell r="C72">
            <v>5840207</v>
          </cell>
          <cell r="D72">
            <v>5628425</v>
          </cell>
          <cell r="E72">
            <v>-211782</v>
          </cell>
          <cell r="F72" t="str">
            <v>D</v>
          </cell>
          <cell r="G72">
            <v>52599760</v>
          </cell>
          <cell r="H72">
            <v>50655835</v>
          </cell>
          <cell r="I72">
            <v>-1943925</v>
          </cell>
          <cell r="J72" t="str">
            <v>N</v>
          </cell>
        </row>
        <row r="73">
          <cell r="A73" t="str">
            <v>404.10</v>
          </cell>
          <cell r="B73" t="str">
            <v>Ltd. Term-Elec. Plat.</v>
          </cell>
          <cell r="C73">
            <v>18606</v>
          </cell>
          <cell r="D73">
            <v>18606</v>
          </cell>
          <cell r="E73">
            <v>0</v>
          </cell>
          <cell r="G73">
            <v>167450</v>
          </cell>
          <cell r="H73">
            <v>167450</v>
          </cell>
          <cell r="I73">
            <v>0</v>
          </cell>
        </row>
        <row r="74">
          <cell r="A74" t="str">
            <v>404.20/40/50</v>
          </cell>
          <cell r="B74" t="str">
            <v>Intangible Plant</v>
          </cell>
          <cell r="C74">
            <v>1604446</v>
          </cell>
          <cell r="D74">
            <v>2558382</v>
          </cell>
          <cell r="E74">
            <v>953936</v>
          </cell>
          <cell r="F74" t="str">
            <v>E</v>
          </cell>
          <cell r="G74">
            <v>15817556</v>
          </cell>
          <cell r="H74">
            <v>22942997</v>
          </cell>
          <cell r="I74">
            <v>7125441</v>
          </cell>
          <cell r="J74" t="str">
            <v>R</v>
          </cell>
        </row>
        <row r="75">
          <cell r="A75" t="str">
            <v>406.00</v>
          </cell>
          <cell r="B75" t="str">
            <v>Amor/Elec Plt Acquisition Adj.</v>
          </cell>
          <cell r="C75" t="str">
            <v>0</v>
          </cell>
          <cell r="D75">
            <v>917.06</v>
          </cell>
          <cell r="E75">
            <v>917.06</v>
          </cell>
          <cell r="G75">
            <v>0</v>
          </cell>
          <cell r="H75">
            <v>8012.83</v>
          </cell>
          <cell r="I75">
            <v>8012.83</v>
          </cell>
        </row>
        <row r="76">
          <cell r="A76" t="str">
            <v>407.31</v>
          </cell>
          <cell r="B76" t="str">
            <v>Clean Air Amortization</v>
          </cell>
          <cell r="C76">
            <v>23062095.07</v>
          </cell>
          <cell r="D76">
            <v>40817778</v>
          </cell>
          <cell r="E76">
            <v>17755682.93</v>
          </cell>
          <cell r="F76" t="str">
            <v>G</v>
          </cell>
          <cell r="G76">
            <v>102193522.03</v>
          </cell>
          <cell r="H76">
            <v>87360002</v>
          </cell>
          <cell r="I76">
            <v>-14833520.030000001</v>
          </cell>
          <cell r="J76" t="str">
            <v>P</v>
          </cell>
        </row>
        <row r="77">
          <cell r="A77" t="str">
            <v>411.60</v>
          </cell>
          <cell r="B77" t="str">
            <v>Gain from Disp. of Plt.</v>
          </cell>
          <cell r="C77" t="str">
            <v>0</v>
          </cell>
          <cell r="D77" t="str">
            <v>0</v>
          </cell>
          <cell r="E77">
            <v>0</v>
          </cell>
          <cell r="G77">
            <v>-53754</v>
          </cell>
          <cell r="H77">
            <v>-19362</v>
          </cell>
          <cell r="I77">
            <v>34392</v>
          </cell>
        </row>
        <row r="78">
          <cell r="A78" t="str">
            <v>411.70</v>
          </cell>
          <cell r="B78" t="str">
            <v>Losses from Disp. of Plt.</v>
          </cell>
          <cell r="C78">
            <v>0</v>
          </cell>
          <cell r="D78">
            <v>0</v>
          </cell>
          <cell r="E78">
            <v>0</v>
          </cell>
          <cell r="G78">
            <v>0</v>
          </cell>
          <cell r="H78">
            <v>0</v>
          </cell>
          <cell r="I78">
            <v>0</v>
          </cell>
        </row>
        <row r="79">
          <cell r="A79" t="str">
            <v>411.80</v>
          </cell>
          <cell r="B79" t="str">
            <v>Gain from Disp. Of Allowances</v>
          </cell>
          <cell r="C79" t="str">
            <v>0</v>
          </cell>
          <cell r="D79">
            <v>-3967125</v>
          </cell>
          <cell r="E79">
            <v>-3967125</v>
          </cell>
          <cell r="F79" t="str">
            <v>H</v>
          </cell>
          <cell r="G79">
            <v>-9167705</v>
          </cell>
          <cell r="H79">
            <v>-4521625</v>
          </cell>
          <cell r="I79">
            <v>4646080</v>
          </cell>
          <cell r="J79" t="str">
            <v>Q</v>
          </cell>
        </row>
        <row r="81">
          <cell r="A81" t="str">
            <v>TOTAL</v>
          </cell>
          <cell r="C81">
            <v>77881830.069999993</v>
          </cell>
          <cell r="D81">
            <v>90572483.060000002</v>
          </cell>
          <cell r="E81">
            <v>12690652.990000002</v>
          </cell>
          <cell r="G81">
            <v>588820668.02999997</v>
          </cell>
          <cell r="H81">
            <v>566236554.82999992</v>
          </cell>
          <cell r="I81">
            <v>-22584113.199999996</v>
          </cell>
        </row>
        <row r="82">
          <cell r="I82" t="str">
            <v>To Discussion Sheet</v>
          </cell>
        </row>
        <row r="84">
          <cell r="A84" t="str">
            <v>(A)</v>
          </cell>
          <cell r="B84" t="str">
            <v>Variance is due to normal growth; $1,069k (U).</v>
          </cell>
        </row>
        <row r="85">
          <cell r="A85" t="str">
            <v>(B)</v>
          </cell>
          <cell r="B85" t="str">
            <v>Variance is due to normal growth; $546k (U).</v>
          </cell>
        </row>
        <row r="86">
          <cell r="A86" t="str">
            <v xml:space="preserve">(C)  </v>
          </cell>
          <cell r="B86" t="str">
            <v>Variance is due to normal growth of $407K (U) and $132K (F) for Domecoat Reversal of Depreciation.</v>
          </cell>
        </row>
        <row r="87">
          <cell r="A87" t="str">
            <v>(D)</v>
          </cell>
          <cell r="B87" t="str">
            <v>Variance is due to normal growth; $212k (U)</v>
          </cell>
        </row>
        <row r="88">
          <cell r="A88" t="str">
            <v>(E)</v>
          </cell>
          <cell r="B88" t="str">
            <v>Variance is due to normal growth 152k (U) and multiple projects becoming fully amortized/other totaling $1,106k (F)</v>
          </cell>
        </row>
        <row r="89">
          <cell r="A89" t="str">
            <v>(F)</v>
          </cell>
          <cell r="B89" t="str">
            <v>Variance is due to normal growth; $105K (F).</v>
          </cell>
        </row>
        <row r="90">
          <cell r="A90" t="str">
            <v>(G)</v>
          </cell>
          <cell r="B90" t="str">
            <v>Variance is due to difference in accrual for Smokestack Reserve of $17,756K (F).</v>
          </cell>
        </row>
        <row r="91">
          <cell r="A91" t="str">
            <v>(H)</v>
          </cell>
          <cell r="B91" t="str">
            <v>Variance is due to sale of NOX allowances totaling $3,967K (U) in 2003.</v>
          </cell>
        </row>
        <row r="92">
          <cell r="A92" t="str">
            <v>(I)</v>
          </cell>
          <cell r="B92" t="str">
            <v>Variance is due to normal growth; $945k (F).</v>
          </cell>
        </row>
        <row r="93">
          <cell r="A93" t="str">
            <v>(J)</v>
          </cell>
          <cell r="B93" t="str">
            <v>Variance is due to normal growth; $865k (F).</v>
          </cell>
        </row>
        <row r="94">
          <cell r="A94" t="str">
            <v>(K)</v>
          </cell>
          <cell r="B94" t="str">
            <v>Variance is due to normal growth; $9,625k (U).</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tmt"/>
      <sheetName val="99 worksheet"/>
      <sheetName val="Property Detail"/>
      <sheetName val="Property Roll Summary"/>
      <sheetName val="Property Rolls"/>
      <sheetName val="Other Rolls"/>
      <sheetName val="residential detail"/>
      <sheetName val="98 cf worksheet"/>
      <sheetName val="IS1"/>
      <sheetName val="BS"/>
      <sheetName val="change in BS"/>
    </sheetNames>
    <sheetDataSet>
      <sheetData sheetId="0"/>
      <sheetData sheetId="1"/>
      <sheetData sheetId="2"/>
      <sheetData sheetId="3"/>
      <sheetData sheetId="4" refreshError="1">
        <row r="6">
          <cell r="A6" t="str">
            <v>Land</v>
          </cell>
        </row>
        <row r="7">
          <cell r="A7" t="str">
            <v>Beginning Balance</v>
          </cell>
          <cell r="C7">
            <v>211421500.74000001</v>
          </cell>
        </row>
        <row r="8">
          <cell r="A8" t="str">
            <v>Ending Balance</v>
          </cell>
          <cell r="C8">
            <v>319643429.12</v>
          </cell>
        </row>
        <row r="10">
          <cell r="A10" t="str">
            <v>Increase (Decrease)</v>
          </cell>
          <cell r="C10">
            <v>108221928.38</v>
          </cell>
        </row>
        <row r="12">
          <cell r="A12" t="str">
            <v>Purchases (plug)</v>
          </cell>
          <cell r="C12">
            <v>92000000</v>
          </cell>
        </row>
        <row r="13">
          <cell r="A13" t="str">
            <v>GT&amp;W non-cash addition</v>
          </cell>
          <cell r="C13">
            <v>25295182</v>
          </cell>
        </row>
        <row r="14">
          <cell r="A14" t="str">
            <v>Non cash transfer from Duke</v>
          </cell>
          <cell r="C14">
            <v>1033498</v>
          </cell>
        </row>
        <row r="15">
          <cell r="A15" t="str">
            <v>Disposals</v>
          </cell>
          <cell r="E15" t="str">
            <v>Gain on disposal</v>
          </cell>
        </row>
        <row r="16">
          <cell r="A16" t="str">
            <v xml:space="preserve">   Cost of Land Sold/Exchanged</v>
          </cell>
          <cell r="C16">
            <v>-2043275</v>
          </cell>
          <cell r="E16">
            <v>86081899</v>
          </cell>
        </row>
        <row r="17">
          <cell r="A17" t="str">
            <v xml:space="preserve">   Commercial Land (list by property/transaction)</v>
          </cell>
        </row>
        <row r="18">
          <cell r="A18" t="str">
            <v xml:space="preserve">      Three Corporate</v>
          </cell>
          <cell r="C18">
            <v>-1958896</v>
          </cell>
          <cell r="D18" t="str">
            <v>(1)</v>
          </cell>
          <cell r="E18">
            <v>3500000</v>
          </cell>
          <cell r="F18" t="str">
            <v>(2)</v>
          </cell>
        </row>
        <row r="19">
          <cell r="A19" t="str">
            <v xml:space="preserve">      One Resource</v>
          </cell>
          <cell r="C19">
            <v>-693000</v>
          </cell>
          <cell r="D19" t="str">
            <v>(1)</v>
          </cell>
          <cell r="E19">
            <v>2541624</v>
          </cell>
          <cell r="F19" t="str">
            <v>(2)</v>
          </cell>
        </row>
        <row r="20">
          <cell r="A20" t="str">
            <v xml:space="preserve">      Two Resource</v>
          </cell>
          <cell r="C20">
            <v>-693100</v>
          </cell>
          <cell r="D20" t="str">
            <v>(1)</v>
          </cell>
          <cell r="E20">
            <v>1943085</v>
          </cell>
          <cell r="F20" t="str">
            <v>(2)</v>
          </cell>
        </row>
        <row r="21">
          <cell r="A21" t="str">
            <v xml:space="preserve">      One Primera</v>
          </cell>
          <cell r="C21">
            <v>-1981434</v>
          </cell>
          <cell r="D21" t="str">
            <v>(1)</v>
          </cell>
          <cell r="E21">
            <v>4217071</v>
          </cell>
          <cell r="F21" t="str">
            <v>(2)</v>
          </cell>
        </row>
        <row r="22">
          <cell r="A22" t="str">
            <v xml:space="preserve">      Two Primera</v>
          </cell>
          <cell r="C22">
            <v>-2003030</v>
          </cell>
          <cell r="D22" t="str">
            <v>(1)</v>
          </cell>
          <cell r="E22">
            <v>3603585</v>
          </cell>
          <cell r="F22" t="str">
            <v>(2)</v>
          </cell>
        </row>
        <row r="23">
          <cell r="A23" t="str">
            <v xml:space="preserve">      Six Coliseum</v>
          </cell>
          <cell r="C23">
            <v>-1649243</v>
          </cell>
          <cell r="D23" t="str">
            <v>(1)</v>
          </cell>
          <cell r="E23">
            <v>5481400</v>
          </cell>
          <cell r="F23" t="str">
            <v>(2)</v>
          </cell>
        </row>
        <row r="24">
          <cell r="A24" t="str">
            <v xml:space="preserve">      Four Corporate</v>
          </cell>
          <cell r="C24">
            <v>-1958896</v>
          </cell>
          <cell r="D24" t="str">
            <v>(1)</v>
          </cell>
          <cell r="E24">
            <v>2210200</v>
          </cell>
          <cell r="F24" t="str">
            <v>(2)</v>
          </cell>
        </row>
        <row r="25">
          <cell r="A25" t="str">
            <v xml:space="preserve">      Crosspoint I-VII</v>
          </cell>
          <cell r="C25">
            <v>-5287223</v>
          </cell>
          <cell r="D25" t="str">
            <v>(1)</v>
          </cell>
          <cell r="E25">
            <v>6456201</v>
          </cell>
          <cell r="F25" t="str">
            <v>(2)</v>
          </cell>
        </row>
        <row r="27">
          <cell r="A27" t="str">
            <v>Transfer from Timber</v>
          </cell>
          <cell r="C27">
            <v>8161345</v>
          </cell>
        </row>
        <row r="28">
          <cell r="A28" t="str">
            <v>Other</v>
          </cell>
          <cell r="C28">
            <v>-8855699</v>
          </cell>
        </row>
        <row r="29">
          <cell r="A29" t="str">
            <v>Other</v>
          </cell>
        </row>
        <row r="30">
          <cell r="A30" t="str">
            <v xml:space="preserve">   Total</v>
          </cell>
          <cell r="C30">
            <v>108221928.38</v>
          </cell>
        </row>
        <row r="31">
          <cell r="A31" t="str">
            <v xml:space="preserve">   Total</v>
          </cell>
          <cell r="C31">
            <v>-0.37999999523162842</v>
          </cell>
        </row>
        <row r="32">
          <cell r="C32">
            <v>-0.37999999523162842</v>
          </cell>
        </row>
        <row r="33">
          <cell r="A33" t="str">
            <v>Buildings</v>
          </cell>
        </row>
        <row r="34">
          <cell r="A34" t="str">
            <v>Beginning Balance</v>
          </cell>
          <cell r="C34">
            <v>200289694.99000001</v>
          </cell>
        </row>
        <row r="35">
          <cell r="A35" t="str">
            <v>Ending Balance</v>
          </cell>
          <cell r="C35">
            <v>265514466.12999997</v>
          </cell>
        </row>
        <row r="36">
          <cell r="A36" t="str">
            <v>Ending Balance</v>
          </cell>
          <cell r="C36">
            <v>265514466.12999997</v>
          </cell>
        </row>
        <row r="37">
          <cell r="A37" t="str">
            <v>Increase (Decrease)</v>
          </cell>
          <cell r="C37">
            <v>65224771.139999956</v>
          </cell>
        </row>
        <row r="38">
          <cell r="A38" t="str">
            <v>Increase (Decrease)</v>
          </cell>
          <cell r="C38">
            <v>65224771.139999956</v>
          </cell>
        </row>
        <row r="39">
          <cell r="A39" t="str">
            <v>GT&amp;W non-cash addition</v>
          </cell>
          <cell r="C39">
            <v>3234508</v>
          </cell>
        </row>
        <row r="40">
          <cell r="A40" t="str">
            <v>Disposals - Cost of Building Sold/Exchanged</v>
          </cell>
          <cell r="C40">
            <v>3234508</v>
          </cell>
        </row>
        <row r="41">
          <cell r="A41" t="str">
            <v xml:space="preserve">   (list by property/transaction)</v>
          </cell>
        </row>
        <row r="42">
          <cell r="A42" t="str">
            <v xml:space="preserve">      Three Corporate</v>
          </cell>
          <cell r="C42">
            <v>-14643580</v>
          </cell>
          <cell r="D42" t="str">
            <v>(1)</v>
          </cell>
        </row>
        <row r="43">
          <cell r="A43" t="str">
            <v xml:space="preserve">      One Resource</v>
          </cell>
          <cell r="C43">
            <v>-8809370</v>
          </cell>
          <cell r="D43" t="str">
            <v>(1)</v>
          </cell>
        </row>
        <row r="44">
          <cell r="A44" t="str">
            <v xml:space="preserve">      Two Resource</v>
          </cell>
          <cell r="C44">
            <v>-9128634</v>
          </cell>
          <cell r="D44" t="str">
            <v>(1)</v>
          </cell>
        </row>
        <row r="45">
          <cell r="A45" t="str">
            <v xml:space="preserve">      One Primera</v>
          </cell>
          <cell r="C45">
            <v>-14707124</v>
          </cell>
          <cell r="D45" t="str">
            <v>(1)</v>
          </cell>
        </row>
        <row r="46">
          <cell r="A46" t="str">
            <v xml:space="preserve">      Two Primera</v>
          </cell>
          <cell r="C46">
            <v>-15097366</v>
          </cell>
          <cell r="D46" t="str">
            <v>(1)</v>
          </cell>
        </row>
        <row r="47">
          <cell r="A47" t="str">
            <v xml:space="preserve">      Six Coliseum</v>
          </cell>
          <cell r="C47">
            <v>-14755614</v>
          </cell>
          <cell r="D47" t="str">
            <v>(1)</v>
          </cell>
        </row>
        <row r="48">
          <cell r="A48" t="str">
            <v xml:space="preserve">      Four Corporate</v>
          </cell>
          <cell r="C48">
            <v>-14182417</v>
          </cell>
          <cell r="D48" t="str">
            <v>(1)</v>
          </cell>
        </row>
        <row r="49">
          <cell r="A49" t="str">
            <v xml:space="preserve">      Crosspoint I-VII</v>
          </cell>
          <cell r="C49">
            <v>-29375373</v>
          </cell>
          <cell r="D49" t="str">
            <v>(1)</v>
          </cell>
        </row>
        <row r="50">
          <cell r="A50" t="str">
            <v xml:space="preserve">      GTW</v>
          </cell>
          <cell r="C50">
            <v>-2319952</v>
          </cell>
          <cell r="D50" t="str">
            <v>(1)</v>
          </cell>
        </row>
        <row r="51">
          <cell r="A51" t="str">
            <v xml:space="preserve">      GTW</v>
          </cell>
          <cell r="C51">
            <v>-2319952</v>
          </cell>
        </row>
        <row r="52">
          <cell r="A52" t="str">
            <v>Transfers from commercial pip</v>
          </cell>
          <cell r="C52">
            <v>182694640</v>
          </cell>
        </row>
        <row r="53">
          <cell r="A53" t="str">
            <v>Transfers from residential pip</v>
          </cell>
          <cell r="C53">
            <v>828661</v>
          </cell>
        </row>
        <row r="54">
          <cell r="A54" t="str">
            <v>Other (plug)</v>
          </cell>
          <cell r="C54">
            <v>1486392</v>
          </cell>
        </row>
        <row r="55">
          <cell r="A55" t="str">
            <v>Other (plug)</v>
          </cell>
          <cell r="C55">
            <v>1486392</v>
          </cell>
        </row>
        <row r="56">
          <cell r="A56" t="str">
            <v>Total</v>
          </cell>
          <cell r="C56">
            <v>65224771.139999956</v>
          </cell>
        </row>
        <row r="57">
          <cell r="A57" t="str">
            <v>Total</v>
          </cell>
          <cell r="C57">
            <v>-0.13999995589256287</v>
          </cell>
        </row>
        <row r="58">
          <cell r="C58">
            <v>-0.13999995589256287</v>
          </cell>
        </row>
        <row r="59">
          <cell r="A59" t="str">
            <v>Residential Projects in Progress</v>
          </cell>
        </row>
        <row r="60">
          <cell r="A60" t="str">
            <v>Beginning Balance</v>
          </cell>
          <cell r="C60">
            <v>65759847.130000003</v>
          </cell>
        </row>
        <row r="61">
          <cell r="A61" t="str">
            <v>Ending Balance</v>
          </cell>
          <cell r="C61">
            <v>80286494.689999998</v>
          </cell>
        </row>
        <row r="62">
          <cell r="A62" t="str">
            <v>Ending Balance</v>
          </cell>
          <cell r="C62">
            <v>80286494.689999998</v>
          </cell>
        </row>
        <row r="63">
          <cell r="A63" t="str">
            <v>Increase (Decrease)</v>
          </cell>
          <cell r="C63">
            <v>14526647.559999995</v>
          </cell>
        </row>
        <row r="64">
          <cell r="A64" t="str">
            <v>Increase (Decrease)</v>
          </cell>
          <cell r="C64">
            <v>14526647.559999995</v>
          </cell>
        </row>
        <row r="65">
          <cell r="A65" t="str">
            <v>Costs Incurred - Residential Lots</v>
          </cell>
          <cell r="C65">
            <v>76434145</v>
          </cell>
        </row>
        <row r="66">
          <cell r="A66" t="str">
            <v>Costs of Sales - Residential Lots</v>
          </cell>
          <cell r="C66">
            <v>-76305303</v>
          </cell>
        </row>
        <row r="67">
          <cell r="A67" t="str">
            <v>Lot Repurchase Contingency (included in COS)</v>
          </cell>
          <cell r="C67">
            <v>1738537</v>
          </cell>
        </row>
        <row r="68">
          <cell r="A68" t="str">
            <v>Costs Incurred - Amenities</v>
          </cell>
          <cell r="C68">
            <v>21927725</v>
          </cell>
        </row>
        <row r="69">
          <cell r="A69" t="str">
            <v>Transfers equity club costs</v>
          </cell>
          <cell r="C69">
            <v>-12366552</v>
          </cell>
        </row>
        <row r="70">
          <cell r="A70" t="str">
            <v>Transfer Sugarloaf club costs (to buildings)</v>
          </cell>
          <cell r="C70">
            <v>-828661</v>
          </cell>
        </row>
        <row r="71">
          <cell r="A71" t="str">
            <v>Membership sales - Peninsula</v>
          </cell>
          <cell r="C71">
            <v>-2136873</v>
          </cell>
        </row>
        <row r="72">
          <cell r="A72" t="str">
            <v>Other</v>
          </cell>
          <cell r="C72">
            <v>6063630</v>
          </cell>
        </row>
        <row r="73">
          <cell r="A73" t="str">
            <v>Other</v>
          </cell>
          <cell r="C73">
            <v>-1053532</v>
          </cell>
        </row>
        <row r="74">
          <cell r="A74" t="str">
            <v>Total</v>
          </cell>
          <cell r="C74">
            <v>14526647.559999995</v>
          </cell>
        </row>
        <row r="75">
          <cell r="A75" t="str">
            <v>Total</v>
          </cell>
          <cell r="C75">
            <v>0.44000000506639481</v>
          </cell>
        </row>
        <row r="76">
          <cell r="C76">
            <v>0.44000000506639481</v>
          </cell>
        </row>
        <row r="77">
          <cell r="A77" t="str">
            <v>Club - Equity Memberships</v>
          </cell>
        </row>
        <row r="78">
          <cell r="A78" t="str">
            <v>Beginning Balance</v>
          </cell>
          <cell r="C78">
            <v>19925587</v>
          </cell>
        </row>
        <row r="79">
          <cell r="A79" t="str">
            <v>Ending Balance</v>
          </cell>
          <cell r="C79">
            <v>27371889.449999999</v>
          </cell>
        </row>
        <row r="80">
          <cell r="A80" t="str">
            <v>Ending Balance</v>
          </cell>
          <cell r="C80">
            <v>27371889.449999999</v>
          </cell>
        </row>
        <row r="81">
          <cell r="A81" t="str">
            <v>Increase (Decrease)</v>
          </cell>
          <cell r="C81">
            <v>7446302.4499999993</v>
          </cell>
        </row>
        <row r="82">
          <cell r="A82" t="str">
            <v>Increase (Decrease)</v>
          </cell>
          <cell r="C82">
            <v>7446302.4499999993</v>
          </cell>
        </row>
        <row r="83">
          <cell r="A83" t="str">
            <v>Transfers from pip</v>
          </cell>
          <cell r="C83">
            <v>12366552</v>
          </cell>
        </row>
        <row r="84">
          <cell r="A84" t="str">
            <v>Membership sales</v>
          </cell>
          <cell r="C84">
            <v>-5178760</v>
          </cell>
        </row>
        <row r="85">
          <cell r="A85" t="str">
            <v>Other</v>
          </cell>
          <cell r="C85">
            <v>258510</v>
          </cell>
        </row>
        <row r="86">
          <cell r="A86" t="str">
            <v>Other</v>
          </cell>
          <cell r="C86">
            <v>258510</v>
          </cell>
        </row>
        <row r="87">
          <cell r="A87" t="str">
            <v>Total</v>
          </cell>
          <cell r="C87">
            <v>7446302.4499999993</v>
          </cell>
        </row>
        <row r="88">
          <cell r="A88" t="str">
            <v>Total</v>
          </cell>
          <cell r="C88">
            <v>-0.44999999925494194</v>
          </cell>
        </row>
        <row r="89">
          <cell r="C89">
            <v>-0.44999999925494194</v>
          </cell>
        </row>
        <row r="90">
          <cell r="A90" t="str">
            <v>Commercial Projects in Progress</v>
          </cell>
        </row>
        <row r="91">
          <cell r="A91" t="str">
            <v>Beginning Balance</v>
          </cell>
          <cell r="C91">
            <v>106447617.59999999</v>
          </cell>
        </row>
        <row r="92">
          <cell r="A92" t="str">
            <v>Ending Balance</v>
          </cell>
          <cell r="C92">
            <v>94608892.389999986</v>
          </cell>
        </row>
        <row r="93">
          <cell r="A93" t="str">
            <v>Ending Balance</v>
          </cell>
          <cell r="C93">
            <v>94608892.389999986</v>
          </cell>
        </row>
        <row r="94">
          <cell r="A94" t="str">
            <v>Increase (Decrease)</v>
          </cell>
          <cell r="C94">
            <v>-11838725.210000008</v>
          </cell>
        </row>
        <row r="95">
          <cell r="A95" t="str">
            <v>Increase (Decrease)</v>
          </cell>
          <cell r="C95">
            <v>-11838725.210000008</v>
          </cell>
        </row>
        <row r="96">
          <cell r="A96" t="str">
            <v>Investment in commercial projects</v>
          </cell>
          <cell r="C96">
            <v>170855915</v>
          </cell>
        </row>
        <row r="97">
          <cell r="A97" t="str">
            <v>Transfers</v>
          </cell>
          <cell r="C97">
            <v>-182694640</v>
          </cell>
        </row>
        <row r="98">
          <cell r="A98" t="str">
            <v>Transfers</v>
          </cell>
          <cell r="C98">
            <v>-182694640</v>
          </cell>
        </row>
        <row r="99">
          <cell r="A99" t="str">
            <v>Other</v>
          </cell>
        </row>
        <row r="100">
          <cell r="A100" t="str">
            <v>Other</v>
          </cell>
        </row>
        <row r="101">
          <cell r="A101" t="str">
            <v>Total</v>
          </cell>
          <cell r="C101">
            <v>-11838725.210000008</v>
          </cell>
        </row>
        <row r="102">
          <cell r="A102" t="str">
            <v>Total</v>
          </cell>
          <cell r="C102">
            <v>0.21000000834465027</v>
          </cell>
        </row>
        <row r="103">
          <cell r="C103">
            <v>0.21000000834465027</v>
          </cell>
        </row>
        <row r="104">
          <cell r="A104" t="str">
            <v>Forestry Projects in Progress</v>
          </cell>
        </row>
        <row r="105">
          <cell r="A105" t="str">
            <v>Beginning Balance</v>
          </cell>
          <cell r="C105">
            <v>4141071.7</v>
          </cell>
        </row>
        <row r="106">
          <cell r="A106" t="str">
            <v>Ending Balance</v>
          </cell>
          <cell r="C106">
            <v>7029768.3499999996</v>
          </cell>
        </row>
        <row r="107">
          <cell r="A107" t="str">
            <v>Ending Balance</v>
          </cell>
          <cell r="C107">
            <v>7029768.3499999996</v>
          </cell>
        </row>
        <row r="108">
          <cell r="A108" t="str">
            <v>Increase (Decrease)</v>
          </cell>
          <cell r="C108">
            <v>2888696.6499999994</v>
          </cell>
        </row>
        <row r="109">
          <cell r="A109" t="str">
            <v>Increase (Decrease)</v>
          </cell>
          <cell r="C109">
            <v>2888696.6499999994</v>
          </cell>
        </row>
        <row r="110">
          <cell r="A110" t="str">
            <v>Other Investing</v>
          </cell>
          <cell r="C110">
            <v>2888697</v>
          </cell>
        </row>
        <row r="111">
          <cell r="A111" t="str">
            <v>Other Investing</v>
          </cell>
          <cell r="C111">
            <v>2888697</v>
          </cell>
        </row>
        <row r="112">
          <cell r="A112" t="str">
            <v>Total</v>
          </cell>
          <cell r="C112">
            <v>2888696.6499999994</v>
          </cell>
        </row>
        <row r="113">
          <cell r="A113" t="str">
            <v>Total</v>
          </cell>
          <cell r="C113">
            <v>0.35000000055879354</v>
          </cell>
        </row>
        <row r="114">
          <cell r="C114">
            <v>0.35000000055879354</v>
          </cell>
        </row>
      </sheetData>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lder"/>
      <sheetName val="January 99"/>
      <sheetName val="February 99"/>
      <sheetName val="March 99"/>
      <sheetName val="Sheet1"/>
      <sheetName val="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uration"/>
      <sheetName val="2002"/>
      <sheetName val="2003"/>
      <sheetName val="2004"/>
      <sheetName val="2005"/>
      <sheetName val="Avg Cap Empl"/>
      <sheetName val="Data"/>
      <sheetName val="SQL"/>
      <sheetName val="Module1"/>
    </sheetNames>
    <sheetDataSet>
      <sheetData sheetId="0">
        <row r="3">
          <cell r="B3" t="str">
            <v>2002 9&amp;3 Forecast</v>
          </cell>
        </row>
        <row r="4">
          <cell r="B4" t="str">
            <v>October 23,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K Jan 2013"/>
      <sheetName val="DEK Feb 2013"/>
      <sheetName val="DEK Mar 2013"/>
      <sheetName val="DEK Q1 2013"/>
      <sheetName val="DEK Apr 2013"/>
      <sheetName val="DEK May 2013"/>
      <sheetName val="DEK Jun 2013"/>
      <sheetName val="DEK Q2 2013"/>
      <sheetName val="DEK Jul 2013"/>
      <sheetName val="BO Query - Journal ID"/>
      <sheetName val="Sheet2"/>
      <sheetName val="BO Query - Summary"/>
      <sheetName val="DEK Aug 2013"/>
      <sheetName val="DEK Sep 2013"/>
      <sheetName val="DEK Q3 2013"/>
      <sheetName val="DEK Oct 2013"/>
      <sheetName val="DEK Nov 2013"/>
      <sheetName val="DEK Dec 2013"/>
      <sheetName val="DEK Q4 2013"/>
      <sheetName val="DEK YTD"/>
      <sheetName val="Sheet1"/>
    </sheetNames>
    <sheetDataSet>
      <sheetData sheetId="0">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41274</v>
          </cell>
          <cell r="F6" t="str">
            <v>Adjustment</v>
          </cell>
          <cell r="G6" t="str">
            <v>Deferrals</v>
          </cell>
          <cell r="H6" t="str">
            <v>Amortization</v>
          </cell>
          <cell r="I6">
            <v>41305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762795.86999999965</v>
          </cell>
          <cell r="F9">
            <v>0</v>
          </cell>
          <cell r="G9">
            <v>-762795.87</v>
          </cell>
          <cell r="H9">
            <v>0</v>
          </cell>
          <cell r="I9">
            <v>-3.4924596548080444E-10</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762795.86999999965</v>
          </cell>
          <cell r="F12">
            <v>0</v>
          </cell>
          <cell r="G12">
            <v>-762795.87</v>
          </cell>
          <cell r="H12">
            <v>0</v>
          </cell>
          <cell r="I12">
            <v>-3.4924596548080444E-10</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566502.81000000006</v>
          </cell>
          <cell r="F15">
            <v>0</v>
          </cell>
          <cell r="G15">
            <v>-88332</v>
          </cell>
          <cell r="H15">
            <v>0</v>
          </cell>
          <cell r="I15">
            <v>478170.81000000006</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2621981.81</v>
          </cell>
          <cell r="F19">
            <v>0</v>
          </cell>
          <cell r="G19">
            <v>-88332</v>
          </cell>
          <cell r="H19">
            <v>0</v>
          </cell>
          <cell r="I19">
            <v>2533649.81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2530512.9300000002</v>
          </cell>
          <cell r="F23">
            <v>0</v>
          </cell>
          <cell r="G23">
            <v>0</v>
          </cell>
          <cell r="H23">
            <v>-23595.279999999999</v>
          </cell>
          <cell r="I23">
            <v>2506917.6500000004</v>
          </cell>
        </row>
        <row r="24">
          <cell r="B24"/>
          <cell r="C24"/>
          <cell r="E24"/>
          <cell r="F24"/>
          <cell r="G24"/>
          <cell r="H24"/>
          <cell r="I24"/>
        </row>
        <row r="25">
          <cell r="B25"/>
          <cell r="C25"/>
          <cell r="E25">
            <v>2530512.9300000002</v>
          </cell>
          <cell r="F25">
            <v>0</v>
          </cell>
          <cell r="G25">
            <v>0</v>
          </cell>
          <cell r="H25">
            <v>-23595.279999999999</v>
          </cell>
          <cell r="I25">
            <v>2506917.6500000004</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188748</v>
          </cell>
          <cell r="F28">
            <v>0</v>
          </cell>
          <cell r="G28">
            <v>0</v>
          </cell>
          <cell r="H28">
            <v>0</v>
          </cell>
          <cell r="I28">
            <v>188748</v>
          </cell>
        </row>
        <row r="29">
          <cell r="A29" t="str">
            <v>Reg liability - Inc Tax</v>
          </cell>
          <cell r="B29"/>
          <cell r="C29" t="str">
            <v>0254100</v>
          </cell>
          <cell r="D29" t="str">
            <v>Reg liability - Inc Tax</v>
          </cell>
          <cell r="E29">
            <v>-188748</v>
          </cell>
          <cell r="F29">
            <v>0</v>
          </cell>
          <cell r="G29">
            <v>-465701</v>
          </cell>
          <cell r="H29">
            <v>0</v>
          </cell>
          <cell r="I29">
            <v>-654449</v>
          </cell>
        </row>
        <row r="30">
          <cell r="B30"/>
          <cell r="C30"/>
          <cell r="E30"/>
          <cell r="F30"/>
          <cell r="G30"/>
          <cell r="H30"/>
          <cell r="I30"/>
        </row>
        <row r="31">
          <cell r="A31" t="str">
            <v>not cash</v>
          </cell>
          <cell r="B31"/>
          <cell r="C31"/>
          <cell r="D31" t="str">
            <v>not cash</v>
          </cell>
          <cell r="E31">
            <v>0</v>
          </cell>
          <cell r="F31">
            <v>0</v>
          </cell>
          <cell r="G31">
            <v>-465701</v>
          </cell>
          <cell r="H31">
            <v>0</v>
          </cell>
          <cell r="I31">
            <v>-465701</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7423301</v>
          </cell>
          <cell r="F54">
            <v>0</v>
          </cell>
          <cell r="G54">
            <v>-637839</v>
          </cell>
          <cell r="H54">
            <v>0</v>
          </cell>
          <cell r="I54">
            <v>6785462</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0</v>
          </cell>
          <cell r="H60">
            <v>0</v>
          </cell>
          <cell r="I60">
            <v>800000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13135985</v>
          </cell>
          <cell r="F69">
            <v>0</v>
          </cell>
          <cell r="G69">
            <v>-637839</v>
          </cell>
          <cell r="H69">
            <v>0</v>
          </cell>
          <cell r="I69">
            <v>12498146</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33449374.440000001</v>
          </cell>
          <cell r="F73">
            <v>0</v>
          </cell>
          <cell r="G73">
            <v>0</v>
          </cell>
          <cell r="H73">
            <v>0</v>
          </cell>
          <cell r="I73">
            <v>33449374.440000001</v>
          </cell>
        </row>
        <row r="74">
          <cell r="A74" t="str">
            <v>Accrued Pension Post Retire FAS 158     not cash - 0186803</v>
          </cell>
          <cell r="B74"/>
          <cell r="C74" t="str">
            <v>0186803</v>
          </cell>
          <cell r="D74" t="str">
            <v>Accrued Pension Post Retire FAS 158     not cash</v>
          </cell>
          <cell r="E74">
            <v>3908397.55</v>
          </cell>
          <cell r="F74">
            <v>0</v>
          </cell>
          <cell r="G74">
            <v>0</v>
          </cell>
          <cell r="H74">
            <v>0</v>
          </cell>
          <cell r="I74">
            <v>3908397.55</v>
          </cell>
        </row>
        <row r="75">
          <cell r="A75" t="str">
            <v>Accrued Pension Post Retire FAS 158     not cash - 0186805</v>
          </cell>
          <cell r="B75"/>
          <cell r="C75" t="str">
            <v>0186805</v>
          </cell>
          <cell r="D75" t="str">
            <v>Accrued Pension Post Retire FAS 158     not cash</v>
          </cell>
          <cell r="E75">
            <v>74589.05</v>
          </cell>
          <cell r="F75">
            <v>0</v>
          </cell>
          <cell r="G75">
            <v>0</v>
          </cell>
          <cell r="H75">
            <v>0</v>
          </cell>
          <cell r="I75">
            <v>74589.05</v>
          </cell>
        </row>
        <row r="76">
          <cell r="B76"/>
          <cell r="C76"/>
          <cell r="E76"/>
          <cell r="F76"/>
          <cell r="G76"/>
          <cell r="H76"/>
          <cell r="I76"/>
        </row>
        <row r="77">
          <cell r="B77"/>
          <cell r="C77"/>
          <cell r="E77">
            <v>37432361.039999999</v>
          </cell>
          <cell r="F77">
            <v>0</v>
          </cell>
          <cell r="G77">
            <v>0</v>
          </cell>
          <cell r="H77">
            <v>0</v>
          </cell>
          <cell r="I77">
            <v>37432361.039999999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56483636.650000006</v>
          </cell>
          <cell r="F83">
            <v>0</v>
          </cell>
          <cell r="G83">
            <v>-1954667.87</v>
          </cell>
          <cell r="H83">
            <v>-23595.279999999999</v>
          </cell>
          <cell r="I83">
            <v>54505373.5</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2157209.0099999998</v>
          </cell>
          <cell r="F86">
            <v>0</v>
          </cell>
          <cell r="G86">
            <v>153621.04999999999</v>
          </cell>
          <cell r="H86">
            <v>244559.93</v>
          </cell>
          <cell r="I86">
            <v>2555389.9899999998</v>
          </cell>
        </row>
        <row r="87">
          <cell r="A87" t="str">
            <v xml:space="preserve">Unrecovered Purchased Gas Cost - Unbilled  </v>
          </cell>
          <cell r="B87"/>
          <cell r="C87" t="str">
            <v>0191800</v>
          </cell>
          <cell r="D87" t="str">
            <v xml:space="preserve">Unrecovered Purchased Gas Cost - Unbilled  </v>
          </cell>
          <cell r="E87">
            <v>-3492181</v>
          </cell>
          <cell r="F87">
            <v>0</v>
          </cell>
          <cell r="G87">
            <v>-28193</v>
          </cell>
          <cell r="H87">
            <v>0</v>
          </cell>
          <cell r="I87">
            <v>-3520374</v>
          </cell>
        </row>
        <row r="88">
          <cell r="A88" t="str">
            <v xml:space="preserve">Native Deferred MTM Liability    </v>
          </cell>
          <cell r="B88"/>
          <cell r="C88" t="str">
            <v>0242895</v>
          </cell>
          <cell r="D88" t="str">
            <v xml:space="preserve">Native Deferred MTM Liability    </v>
          </cell>
          <cell r="E88">
            <v>-432689</v>
          </cell>
          <cell r="F88">
            <v>0</v>
          </cell>
          <cell r="G88">
            <v>0</v>
          </cell>
          <cell r="H88">
            <v>0</v>
          </cell>
          <cell r="I88">
            <v>-432689</v>
          </cell>
        </row>
        <row r="89">
          <cell r="A89" t="str">
            <v xml:space="preserve">Ratepayer Sharing Provisions           </v>
          </cell>
          <cell r="B89"/>
          <cell r="C89" t="str">
            <v>0242981</v>
          </cell>
          <cell r="D89" t="str">
            <v xml:space="preserve">Ratepayer Sharing Provisions           </v>
          </cell>
          <cell r="E89">
            <v>-259515.64</v>
          </cell>
          <cell r="F89">
            <v>0</v>
          </cell>
          <cell r="G89">
            <v>59728.74</v>
          </cell>
          <cell r="H89">
            <v>0</v>
          </cell>
          <cell r="I89">
            <v>-199786.90000000002</v>
          </cell>
        </row>
        <row r="90">
          <cell r="A90" t="str">
            <v xml:space="preserve">Gas Refunds and Reconciliation Adjustments  </v>
          </cell>
          <cell r="B90"/>
          <cell r="C90" t="str">
            <v>0253130</v>
          </cell>
          <cell r="D90" t="str">
            <v xml:space="preserve">Gas Refunds and Reconciliation Adjustments  </v>
          </cell>
          <cell r="E90">
            <v>-341131.82</v>
          </cell>
          <cell r="F90">
            <v>0</v>
          </cell>
          <cell r="G90">
            <v>0</v>
          </cell>
          <cell r="H90">
            <v>48165.04</v>
          </cell>
          <cell r="I90">
            <v>-292966.78000000003</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0</v>
          </cell>
          <cell r="F93"/>
          <cell r="G93">
            <v>-1577117.79</v>
          </cell>
          <cell r="H93">
            <v>0</v>
          </cell>
          <cell r="I93">
            <v>-1577117.79</v>
          </cell>
        </row>
        <row r="94">
          <cell r="B94"/>
          <cell r="C94"/>
          <cell r="E94"/>
          <cell r="F94"/>
          <cell r="G94"/>
          <cell r="H94"/>
          <cell r="I94"/>
        </row>
        <row r="95">
          <cell r="B95"/>
          <cell r="C95"/>
          <cell r="D95"/>
          <cell r="E95">
            <v>-2368308.4500000002</v>
          </cell>
          <cell r="F95">
            <v>0</v>
          </cell>
          <cell r="G95">
            <v>-1391961</v>
          </cell>
          <cell r="H95">
            <v>292724.96999999997</v>
          </cell>
          <cell r="I95">
            <v>-3467544.4800000004</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-3129600.63</v>
          </cell>
          <cell r="F97">
            <v>0</v>
          </cell>
          <cell r="G97">
            <v>0</v>
          </cell>
          <cell r="H97">
            <v>0</v>
          </cell>
          <cell r="I97">
            <v>-3129600.63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-492666.8</v>
          </cell>
          <cell r="F100">
            <v>0</v>
          </cell>
          <cell r="G100">
            <v>465701</v>
          </cell>
          <cell r="H100">
            <v>0</v>
          </cell>
          <cell r="I100">
            <v>-26965.799999999988</v>
          </cell>
        </row>
        <row r="101">
          <cell r="A101" t="str">
            <v>Deferred DSM Costs - Amort not cash</v>
          </cell>
          <cell r="B101"/>
          <cell r="C101" t="str">
            <v>0254401</v>
          </cell>
          <cell r="D101" t="str">
            <v>Deferred DSM Costs - Amort not cash</v>
          </cell>
          <cell r="E101">
            <v>-3737454</v>
          </cell>
          <cell r="F101">
            <v>0</v>
          </cell>
          <cell r="G101">
            <v>571614</v>
          </cell>
          <cell r="H101">
            <v>0</v>
          </cell>
          <cell r="I101">
            <v>-3165840</v>
          </cell>
        </row>
        <row r="102">
          <cell r="A102" t="str">
            <v>Reg Liab - Native EA Swaps       not cash</v>
          </cell>
          <cell r="B102"/>
          <cell r="C102" t="str">
            <v>0254210</v>
          </cell>
          <cell r="D102" t="str">
            <v>Reg Liab - Native EA Swaps       not cash</v>
          </cell>
          <cell r="E102">
            <v>-170523.2</v>
          </cell>
          <cell r="F102">
            <v>0</v>
          </cell>
          <cell r="G102">
            <v>22383.46</v>
          </cell>
          <cell r="H102">
            <v>0</v>
          </cell>
          <cell r="I102">
            <v>-148139.74000000002</v>
          </cell>
        </row>
        <row r="103">
          <cell r="B103"/>
          <cell r="C103"/>
          <cell r="D103"/>
          <cell r="E103"/>
          <cell r="F103"/>
          <cell r="G103"/>
          <cell r="H103"/>
          <cell r="I103"/>
        </row>
        <row r="104">
          <cell r="B104"/>
          <cell r="C104"/>
          <cell r="E104">
            <v>-4400644</v>
          </cell>
          <cell r="F104">
            <v>0</v>
          </cell>
          <cell r="G104">
            <v>1059698.46</v>
          </cell>
          <cell r="H104">
            <v>0</v>
          </cell>
          <cell r="I104">
            <v>-3340945.54</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-15790751.630000001</v>
          </cell>
          <cell r="F106">
            <v>0</v>
          </cell>
          <cell r="G106">
            <v>-47432.57</v>
          </cell>
          <cell r="H106">
            <v>0</v>
          </cell>
          <cell r="I106">
            <v>-15838184.200000001</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-43349367.659999996</v>
          </cell>
          <cell r="F107">
            <v>0</v>
          </cell>
          <cell r="G107">
            <v>-338824.48</v>
          </cell>
          <cell r="H107">
            <v>0</v>
          </cell>
          <cell r="I107">
            <v>-43688192.139999993</v>
          </cell>
        </row>
        <row r="108">
          <cell r="A108" t="str">
            <v>Retirement Work in Progress - not cash</v>
          </cell>
          <cell r="B108"/>
          <cell r="C108" t="str">
            <v>0108620</v>
          </cell>
          <cell r="D108" t="str">
            <v>Retirement Work in Progress - not cash</v>
          </cell>
          <cell r="E108">
            <v>-8115808.0800000001</v>
          </cell>
          <cell r="F108">
            <v>0</v>
          </cell>
          <cell r="G108">
            <v>83687.009999999995</v>
          </cell>
          <cell r="H108">
            <v>0</v>
          </cell>
          <cell r="I108">
            <v>-8032121.0700000003</v>
          </cell>
        </row>
        <row r="109">
          <cell r="A109" t="str">
            <v>ARO other regulatory assets - not cash</v>
          </cell>
          <cell r="B109"/>
          <cell r="C109" t="str">
            <v>0182402</v>
          </cell>
          <cell r="D109" t="str">
            <v>ARO other regulatory assets - not cash</v>
          </cell>
          <cell r="E109">
            <v>700747.98</v>
          </cell>
          <cell r="F109">
            <v>0</v>
          </cell>
          <cell r="G109">
            <v>4214.38</v>
          </cell>
          <cell r="H109">
            <v>0</v>
          </cell>
          <cell r="I109">
            <v>704962.36</v>
          </cell>
        </row>
        <row r="110">
          <cell r="A110" t="str">
            <v>Gas ARO other regulatory assets - not cash</v>
          </cell>
          <cell r="B110"/>
          <cell r="C110" t="str">
            <v>0182403</v>
          </cell>
          <cell r="D110" t="str">
            <v>Gas ARO other regulatory assets - not cash</v>
          </cell>
          <cell r="E110">
            <v>3551852.7</v>
          </cell>
          <cell r="F110">
            <v>0</v>
          </cell>
          <cell r="G110">
            <v>20936.259999999998</v>
          </cell>
          <cell r="H110">
            <v>0</v>
          </cell>
          <cell r="I110">
            <v>3572788.96</v>
          </cell>
        </row>
        <row r="111">
          <cell r="A111" t="str">
            <v>Common Accumulated Provision for Depreciation COR - not cash</v>
          </cell>
          <cell r="B111"/>
          <cell r="C111" t="str">
            <v>0108151</v>
          </cell>
          <cell r="D111" t="str">
            <v>Common Accumulated Provision for Depreciation COR - not cash</v>
          </cell>
          <cell r="E111">
            <v>10536.99</v>
          </cell>
          <cell r="F111">
            <v>0</v>
          </cell>
          <cell r="G111">
            <v>-6498.43</v>
          </cell>
          <cell r="H111">
            <v>0</v>
          </cell>
          <cell r="I111">
            <v>4038.5599999999995</v>
          </cell>
        </row>
        <row r="112">
          <cell r="B112"/>
          <cell r="C112"/>
          <cell r="E112"/>
          <cell r="F112"/>
          <cell r="G112"/>
          <cell r="H112"/>
          <cell r="I112"/>
        </row>
        <row r="113">
          <cell r="B113"/>
          <cell r="C113"/>
          <cell r="E113">
            <v>-62992789.700000003</v>
          </cell>
          <cell r="F113">
            <v>0</v>
          </cell>
          <cell r="G113">
            <v>-283917.82999999996</v>
          </cell>
          <cell r="H113">
            <v>0</v>
          </cell>
          <cell r="I113">
            <v>-63276707.529999994</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-72891342.780000001</v>
          </cell>
          <cell r="F115">
            <v>0</v>
          </cell>
          <cell r="G115">
            <v>-616180.37</v>
          </cell>
          <cell r="H115">
            <v>292724.96999999997</v>
          </cell>
          <cell r="I115">
            <v>-73214798.179999992</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-16407706.129999995</v>
          </cell>
          <cell r="F117">
            <v>0</v>
          </cell>
          <cell r="G117">
            <v>-2570848.2400000002</v>
          </cell>
          <cell r="H117">
            <v>269129.68999999994</v>
          </cell>
          <cell r="I117">
            <v>-18709424.679999992</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327759.37</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-2243088.87</v>
          </cell>
          <cell r="H121">
            <v>292724.96999999997</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-1950363.9000000001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762795.86999999965</v>
          </cell>
          <cell r="F127">
            <v>0</v>
          </cell>
          <cell r="G127"/>
          <cell r="H127"/>
          <cell r="I127">
            <v>-3.4924596548080444E-10</v>
          </cell>
        </row>
        <row r="128">
          <cell r="A128" t="str">
            <v>Other Current Assets - Reg Gaap Node 1491</v>
          </cell>
          <cell r="B128"/>
          <cell r="C128"/>
          <cell r="D128" t="str">
            <v>Other Current Assets - Reg Gaap Node 1491</v>
          </cell>
          <cell r="E128">
            <v>2621981.81</v>
          </cell>
          <cell r="F128">
            <v>0</v>
          </cell>
          <cell r="G128"/>
          <cell r="H128"/>
          <cell r="I128">
            <v>2533649.81</v>
          </cell>
        </row>
        <row r="129">
          <cell r="A129" t="str">
            <v>Unamortized Loss on Debt - Gaap Node 1821</v>
          </cell>
          <cell r="B129"/>
          <cell r="C129"/>
          <cell r="D129" t="str">
            <v>Unamortized Loss on Debt - Gaap Node 1821</v>
          </cell>
          <cell r="E129">
            <v>2530512.9300000002</v>
          </cell>
          <cell r="F129">
            <v>0</v>
          </cell>
          <cell r="G129"/>
          <cell r="H129"/>
          <cell r="I129">
            <v>2506917.6500000004</v>
          </cell>
        </row>
        <row r="130">
          <cell r="A130" t="str">
            <v>Amounts due from Customers Income Taxes</v>
          </cell>
          <cell r="B130"/>
          <cell r="C130"/>
          <cell r="D130" t="str">
            <v>Amounts due from Customers Income Taxes</v>
          </cell>
          <cell r="E130">
            <v>0</v>
          </cell>
          <cell r="F130">
            <v>0</v>
          </cell>
          <cell r="G130"/>
          <cell r="H130"/>
          <cell r="I130">
            <v>-465701</v>
          </cell>
        </row>
        <row r="131">
          <cell r="A131" t="str">
            <v>Other Deferred Debits - Regulatory Assets Gaap Node 1861</v>
          </cell>
          <cell r="B131"/>
          <cell r="C131"/>
          <cell r="D131" t="str">
            <v>Other Deferred Debits - Regulatory Assets Gaap Node 1861</v>
          </cell>
          <cell r="E131">
            <v>13135985</v>
          </cell>
          <cell r="F131">
            <v>0</v>
          </cell>
          <cell r="G131"/>
          <cell r="H131"/>
          <cell r="I131">
            <v>12498146</v>
          </cell>
        </row>
        <row r="132">
          <cell r="A132" t="str">
            <v>Regulatory Assets - Pension - Gaap Node1870</v>
          </cell>
          <cell r="B132"/>
          <cell r="C132"/>
          <cell r="D132" t="str">
            <v>Regulatory Assets - Pension - Gaap Node1870</v>
          </cell>
          <cell r="E132">
            <v>37432361.039999999</v>
          </cell>
          <cell r="F132">
            <v>0</v>
          </cell>
          <cell r="G132"/>
          <cell r="H132"/>
          <cell r="I132">
            <v>37432361.039999999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-2368308.4500000002</v>
          </cell>
          <cell r="F134" t="e">
            <v>#REF!</v>
          </cell>
          <cell r="G134"/>
          <cell r="H134"/>
          <cell r="I134">
            <v>-3467544.4800000004</v>
          </cell>
        </row>
        <row r="135">
          <cell r="A135" t="str">
            <v>RegulatoryLiabilities - Pension - Gaap Node 2647</v>
          </cell>
          <cell r="B135"/>
          <cell r="C135"/>
          <cell r="D135" t="str">
            <v>RegulatoryLiabilities - Pension - Gaap Node 2647</v>
          </cell>
          <cell r="E135">
            <v>-3129600.63</v>
          </cell>
          <cell r="F135" t="e">
            <v>#REF!</v>
          </cell>
          <cell r="G135"/>
          <cell r="H135"/>
          <cell r="I135">
            <v>-3129600.63</v>
          </cell>
        </row>
        <row r="136">
          <cell r="A136" t="str">
            <v>Other Deferred Cr - Compensation Liab - Gaap Node 2648</v>
          </cell>
          <cell r="B136"/>
          <cell r="C136"/>
          <cell r="D136" t="str">
            <v>Other Deferred Cr - Compensation Liab - Gaap Node 2648</v>
          </cell>
          <cell r="E136">
            <v>-4400644</v>
          </cell>
          <cell r="F136" t="e">
            <v>#REF!</v>
          </cell>
          <cell r="G136"/>
          <cell r="H136"/>
          <cell r="I136">
            <v>-3340945.54</v>
          </cell>
        </row>
        <row r="137">
          <cell r="A137" t="str">
            <v>Regulatory Liabilities - Removal Costs Gaap Node 2652</v>
          </cell>
          <cell r="B137"/>
          <cell r="C137"/>
          <cell r="D137" t="str">
            <v>Regulatory Liabilities - Removal Costs Gaap Node 2652</v>
          </cell>
          <cell r="E137">
            <v>-62992789.700000003</v>
          </cell>
          <cell r="F137">
            <v>0</v>
          </cell>
          <cell r="G137"/>
          <cell r="H137"/>
          <cell r="I137">
            <v>-63276707.529999994</v>
          </cell>
        </row>
        <row r="138">
          <cell r="A138"/>
          <cell r="B138"/>
          <cell r="C138"/>
          <cell r="D138"/>
          <cell r="E138"/>
          <cell r="F138"/>
          <cell r="G138"/>
          <cell r="H138"/>
          <cell r="I138"/>
        </row>
        <row r="139">
          <cell r="A139" t="str">
            <v>Total</v>
          </cell>
          <cell r="B139"/>
          <cell r="C139"/>
          <cell r="D139" t="str">
            <v>Total</v>
          </cell>
          <cell r="E139">
            <v>-16407706.13000001</v>
          </cell>
          <cell r="F139" t="e">
            <v>#REF!</v>
          </cell>
          <cell r="G139"/>
          <cell r="H139"/>
          <cell r="I139">
            <v>-18709424.68</v>
          </cell>
        </row>
        <row r="140">
          <cell r="B140"/>
          <cell r="C140"/>
          <cell r="F140"/>
          <cell r="G140"/>
          <cell r="H140"/>
          <cell r="I140"/>
        </row>
        <row r="141">
          <cell r="B141"/>
          <cell r="C141"/>
          <cell r="E141">
            <v>-1.4901161193847656E-8</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-88332</v>
          </cell>
          <cell r="H145">
            <v>0</v>
          </cell>
          <cell r="I145"/>
        </row>
        <row r="146">
          <cell r="A146" t="str">
            <v>A/R</v>
          </cell>
          <cell r="B146"/>
          <cell r="C146"/>
          <cell r="D146" t="str">
            <v>A/R</v>
          </cell>
          <cell r="F146"/>
          <cell r="G146">
            <v>-762795.87</v>
          </cell>
          <cell r="H146">
            <v>0</v>
          </cell>
          <cell r="I146"/>
        </row>
        <row r="147">
          <cell r="A147" t="str">
            <v>A/P</v>
          </cell>
          <cell r="B147"/>
          <cell r="C147"/>
          <cell r="D147" t="str">
            <v>A/P</v>
          </cell>
          <cell r="F147"/>
          <cell r="G147">
            <v>-1391961</v>
          </cell>
          <cell r="H147">
            <v>292724.96999999997</v>
          </cell>
          <cell r="I147"/>
        </row>
        <row r="148">
          <cell r="B148"/>
          <cell r="C148"/>
          <cell r="F148"/>
          <cell r="G148"/>
          <cell r="H148"/>
          <cell r="I148"/>
        </row>
        <row r="149">
          <cell r="B149"/>
          <cell r="C149"/>
          <cell r="F149"/>
          <cell r="G149">
            <v>0</v>
          </cell>
          <cell r="H149">
            <v>0</v>
          </cell>
          <cell r="I149"/>
        </row>
        <row r="150">
          <cell r="B150"/>
          <cell r="C150"/>
          <cell r="F150"/>
          <cell r="H150">
            <v>-1950363.9</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1">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41305</v>
          </cell>
          <cell r="F6" t="str">
            <v>Adjustment</v>
          </cell>
          <cell r="G6" t="str">
            <v>Deferrals</v>
          </cell>
          <cell r="H6" t="str">
            <v>Amortization</v>
          </cell>
          <cell r="I6">
            <v>41333</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-3.4924596548080444E-10</v>
          </cell>
          <cell r="F9">
            <v>0</v>
          </cell>
          <cell r="G9">
            <v>1867429.62</v>
          </cell>
          <cell r="H9">
            <v>0</v>
          </cell>
          <cell r="I9">
            <v>1867429.6199999996</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-3.4924596548080444E-10</v>
          </cell>
          <cell r="F12">
            <v>0</v>
          </cell>
          <cell r="G12">
            <v>1867429.62</v>
          </cell>
          <cell r="H12">
            <v>0</v>
          </cell>
          <cell r="I12">
            <v>1867429.6199999996</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478170.81000000006</v>
          </cell>
          <cell r="F15">
            <v>0</v>
          </cell>
          <cell r="G15">
            <v>427031</v>
          </cell>
          <cell r="H15">
            <v>0</v>
          </cell>
          <cell r="I15">
            <v>905201.81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2533649.81</v>
          </cell>
          <cell r="F19">
            <v>0</v>
          </cell>
          <cell r="G19">
            <v>427031</v>
          </cell>
          <cell r="H19">
            <v>0</v>
          </cell>
          <cell r="I19">
            <v>2960680.81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2506917.6500000004</v>
          </cell>
          <cell r="F23">
            <v>0</v>
          </cell>
          <cell r="G23">
            <v>0</v>
          </cell>
          <cell r="H23">
            <v>-23595.279999999999</v>
          </cell>
          <cell r="I23">
            <v>2483322.3700000006</v>
          </cell>
        </row>
        <row r="24">
          <cell r="B24"/>
          <cell r="C24"/>
          <cell r="E24"/>
          <cell r="F24"/>
          <cell r="G24"/>
          <cell r="H24"/>
          <cell r="I24"/>
        </row>
        <row r="25">
          <cell r="B25"/>
          <cell r="C25"/>
          <cell r="E25">
            <v>2506917.6500000004</v>
          </cell>
          <cell r="F25">
            <v>0</v>
          </cell>
          <cell r="G25">
            <v>0</v>
          </cell>
          <cell r="H25">
            <v>-23595.279999999999</v>
          </cell>
          <cell r="I25">
            <v>2483322.3700000006</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188748</v>
          </cell>
          <cell r="F28">
            <v>0</v>
          </cell>
          <cell r="G28">
            <v>58694</v>
          </cell>
          <cell r="H28">
            <v>0</v>
          </cell>
          <cell r="I28">
            <v>247442</v>
          </cell>
        </row>
        <row r="29">
          <cell r="A29" t="str">
            <v>Reg liability - Inc Tax</v>
          </cell>
          <cell r="B29"/>
          <cell r="C29" t="str">
            <v>0254100</v>
          </cell>
          <cell r="D29" t="str">
            <v>Reg liability - Inc Tax</v>
          </cell>
          <cell r="E29">
            <v>-654449</v>
          </cell>
          <cell r="F29">
            <v>0</v>
          </cell>
          <cell r="G29">
            <v>407007</v>
          </cell>
          <cell r="H29">
            <v>0</v>
          </cell>
          <cell r="I29">
            <v>-247442</v>
          </cell>
        </row>
        <row r="30">
          <cell r="B30"/>
          <cell r="C30"/>
          <cell r="E30"/>
          <cell r="F30"/>
          <cell r="G30"/>
          <cell r="H30"/>
          <cell r="I30"/>
        </row>
        <row r="31">
          <cell r="A31" t="str">
            <v>not cash</v>
          </cell>
          <cell r="B31"/>
          <cell r="C31"/>
          <cell r="D31" t="str">
            <v>not cash</v>
          </cell>
          <cell r="E31">
            <v>-465701</v>
          </cell>
          <cell r="F31">
            <v>0</v>
          </cell>
          <cell r="G31">
            <v>465701</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6785462</v>
          </cell>
          <cell r="F54">
            <v>0</v>
          </cell>
          <cell r="G54">
            <v>-241516</v>
          </cell>
          <cell r="H54">
            <v>0</v>
          </cell>
          <cell r="I54">
            <v>6543946</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0</v>
          </cell>
          <cell r="H60">
            <v>0</v>
          </cell>
          <cell r="I60">
            <v>800000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12498146</v>
          </cell>
          <cell r="F69">
            <v>0</v>
          </cell>
          <cell r="G69">
            <v>-241516</v>
          </cell>
          <cell r="H69">
            <v>0</v>
          </cell>
          <cell r="I69">
            <v>12256630</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33449374.440000001</v>
          </cell>
          <cell r="F73">
            <v>0</v>
          </cell>
          <cell r="G73">
            <v>-527990</v>
          </cell>
          <cell r="H73">
            <v>0</v>
          </cell>
          <cell r="I73">
            <v>32921384.440000001</v>
          </cell>
        </row>
        <row r="74">
          <cell r="A74" t="str">
            <v>Accrued Pension Post Retire FAS 158     not cash - 0186803</v>
          </cell>
          <cell r="B74"/>
          <cell r="C74" t="str">
            <v>0186803</v>
          </cell>
          <cell r="D74" t="str">
            <v>Accrued Pension Post Retire FAS 158     not cash</v>
          </cell>
          <cell r="E74">
            <v>3908397.55</v>
          </cell>
          <cell r="F74">
            <v>0</v>
          </cell>
          <cell r="G74">
            <v>-50448</v>
          </cell>
          <cell r="H74">
            <v>0</v>
          </cell>
          <cell r="I74">
            <v>3857949.55</v>
          </cell>
        </row>
        <row r="75">
          <cell r="A75" t="str">
            <v>Accrued Pension Post Retire FAS 158     not cash - 0186805</v>
          </cell>
          <cell r="B75"/>
          <cell r="C75" t="str">
            <v>0186805</v>
          </cell>
          <cell r="D75" t="str">
            <v>Accrued Pension Post Retire FAS 158     not cash</v>
          </cell>
          <cell r="E75">
            <v>74589.05</v>
          </cell>
          <cell r="F75">
            <v>0</v>
          </cell>
          <cell r="G75">
            <v>-1678</v>
          </cell>
          <cell r="H75">
            <v>0</v>
          </cell>
          <cell r="I75">
            <v>72911.05</v>
          </cell>
        </row>
        <row r="76">
          <cell r="B76"/>
          <cell r="C76"/>
          <cell r="E76"/>
          <cell r="F76"/>
          <cell r="G76"/>
          <cell r="H76"/>
          <cell r="I76"/>
        </row>
        <row r="77">
          <cell r="B77"/>
          <cell r="C77"/>
          <cell r="E77">
            <v>37432361.039999999</v>
          </cell>
          <cell r="F77">
            <v>0</v>
          </cell>
          <cell r="G77">
            <v>-580116</v>
          </cell>
          <cell r="H77">
            <v>0</v>
          </cell>
          <cell r="I77">
            <v>36852245.039999999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54505373.5</v>
          </cell>
          <cell r="F83">
            <v>0</v>
          </cell>
          <cell r="G83">
            <v>1938529.62</v>
          </cell>
          <cell r="H83">
            <v>-23595.279999999999</v>
          </cell>
          <cell r="I83">
            <v>56420307.840000004</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2555389.9899999998</v>
          </cell>
          <cell r="F86">
            <v>0</v>
          </cell>
          <cell r="G86">
            <v>-657906.89999999991</v>
          </cell>
          <cell r="H86">
            <v>247074.93</v>
          </cell>
          <cell r="I86">
            <v>2144558.02</v>
          </cell>
        </row>
        <row r="87">
          <cell r="A87" t="str">
            <v xml:space="preserve">Unrecovered Purchased Gas Cost - Unbilled  </v>
          </cell>
          <cell r="B87"/>
          <cell r="C87" t="str">
            <v>0191800</v>
          </cell>
          <cell r="D87" t="str">
            <v xml:space="preserve">Unrecovered Purchased Gas Cost - Unbilled  </v>
          </cell>
          <cell r="E87">
            <v>-3520374</v>
          </cell>
          <cell r="F87">
            <v>0</v>
          </cell>
          <cell r="G87">
            <v>198594</v>
          </cell>
          <cell r="H87">
            <v>0</v>
          </cell>
          <cell r="I87">
            <v>-3321780</v>
          </cell>
        </row>
        <row r="88">
          <cell r="A88" t="str">
            <v xml:space="preserve">Native Deferred MTM Liability    </v>
          </cell>
          <cell r="B88"/>
          <cell r="C88" t="str">
            <v>0242895</v>
          </cell>
          <cell r="D88" t="str">
            <v xml:space="preserve">Native Deferred MTM Liability    </v>
          </cell>
          <cell r="E88">
            <v>-432689</v>
          </cell>
          <cell r="F88">
            <v>0</v>
          </cell>
          <cell r="G88">
            <v>0</v>
          </cell>
          <cell r="H88">
            <v>0</v>
          </cell>
          <cell r="I88">
            <v>-432689</v>
          </cell>
        </row>
        <row r="89">
          <cell r="A89" t="str">
            <v xml:space="preserve">Ratepayer Sharing Provisions           </v>
          </cell>
          <cell r="B89"/>
          <cell r="C89" t="str">
            <v>0242981</v>
          </cell>
          <cell r="D89" t="str">
            <v xml:space="preserve">Ratepayer Sharing Provisions           </v>
          </cell>
          <cell r="E89">
            <v>-199786.90000000002</v>
          </cell>
          <cell r="F89">
            <v>0</v>
          </cell>
          <cell r="G89">
            <v>199786.9</v>
          </cell>
          <cell r="H89">
            <v>0</v>
          </cell>
          <cell r="I89">
            <v>-2.9103830456733704E-11</v>
          </cell>
        </row>
        <row r="90">
          <cell r="A90" t="str">
            <v xml:space="preserve">Gas Refunds and Reconciliation Adjustments  </v>
          </cell>
          <cell r="B90"/>
          <cell r="C90" t="str">
            <v>0253130</v>
          </cell>
          <cell r="D90" t="str">
            <v xml:space="preserve">Gas Refunds and Reconciliation Adjustments  </v>
          </cell>
          <cell r="E90">
            <v>-292966.78000000003</v>
          </cell>
          <cell r="F90">
            <v>0</v>
          </cell>
          <cell r="G90">
            <v>66609.22</v>
          </cell>
          <cell r="H90">
            <v>48408.55</v>
          </cell>
          <cell r="I90">
            <v>-177949.01</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-1577117.79</v>
          </cell>
          <cell r="F93"/>
          <cell r="G93">
            <v>1577117.79</v>
          </cell>
          <cell r="H93">
            <v>0</v>
          </cell>
          <cell r="I93">
            <v>0</v>
          </cell>
        </row>
        <row r="94">
          <cell r="B94"/>
          <cell r="C94"/>
          <cell r="E94"/>
          <cell r="F94"/>
          <cell r="G94"/>
          <cell r="H94"/>
          <cell r="I94"/>
        </row>
        <row r="95">
          <cell r="B95"/>
          <cell r="C95"/>
          <cell r="D95"/>
          <cell r="E95">
            <v>-3467544.4800000004</v>
          </cell>
          <cell r="F95">
            <v>0</v>
          </cell>
          <cell r="G95">
            <v>1384201.0100000002</v>
          </cell>
          <cell r="H95">
            <v>295483.48</v>
          </cell>
          <cell r="I95">
            <v>-1787859.99</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-3129600.63</v>
          </cell>
          <cell r="F97">
            <v>0</v>
          </cell>
          <cell r="G97">
            <v>48130</v>
          </cell>
          <cell r="H97">
            <v>0</v>
          </cell>
          <cell r="I97">
            <v>-3081470.63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-26965.799999999988</v>
          </cell>
          <cell r="F100">
            <v>0</v>
          </cell>
          <cell r="G100">
            <v>-394341</v>
          </cell>
          <cell r="H100">
            <v>0</v>
          </cell>
          <cell r="I100">
            <v>-421306.8</v>
          </cell>
        </row>
        <row r="101">
          <cell r="A101" t="str">
            <v>Deferred DSM Costs - Amort not cash</v>
          </cell>
          <cell r="B101"/>
          <cell r="C101" t="str">
            <v>0254401</v>
          </cell>
          <cell r="D101" t="str">
            <v>Deferred DSM Costs - Amort not cash</v>
          </cell>
          <cell r="E101">
            <v>-3165840</v>
          </cell>
          <cell r="F101">
            <v>0</v>
          </cell>
          <cell r="G101">
            <v>891926</v>
          </cell>
          <cell r="H101">
            <v>0</v>
          </cell>
          <cell r="I101">
            <v>-2273914</v>
          </cell>
        </row>
        <row r="102">
          <cell r="A102" t="str">
            <v>Reg Liab - Native EA Swaps       not cash</v>
          </cell>
          <cell r="B102"/>
          <cell r="C102" t="str">
            <v>0254210</v>
          </cell>
          <cell r="D102" t="str">
            <v>Reg Liab - Native EA Swaps       not cash</v>
          </cell>
          <cell r="E102">
            <v>-148139.74000000002</v>
          </cell>
          <cell r="F102">
            <v>0</v>
          </cell>
          <cell r="G102">
            <v>14760.2</v>
          </cell>
          <cell r="H102">
            <v>0</v>
          </cell>
          <cell r="I102">
            <v>-133379.54</v>
          </cell>
        </row>
        <row r="103">
          <cell r="B103"/>
          <cell r="C103"/>
          <cell r="D103"/>
          <cell r="E103"/>
          <cell r="F103"/>
          <cell r="G103"/>
          <cell r="H103"/>
          <cell r="I103"/>
        </row>
        <row r="104">
          <cell r="B104"/>
          <cell r="C104"/>
          <cell r="E104">
            <v>-3340945.54</v>
          </cell>
          <cell r="F104">
            <v>0</v>
          </cell>
          <cell r="G104">
            <v>512345.2</v>
          </cell>
          <cell r="H104">
            <v>0</v>
          </cell>
          <cell r="I104">
            <v>-2828600.34</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-15838184.200000001</v>
          </cell>
          <cell r="F106">
            <v>0</v>
          </cell>
          <cell r="G106">
            <v>-47559.89</v>
          </cell>
          <cell r="H106">
            <v>0</v>
          </cell>
          <cell r="I106">
            <v>-15885744.090000002</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-43688192.139999993</v>
          </cell>
          <cell r="F107">
            <v>0</v>
          </cell>
          <cell r="G107">
            <v>-356807.51999999996</v>
          </cell>
          <cell r="H107">
            <v>0</v>
          </cell>
          <cell r="I107">
            <v>-44044999.659999996</v>
          </cell>
        </row>
        <row r="108">
          <cell r="A108" t="str">
            <v>Retirement Work in Progress - not cash</v>
          </cell>
          <cell r="B108"/>
          <cell r="C108" t="str">
            <v>0108620</v>
          </cell>
          <cell r="D108" t="str">
            <v>Retirement Work in Progress - not cash</v>
          </cell>
          <cell r="E108">
            <v>-8032121.0700000003</v>
          </cell>
          <cell r="F108">
            <v>0</v>
          </cell>
          <cell r="G108">
            <v>92543.85</v>
          </cell>
          <cell r="H108">
            <v>0</v>
          </cell>
          <cell r="I108">
            <v>-7939577.2200000007</v>
          </cell>
        </row>
        <row r="109">
          <cell r="A109" t="str">
            <v>ARO other regulatory assets - not cash</v>
          </cell>
          <cell r="B109"/>
          <cell r="C109" t="str">
            <v>0182402</v>
          </cell>
          <cell r="D109" t="str">
            <v>ARO other regulatory assets - not cash</v>
          </cell>
          <cell r="E109">
            <v>704962.36</v>
          </cell>
          <cell r="F109">
            <v>0</v>
          </cell>
          <cell r="G109">
            <v>4218.8900000000003</v>
          </cell>
          <cell r="H109">
            <v>0</v>
          </cell>
          <cell r="I109">
            <v>709181.25</v>
          </cell>
        </row>
        <row r="110">
          <cell r="A110" t="str">
            <v>Gas ARO other regulatory assets - not cash</v>
          </cell>
          <cell r="B110"/>
          <cell r="C110" t="str">
            <v>0182403</v>
          </cell>
          <cell r="D110" t="str">
            <v>Gas ARO other regulatory assets - not cash</v>
          </cell>
          <cell r="E110">
            <v>3572788.96</v>
          </cell>
          <cell r="F110">
            <v>0</v>
          </cell>
          <cell r="G110">
            <v>21033.14</v>
          </cell>
          <cell r="H110">
            <v>0</v>
          </cell>
          <cell r="I110">
            <v>3593822.1</v>
          </cell>
        </row>
        <row r="111">
          <cell r="A111" t="str">
            <v>Common Accumulated Provision for Depreciation COR - not cash</v>
          </cell>
          <cell r="B111"/>
          <cell r="C111" t="str">
            <v>0108151</v>
          </cell>
          <cell r="D111" t="str">
            <v>Common Accumulated Provision for Depreciation COR - not cash</v>
          </cell>
          <cell r="E111">
            <v>4038.5599999999995</v>
          </cell>
          <cell r="F111">
            <v>0</v>
          </cell>
          <cell r="G111">
            <v>-6502.63</v>
          </cell>
          <cell r="H111">
            <v>0</v>
          </cell>
          <cell r="I111">
            <v>-2464.0700000000006</v>
          </cell>
        </row>
        <row r="112">
          <cell r="B112"/>
          <cell r="C112"/>
          <cell r="E112"/>
          <cell r="F112"/>
          <cell r="G112"/>
          <cell r="H112"/>
          <cell r="I112"/>
        </row>
        <row r="113">
          <cell r="B113"/>
          <cell r="C113"/>
          <cell r="E113">
            <v>-63276707.529999994</v>
          </cell>
          <cell r="F113">
            <v>0</v>
          </cell>
          <cell r="G113">
            <v>-293074.15999999992</v>
          </cell>
          <cell r="H113">
            <v>0</v>
          </cell>
          <cell r="I113">
            <v>-63569781.689999998</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-73214798.179999992</v>
          </cell>
          <cell r="F115">
            <v>0</v>
          </cell>
          <cell r="G115">
            <v>1651602.0500000003</v>
          </cell>
          <cell r="H115">
            <v>295483.48</v>
          </cell>
          <cell r="I115">
            <v>-71267712.649999991</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-18709424.679999992</v>
          </cell>
          <cell r="F117">
            <v>0</v>
          </cell>
          <cell r="G117">
            <v>3590131.6700000004</v>
          </cell>
          <cell r="H117">
            <v>271888.19999999995</v>
          </cell>
          <cell r="I117">
            <v>-14847404.809999987</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88529.959999999963</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3678661.6300000004</v>
          </cell>
          <cell r="H121">
            <v>295483.48</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3974145.11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-3.4924596548080444E-10</v>
          </cell>
          <cell r="F127">
            <v>0</v>
          </cell>
          <cell r="G127"/>
          <cell r="H127"/>
          <cell r="I127">
            <v>1867429.6199999996</v>
          </cell>
        </row>
        <row r="128">
          <cell r="A128" t="str">
            <v>Other Current Assets - Reg Gaap Node 1491</v>
          </cell>
          <cell r="B128"/>
          <cell r="C128"/>
          <cell r="D128" t="str">
            <v>Other Current Assets - Reg Gaap Node 1491</v>
          </cell>
          <cell r="E128">
            <v>2533649.81</v>
          </cell>
          <cell r="F128">
            <v>0</v>
          </cell>
          <cell r="G128"/>
          <cell r="H128"/>
          <cell r="I128">
            <v>2960680.81</v>
          </cell>
        </row>
        <row r="129">
          <cell r="A129" t="str">
            <v>Unamortized Loss on Debt - Gaap Node 1821</v>
          </cell>
          <cell r="B129"/>
          <cell r="C129"/>
          <cell r="D129" t="str">
            <v>Unamortized Loss on Debt - Gaap Node 1821</v>
          </cell>
          <cell r="E129">
            <v>2506917.6500000004</v>
          </cell>
          <cell r="F129">
            <v>0</v>
          </cell>
          <cell r="G129"/>
          <cell r="H129"/>
          <cell r="I129">
            <v>2483322.3700000006</v>
          </cell>
        </row>
        <row r="130">
          <cell r="A130" t="str">
            <v>Amounts due from Customers Income Taxes</v>
          </cell>
          <cell r="B130"/>
          <cell r="C130"/>
          <cell r="D130" t="str">
            <v>Amounts due from Customers Income Taxes</v>
          </cell>
          <cell r="E130">
            <v>-465701</v>
          </cell>
          <cell r="F130">
            <v>0</v>
          </cell>
          <cell r="G130"/>
          <cell r="H130"/>
          <cell r="I130">
            <v>0</v>
          </cell>
        </row>
        <row r="131">
          <cell r="A131" t="str">
            <v>Other Deferred Debits - Regulatory Assets Gaap Node 1861</v>
          </cell>
          <cell r="B131"/>
          <cell r="C131"/>
          <cell r="D131" t="str">
            <v>Other Deferred Debits - Regulatory Assets Gaap Node 1861</v>
          </cell>
          <cell r="E131">
            <v>12498146</v>
          </cell>
          <cell r="F131">
            <v>0</v>
          </cell>
          <cell r="G131"/>
          <cell r="H131"/>
          <cell r="I131">
            <v>12256630</v>
          </cell>
        </row>
        <row r="132">
          <cell r="A132" t="str">
            <v>Regulatory Assets - Pension - Gaap Node1870</v>
          </cell>
          <cell r="B132"/>
          <cell r="C132"/>
          <cell r="D132" t="str">
            <v>Regulatory Assets - Pension - Gaap Node1870</v>
          </cell>
          <cell r="E132">
            <v>37432361.039999999</v>
          </cell>
          <cell r="F132">
            <v>0</v>
          </cell>
          <cell r="G132"/>
          <cell r="H132"/>
          <cell r="I132">
            <v>36852245.039999999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-3467544.4800000004</v>
          </cell>
          <cell r="F134" t="e">
            <v>#REF!</v>
          </cell>
          <cell r="G134"/>
          <cell r="H134"/>
          <cell r="I134">
            <v>-1787859.99</v>
          </cell>
        </row>
        <row r="135">
          <cell r="A135" t="str">
            <v>RegulatoryLiabilities - Pension - Gaap Node 2647</v>
          </cell>
          <cell r="B135"/>
          <cell r="C135"/>
          <cell r="D135" t="str">
            <v>RegulatoryLiabilities - Pension - Gaap Node 2647</v>
          </cell>
          <cell r="E135">
            <v>-3129600.63</v>
          </cell>
          <cell r="F135" t="e">
            <v>#REF!</v>
          </cell>
          <cell r="G135"/>
          <cell r="H135"/>
          <cell r="I135">
            <v>-3081470.63</v>
          </cell>
        </row>
        <row r="136">
          <cell r="A136" t="str">
            <v>Other Deferred Cr - Compensation Liab - Gaap Node 2648</v>
          </cell>
          <cell r="B136"/>
          <cell r="C136"/>
          <cell r="D136" t="str">
            <v>Other Deferred Cr - Compensation Liab - Gaap Node 2648</v>
          </cell>
          <cell r="E136">
            <v>-3340945.54</v>
          </cell>
          <cell r="F136" t="e">
            <v>#REF!</v>
          </cell>
          <cell r="G136"/>
          <cell r="H136"/>
          <cell r="I136">
            <v>-2828600.34</v>
          </cell>
        </row>
        <row r="137">
          <cell r="A137" t="str">
            <v>Regulatory Liabilities - Removal Costs Gaap Node 2652</v>
          </cell>
          <cell r="B137"/>
          <cell r="C137"/>
          <cell r="D137" t="str">
            <v>Regulatory Liabilities - Removal Costs Gaap Node 2652</v>
          </cell>
          <cell r="E137">
            <v>-63276707.529999994</v>
          </cell>
          <cell r="F137">
            <v>0</v>
          </cell>
          <cell r="G137"/>
          <cell r="H137"/>
          <cell r="I137">
            <v>-63569781.689999998</v>
          </cell>
        </row>
        <row r="138">
          <cell r="A138"/>
          <cell r="B138"/>
          <cell r="C138"/>
          <cell r="D138"/>
          <cell r="E138"/>
          <cell r="F138"/>
          <cell r="G138"/>
          <cell r="H138"/>
          <cell r="I138"/>
        </row>
        <row r="139">
          <cell r="A139" t="str">
            <v>Total</v>
          </cell>
          <cell r="B139"/>
          <cell r="C139"/>
          <cell r="D139" t="str">
            <v>Total</v>
          </cell>
          <cell r="E139">
            <v>-18709424.68</v>
          </cell>
          <cell r="F139" t="e">
            <v>#REF!</v>
          </cell>
          <cell r="G139"/>
          <cell r="H139"/>
          <cell r="I139">
            <v>-14847404.810000002</v>
          </cell>
        </row>
        <row r="140">
          <cell r="B140"/>
          <cell r="C140"/>
          <cell r="F140"/>
          <cell r="G140"/>
          <cell r="H140"/>
          <cell r="I140"/>
        </row>
        <row r="141">
          <cell r="B141"/>
          <cell r="C141"/>
          <cell r="E141">
            <v>0</v>
          </cell>
          <cell r="F141"/>
          <cell r="G141"/>
          <cell r="H141"/>
          <cell r="I141">
            <v>-1.4901161193847656E-8</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427031</v>
          </cell>
          <cell r="H145">
            <v>0</v>
          </cell>
          <cell r="I145"/>
        </row>
        <row r="146">
          <cell r="A146" t="str">
            <v>A/R</v>
          </cell>
          <cell r="B146"/>
          <cell r="C146"/>
          <cell r="D146" t="str">
            <v>A/R</v>
          </cell>
          <cell r="F146"/>
          <cell r="G146">
            <v>1867429.62</v>
          </cell>
          <cell r="H146">
            <v>0</v>
          </cell>
          <cell r="I146"/>
        </row>
        <row r="147">
          <cell r="A147" t="str">
            <v>A/P</v>
          </cell>
          <cell r="B147"/>
          <cell r="C147"/>
          <cell r="D147" t="str">
            <v>A/P</v>
          </cell>
          <cell r="F147"/>
          <cell r="G147">
            <v>1384201.0100000002</v>
          </cell>
          <cell r="H147">
            <v>295483.48</v>
          </cell>
          <cell r="I147"/>
        </row>
        <row r="148">
          <cell r="B148"/>
          <cell r="C148"/>
          <cell r="F148"/>
          <cell r="G148"/>
          <cell r="H148"/>
          <cell r="I148"/>
        </row>
        <row r="149">
          <cell r="B149"/>
          <cell r="C149"/>
          <cell r="F149"/>
          <cell r="G149">
            <v>0</v>
          </cell>
          <cell r="H149">
            <v>0</v>
          </cell>
          <cell r="I149"/>
        </row>
        <row r="150">
          <cell r="B150"/>
          <cell r="C150"/>
          <cell r="F150"/>
          <cell r="H150">
            <v>3974145.1100000003</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2">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41333</v>
          </cell>
          <cell r="F6" t="str">
            <v>Adjustment</v>
          </cell>
          <cell r="G6" t="str">
            <v>Deferrals</v>
          </cell>
          <cell r="H6" t="str">
            <v>Amortization</v>
          </cell>
          <cell r="I6">
            <v>41364</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1867429.6199999996</v>
          </cell>
          <cell r="F9">
            <v>0</v>
          </cell>
          <cell r="G9">
            <v>106426.28</v>
          </cell>
          <cell r="H9">
            <v>0</v>
          </cell>
          <cell r="I9">
            <v>1973855.8999999997</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1867429.6199999996</v>
          </cell>
          <cell r="F12">
            <v>0</v>
          </cell>
          <cell r="G12">
            <v>106426.28</v>
          </cell>
          <cell r="H12">
            <v>0</v>
          </cell>
          <cell r="I12">
            <v>1973855.8999999997</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905201.81</v>
          </cell>
          <cell r="F15">
            <v>0</v>
          </cell>
          <cell r="G15">
            <v>-84951</v>
          </cell>
          <cell r="H15">
            <v>0</v>
          </cell>
          <cell r="I15">
            <v>820250.81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2960680.81</v>
          </cell>
          <cell r="F19">
            <v>0</v>
          </cell>
          <cell r="G19">
            <v>-84951</v>
          </cell>
          <cell r="H19">
            <v>0</v>
          </cell>
          <cell r="I19">
            <v>2875729.81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2483322.3700000006</v>
          </cell>
          <cell r="F23">
            <v>0</v>
          </cell>
          <cell r="G23">
            <v>0</v>
          </cell>
          <cell r="H23">
            <v>-23595.279999999999</v>
          </cell>
          <cell r="I23">
            <v>2459727.0900000008</v>
          </cell>
        </row>
        <row r="24">
          <cell r="B24"/>
          <cell r="C24"/>
          <cell r="E24"/>
          <cell r="F24"/>
          <cell r="G24"/>
          <cell r="H24"/>
          <cell r="I24"/>
        </row>
        <row r="25">
          <cell r="B25"/>
          <cell r="C25"/>
          <cell r="E25">
            <v>2483322.3700000006</v>
          </cell>
          <cell r="F25">
            <v>0</v>
          </cell>
          <cell r="G25">
            <v>0</v>
          </cell>
          <cell r="H25">
            <v>-23595.279999999999</v>
          </cell>
          <cell r="I25">
            <v>2459727.0900000008</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247442</v>
          </cell>
          <cell r="F28">
            <v>0</v>
          </cell>
          <cell r="G28">
            <v>29344</v>
          </cell>
          <cell r="H28">
            <v>0</v>
          </cell>
          <cell r="I28">
            <v>276786</v>
          </cell>
        </row>
        <row r="29">
          <cell r="A29" t="str">
            <v>Reg liability - Inc Tax</v>
          </cell>
          <cell r="B29"/>
          <cell r="C29" t="str">
            <v>0254100</v>
          </cell>
          <cell r="D29" t="str">
            <v>Reg liability - Inc Tax</v>
          </cell>
          <cell r="E29">
            <v>-247442</v>
          </cell>
          <cell r="F29">
            <v>0</v>
          </cell>
          <cell r="G29">
            <v>-29344</v>
          </cell>
          <cell r="H29">
            <v>0</v>
          </cell>
          <cell r="I29">
            <v>-276786</v>
          </cell>
        </row>
        <row r="30">
          <cell r="B30"/>
          <cell r="C30"/>
          <cell r="E30"/>
          <cell r="F30"/>
          <cell r="G30"/>
          <cell r="H30"/>
          <cell r="I30"/>
        </row>
        <row r="31">
          <cell r="A31" t="str">
            <v>not cash</v>
          </cell>
          <cell r="B31"/>
          <cell r="C31"/>
          <cell r="D31" t="str">
            <v>not cash</v>
          </cell>
          <cell r="E31">
            <v>0</v>
          </cell>
          <cell r="F31">
            <v>0</v>
          </cell>
          <cell r="G31">
            <v>0</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6543946</v>
          </cell>
          <cell r="F54">
            <v>0</v>
          </cell>
          <cell r="G54">
            <v>-289670</v>
          </cell>
          <cell r="H54">
            <v>0</v>
          </cell>
          <cell r="I54">
            <v>6254276</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50000</v>
          </cell>
          <cell r="H60">
            <v>0</v>
          </cell>
          <cell r="I60">
            <v>850000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12256630</v>
          </cell>
          <cell r="F69">
            <v>0</v>
          </cell>
          <cell r="G69">
            <v>-239670</v>
          </cell>
          <cell r="H69">
            <v>0</v>
          </cell>
          <cell r="I69">
            <v>12016960</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32921384.440000001</v>
          </cell>
          <cell r="F73">
            <v>0</v>
          </cell>
          <cell r="G73">
            <v>-263995</v>
          </cell>
          <cell r="H73">
            <v>0</v>
          </cell>
          <cell r="I73">
            <v>32657389.440000001</v>
          </cell>
        </row>
        <row r="74">
          <cell r="A74" t="str">
            <v>Accrued Pension Post Retire FAS 158     not cash - 0186803</v>
          </cell>
          <cell r="B74"/>
          <cell r="C74" t="str">
            <v>0186803</v>
          </cell>
          <cell r="D74" t="str">
            <v>Accrued Pension Post Retire FAS 158     not cash</v>
          </cell>
          <cell r="E74">
            <v>3857949.55</v>
          </cell>
          <cell r="F74">
            <v>0</v>
          </cell>
          <cell r="G74">
            <v>-25224</v>
          </cell>
          <cell r="H74">
            <v>0</v>
          </cell>
          <cell r="I74">
            <v>3832725.55</v>
          </cell>
        </row>
        <row r="75">
          <cell r="A75" t="str">
            <v>Accrued Pension Post Retire FAS 158     not cash - 0186805</v>
          </cell>
          <cell r="B75"/>
          <cell r="C75" t="str">
            <v>0186805</v>
          </cell>
          <cell r="D75" t="str">
            <v>Accrued Pension Post Retire FAS 158     not cash</v>
          </cell>
          <cell r="E75">
            <v>72911.05</v>
          </cell>
          <cell r="F75">
            <v>0</v>
          </cell>
          <cell r="G75">
            <v>-839</v>
          </cell>
          <cell r="H75">
            <v>0</v>
          </cell>
          <cell r="I75">
            <v>72072.05</v>
          </cell>
        </row>
        <row r="76">
          <cell r="B76"/>
          <cell r="C76"/>
          <cell r="E76"/>
          <cell r="F76"/>
          <cell r="G76"/>
          <cell r="H76"/>
          <cell r="I76"/>
        </row>
        <row r="77">
          <cell r="B77"/>
          <cell r="C77"/>
          <cell r="E77">
            <v>36852245.039999999</v>
          </cell>
          <cell r="F77">
            <v>0</v>
          </cell>
          <cell r="G77">
            <v>-290058</v>
          </cell>
          <cell r="H77">
            <v>0</v>
          </cell>
          <cell r="I77">
            <v>36562187.039999999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56420307.840000004</v>
          </cell>
          <cell r="F83">
            <v>0</v>
          </cell>
          <cell r="G83">
            <v>-508252.72</v>
          </cell>
          <cell r="H83">
            <v>-23595.279999999999</v>
          </cell>
          <cell r="I83">
            <v>55888459.840000004</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2144558.02</v>
          </cell>
          <cell r="F86">
            <v>0</v>
          </cell>
          <cell r="G86">
            <v>-68611.930000000008</v>
          </cell>
          <cell r="H86">
            <v>49780.41</v>
          </cell>
          <cell r="I86">
            <v>2125726.5</v>
          </cell>
        </row>
        <row r="87">
          <cell r="A87" t="str">
            <v xml:space="preserve">Unrecovered Purchased Gas Cost - Unbilled  </v>
          </cell>
          <cell r="B87"/>
          <cell r="C87" t="str">
            <v>0191800</v>
          </cell>
          <cell r="D87" t="str">
            <v xml:space="preserve">Unrecovered Purchased Gas Cost - Unbilled  </v>
          </cell>
          <cell r="E87">
            <v>-3321780</v>
          </cell>
          <cell r="F87">
            <v>0</v>
          </cell>
          <cell r="G87">
            <v>4660</v>
          </cell>
          <cell r="H87">
            <v>0</v>
          </cell>
          <cell r="I87">
            <v>-3317120</v>
          </cell>
        </row>
        <row r="88">
          <cell r="A88" t="str">
            <v xml:space="preserve">Native Deferred MTM Liability    </v>
          </cell>
          <cell r="B88"/>
          <cell r="C88" t="str">
            <v>0242895</v>
          </cell>
          <cell r="D88" t="str">
            <v xml:space="preserve">Native Deferred MTM Liability    </v>
          </cell>
          <cell r="E88">
            <v>-432689</v>
          </cell>
          <cell r="F88">
            <v>0</v>
          </cell>
          <cell r="G88">
            <v>300891</v>
          </cell>
          <cell r="H88">
            <v>0</v>
          </cell>
          <cell r="I88">
            <v>-131798</v>
          </cell>
        </row>
        <row r="89">
          <cell r="A89" t="str">
            <v xml:space="preserve">Ratepayer Sharing Provisions           </v>
          </cell>
          <cell r="B89"/>
          <cell r="C89" t="str">
            <v>0242981</v>
          </cell>
          <cell r="D89" t="str">
            <v xml:space="preserve">Ratepayer Sharing Provisions           </v>
          </cell>
          <cell r="E89">
            <v>-2.9103830456733704E-11</v>
          </cell>
          <cell r="F89">
            <v>0</v>
          </cell>
          <cell r="G89">
            <v>0</v>
          </cell>
          <cell r="H89">
            <v>0</v>
          </cell>
          <cell r="I89">
            <v>-2.9103830456733704E-11</v>
          </cell>
        </row>
        <row r="90">
          <cell r="A90" t="str">
            <v xml:space="preserve">Gas Refunds and Reconciliation Adjustments  </v>
          </cell>
          <cell r="B90"/>
          <cell r="C90" t="str">
            <v>0253130</v>
          </cell>
          <cell r="D90" t="str">
            <v xml:space="preserve">Gas Refunds and Reconciliation Adjustments  </v>
          </cell>
          <cell r="E90">
            <v>-177949.01</v>
          </cell>
          <cell r="F90">
            <v>0</v>
          </cell>
          <cell r="G90">
            <v>0</v>
          </cell>
          <cell r="H90">
            <v>33977.440000000002</v>
          </cell>
          <cell r="I90">
            <v>-143971.57</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0</v>
          </cell>
          <cell r="F93"/>
          <cell r="G93">
            <v>-505414.02</v>
          </cell>
          <cell r="H93">
            <v>0</v>
          </cell>
          <cell r="I93">
            <v>-505414.02</v>
          </cell>
        </row>
        <row r="94">
          <cell r="B94"/>
          <cell r="C94"/>
          <cell r="E94"/>
          <cell r="F94"/>
          <cell r="G94"/>
          <cell r="H94"/>
          <cell r="I94"/>
        </row>
        <row r="95">
          <cell r="B95"/>
          <cell r="C95"/>
          <cell r="D95"/>
          <cell r="E95">
            <v>-1787859.99</v>
          </cell>
          <cell r="F95">
            <v>0</v>
          </cell>
          <cell r="G95">
            <v>-268474.95</v>
          </cell>
          <cell r="H95">
            <v>83757.850000000006</v>
          </cell>
          <cell r="I95">
            <v>-1972577.09</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-3081470.63</v>
          </cell>
          <cell r="F97">
            <v>0</v>
          </cell>
          <cell r="G97">
            <v>24065</v>
          </cell>
          <cell r="H97">
            <v>0</v>
          </cell>
          <cell r="I97">
            <v>-3057405.63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-421306.8</v>
          </cell>
          <cell r="F100">
            <v>0</v>
          </cell>
          <cell r="G100">
            <v>35676</v>
          </cell>
          <cell r="H100">
            <v>0</v>
          </cell>
          <cell r="I100">
            <v>-385630.8</v>
          </cell>
        </row>
        <row r="101">
          <cell r="A101" t="str">
            <v>Deferred DSM Costs - Amort not cash</v>
          </cell>
          <cell r="B101"/>
          <cell r="C101" t="str">
            <v>0254401</v>
          </cell>
          <cell r="D101" t="str">
            <v>Deferred DSM Costs - Amort not cash</v>
          </cell>
          <cell r="E101">
            <v>-2273914</v>
          </cell>
          <cell r="F101">
            <v>0</v>
          </cell>
          <cell r="G101">
            <v>795397</v>
          </cell>
          <cell r="H101">
            <v>0</v>
          </cell>
          <cell r="I101">
            <v>-1478517</v>
          </cell>
        </row>
        <row r="102">
          <cell r="A102" t="str">
            <v>Reg Liab - Native EA Swaps       not cash</v>
          </cell>
          <cell r="B102"/>
          <cell r="C102" t="str">
            <v>0254210</v>
          </cell>
          <cell r="D102" t="str">
            <v>Reg Liab - Native EA Swaps       not cash</v>
          </cell>
          <cell r="E102">
            <v>-133379.54</v>
          </cell>
          <cell r="F102">
            <v>0</v>
          </cell>
          <cell r="G102">
            <v>25322.12</v>
          </cell>
          <cell r="H102">
            <v>0</v>
          </cell>
          <cell r="I102">
            <v>-108057.42000000001</v>
          </cell>
        </row>
        <row r="103">
          <cell r="B103"/>
          <cell r="C103"/>
          <cell r="D103"/>
          <cell r="E103"/>
          <cell r="F103"/>
          <cell r="G103"/>
          <cell r="H103"/>
          <cell r="I103"/>
        </row>
        <row r="104">
          <cell r="B104"/>
          <cell r="C104"/>
          <cell r="E104">
            <v>-2828600.34</v>
          </cell>
          <cell r="F104">
            <v>0</v>
          </cell>
          <cell r="G104">
            <v>856395.12</v>
          </cell>
          <cell r="H104">
            <v>0</v>
          </cell>
          <cell r="I104">
            <v>-1972205.22</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-15885744.090000002</v>
          </cell>
          <cell r="F106">
            <v>0</v>
          </cell>
          <cell r="G106">
            <v>-47897.47</v>
          </cell>
          <cell r="H106">
            <v>0</v>
          </cell>
          <cell r="I106">
            <v>-15933641.560000002</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-44044999.659999996</v>
          </cell>
          <cell r="F107">
            <v>0</v>
          </cell>
          <cell r="G107">
            <v>-341704.87</v>
          </cell>
          <cell r="H107">
            <v>0</v>
          </cell>
          <cell r="I107">
            <v>-44386704.529999994</v>
          </cell>
        </row>
        <row r="108">
          <cell r="A108" t="str">
            <v>Retirement Work in Progress - not cash</v>
          </cell>
          <cell r="B108"/>
          <cell r="C108" t="str">
            <v>0108620</v>
          </cell>
          <cell r="D108" t="str">
            <v>Retirement Work in Progress - not cash</v>
          </cell>
          <cell r="E108">
            <v>-7939577.2200000007</v>
          </cell>
          <cell r="F108">
            <v>0</v>
          </cell>
          <cell r="G108">
            <v>281204.99</v>
          </cell>
          <cell r="H108">
            <v>0</v>
          </cell>
          <cell r="I108">
            <v>-7658372.2300000004</v>
          </cell>
        </row>
        <row r="109">
          <cell r="A109" t="str">
            <v>ARO other regulatory assets - not cash</v>
          </cell>
          <cell r="B109"/>
          <cell r="C109" t="str">
            <v>0182402</v>
          </cell>
          <cell r="D109" t="str">
            <v>ARO other regulatory assets - not cash</v>
          </cell>
          <cell r="E109">
            <v>709181.25</v>
          </cell>
          <cell r="F109">
            <v>0</v>
          </cell>
          <cell r="G109">
            <v>4223.41</v>
          </cell>
          <cell r="H109">
            <v>0</v>
          </cell>
          <cell r="I109">
            <v>713404.66</v>
          </cell>
        </row>
        <row r="110">
          <cell r="A110" t="str">
            <v>Gas ARO other regulatory assets - not cash</v>
          </cell>
          <cell r="B110"/>
          <cell r="C110" t="str">
            <v>0182403</v>
          </cell>
          <cell r="D110" t="str">
            <v>Gas ARO other regulatory assets - not cash</v>
          </cell>
          <cell r="E110">
            <v>3593822.1</v>
          </cell>
          <cell r="F110">
            <v>0</v>
          </cell>
          <cell r="G110">
            <v>21130.49</v>
          </cell>
          <cell r="H110">
            <v>0</v>
          </cell>
          <cell r="I110">
            <v>3614952.5900000003</v>
          </cell>
        </row>
        <row r="111">
          <cell r="A111" t="str">
            <v>Common Accumulated Provision for Depreciation COR - not cash</v>
          </cell>
          <cell r="B111"/>
          <cell r="C111" t="str">
            <v>0108151</v>
          </cell>
          <cell r="D111" t="str">
            <v>Common Accumulated Provision for Depreciation COR - not cash</v>
          </cell>
          <cell r="E111">
            <v>-2464.0700000000006</v>
          </cell>
          <cell r="F111">
            <v>0</v>
          </cell>
          <cell r="G111">
            <v>-6502.63</v>
          </cell>
          <cell r="H111">
            <v>0</v>
          </cell>
          <cell r="I111">
            <v>-8966.7000000000007</v>
          </cell>
        </row>
        <row r="112">
          <cell r="B112"/>
          <cell r="C112"/>
          <cell r="E112"/>
          <cell r="F112"/>
          <cell r="G112"/>
          <cell r="H112"/>
          <cell r="I112"/>
        </row>
        <row r="113">
          <cell r="B113"/>
          <cell r="C113"/>
          <cell r="E113">
            <v>-63569781.689999998</v>
          </cell>
          <cell r="F113">
            <v>0</v>
          </cell>
          <cell r="G113">
            <v>-89546.079999999973</v>
          </cell>
          <cell r="H113">
            <v>0</v>
          </cell>
          <cell r="I113">
            <v>-63659327.769999996</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-71267712.649999991</v>
          </cell>
          <cell r="F115">
            <v>0</v>
          </cell>
          <cell r="G115">
            <v>522439.08999999997</v>
          </cell>
          <cell r="H115">
            <v>83757.850000000006</v>
          </cell>
          <cell r="I115">
            <v>-70661515.709999993</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-14847404.809999987</v>
          </cell>
          <cell r="F117">
            <v>0</v>
          </cell>
          <cell r="G117">
            <v>14186.369999999995</v>
          </cell>
          <cell r="H117">
            <v>60162.570000000007</v>
          </cell>
          <cell r="I117">
            <v>-14773055.86999999</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-211186.04000000004</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-196999.67000000004</v>
          </cell>
          <cell r="H121">
            <v>83757.850000000006</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-113241.82000000004</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1867429.6199999996</v>
          </cell>
          <cell r="F127">
            <v>0</v>
          </cell>
          <cell r="G127"/>
          <cell r="H127"/>
          <cell r="I127">
            <v>1973855.8999999997</v>
          </cell>
        </row>
        <row r="128">
          <cell r="A128" t="str">
            <v>Other Current Assets - Reg Gaap Node 1491</v>
          </cell>
          <cell r="B128"/>
          <cell r="C128"/>
          <cell r="D128" t="str">
            <v>Other Current Assets - Reg Gaap Node 1491</v>
          </cell>
          <cell r="E128">
            <v>2960680.81</v>
          </cell>
          <cell r="F128">
            <v>0</v>
          </cell>
          <cell r="G128"/>
          <cell r="H128"/>
          <cell r="I128">
            <v>2875729.81</v>
          </cell>
        </row>
        <row r="129">
          <cell r="A129" t="str">
            <v>Unamortized Loss on Debt - Gaap Node 1821</v>
          </cell>
          <cell r="B129"/>
          <cell r="C129"/>
          <cell r="D129" t="str">
            <v>Unamortized Loss on Debt - Gaap Node 1821</v>
          </cell>
          <cell r="E129">
            <v>2483322.3700000006</v>
          </cell>
          <cell r="F129">
            <v>0</v>
          </cell>
          <cell r="G129"/>
          <cell r="H129"/>
          <cell r="I129">
            <v>2459727.0900000008</v>
          </cell>
        </row>
        <row r="130">
          <cell r="A130" t="str">
            <v>Amounts due from Customers Income Taxes</v>
          </cell>
          <cell r="B130"/>
          <cell r="C130"/>
          <cell r="D130" t="str">
            <v>Amounts due from Customers Income Taxes</v>
          </cell>
          <cell r="E130">
            <v>0</v>
          </cell>
          <cell r="F130">
            <v>0</v>
          </cell>
          <cell r="G130"/>
          <cell r="H130"/>
          <cell r="I130">
            <v>0</v>
          </cell>
        </row>
        <row r="131">
          <cell r="A131" t="str">
            <v>Other Deferred Debits - Regulatory Assets Gaap Node 1861</v>
          </cell>
          <cell r="B131"/>
          <cell r="C131"/>
          <cell r="D131" t="str">
            <v>Other Deferred Debits - Regulatory Assets Gaap Node 1861</v>
          </cell>
          <cell r="E131">
            <v>12256630</v>
          </cell>
          <cell r="F131">
            <v>0</v>
          </cell>
          <cell r="G131"/>
          <cell r="H131"/>
          <cell r="I131">
            <v>12016960</v>
          </cell>
        </row>
        <row r="132">
          <cell r="A132" t="str">
            <v>Regulatory Assets - Pension - Gaap Node1870</v>
          </cell>
          <cell r="B132"/>
          <cell r="C132"/>
          <cell r="D132" t="str">
            <v>Regulatory Assets - Pension - Gaap Node1870</v>
          </cell>
          <cell r="E132">
            <v>36852245.039999999</v>
          </cell>
          <cell r="F132">
            <v>0</v>
          </cell>
          <cell r="G132"/>
          <cell r="H132"/>
          <cell r="I132">
            <v>36562187.039999999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-1787859.99</v>
          </cell>
          <cell r="F134" t="e">
            <v>#REF!</v>
          </cell>
          <cell r="G134"/>
          <cell r="H134"/>
          <cell r="I134">
            <v>-1972577.09</v>
          </cell>
        </row>
        <row r="135">
          <cell r="A135" t="str">
            <v>RegulatoryLiabilities - Pension - Gaap Node 2647</v>
          </cell>
          <cell r="B135"/>
          <cell r="C135"/>
          <cell r="D135" t="str">
            <v>RegulatoryLiabilities - Pension - Gaap Node 2647</v>
          </cell>
          <cell r="E135">
            <v>-3081470.63</v>
          </cell>
          <cell r="F135" t="e">
            <v>#REF!</v>
          </cell>
          <cell r="G135"/>
          <cell r="H135"/>
          <cell r="I135">
            <v>-3057405.63</v>
          </cell>
        </row>
        <row r="136">
          <cell r="A136" t="str">
            <v>Other Deferred Cr - Compensation Liab - Gaap Node 2648</v>
          </cell>
          <cell r="B136"/>
          <cell r="C136"/>
          <cell r="D136" t="str">
            <v>Other Deferred Cr - Compensation Liab - Gaap Node 2648</v>
          </cell>
          <cell r="E136">
            <v>-2828600.34</v>
          </cell>
          <cell r="F136" t="e">
            <v>#REF!</v>
          </cell>
          <cell r="G136"/>
          <cell r="H136"/>
          <cell r="I136">
            <v>-1972205.22</v>
          </cell>
        </row>
        <row r="137">
          <cell r="A137" t="str">
            <v>Regulatory Liabilities - Removal Costs Gaap Node 2652</v>
          </cell>
          <cell r="B137"/>
          <cell r="C137"/>
          <cell r="D137" t="str">
            <v>Regulatory Liabilities - Removal Costs Gaap Node 2652</v>
          </cell>
          <cell r="E137">
            <v>-63569781.689999998</v>
          </cell>
          <cell r="F137">
            <v>0</v>
          </cell>
          <cell r="G137"/>
          <cell r="H137"/>
          <cell r="I137">
            <v>-63659327.769999996</v>
          </cell>
        </row>
        <row r="138">
          <cell r="A138"/>
          <cell r="B138"/>
          <cell r="C138"/>
          <cell r="D138"/>
          <cell r="E138"/>
          <cell r="F138"/>
          <cell r="G138"/>
          <cell r="H138"/>
          <cell r="I138"/>
        </row>
        <row r="139">
          <cell r="A139" t="str">
            <v>Total</v>
          </cell>
          <cell r="B139"/>
          <cell r="C139"/>
          <cell r="D139" t="str">
            <v>Total</v>
          </cell>
          <cell r="E139">
            <v>-14847404.810000002</v>
          </cell>
          <cell r="F139" t="e">
            <v>#REF!</v>
          </cell>
          <cell r="G139"/>
          <cell r="H139"/>
          <cell r="I139">
            <v>-14773055.869999997</v>
          </cell>
        </row>
        <row r="140">
          <cell r="B140"/>
          <cell r="C140"/>
          <cell r="F140"/>
          <cell r="G140"/>
          <cell r="H140"/>
          <cell r="I140"/>
        </row>
        <row r="141">
          <cell r="B141"/>
          <cell r="C141"/>
          <cell r="E141">
            <v>-1.4901161193847656E-8</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-34951</v>
          </cell>
          <cell r="H145">
            <v>0</v>
          </cell>
          <cell r="I145"/>
        </row>
        <row r="146">
          <cell r="A146" t="str">
            <v>A/R</v>
          </cell>
          <cell r="B146"/>
          <cell r="C146"/>
          <cell r="D146" t="str">
            <v>A/R</v>
          </cell>
          <cell r="F146"/>
          <cell r="G146">
            <v>106426.28</v>
          </cell>
          <cell r="H146">
            <v>0</v>
          </cell>
          <cell r="I146"/>
        </row>
        <row r="147">
          <cell r="A147" t="str">
            <v>A/P</v>
          </cell>
          <cell r="B147"/>
          <cell r="C147"/>
          <cell r="D147" t="str">
            <v>A/P</v>
          </cell>
          <cell r="F147"/>
          <cell r="G147">
            <v>-268474.95</v>
          </cell>
          <cell r="H147">
            <v>83757.850000000006</v>
          </cell>
          <cell r="I147"/>
        </row>
        <row r="148">
          <cell r="B148"/>
          <cell r="C148"/>
          <cell r="F148"/>
          <cell r="G148"/>
          <cell r="H148"/>
          <cell r="I148"/>
        </row>
        <row r="149">
          <cell r="B149"/>
          <cell r="C149"/>
          <cell r="F149"/>
          <cell r="G149">
            <v>0</v>
          </cell>
          <cell r="H149">
            <v>0</v>
          </cell>
          <cell r="I149"/>
        </row>
        <row r="150">
          <cell r="B150"/>
          <cell r="C150"/>
          <cell r="F150"/>
          <cell r="H150">
            <v>-113241.82</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3"/>
      <sheetData sheetId="4">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41364</v>
          </cell>
          <cell r="F6" t="str">
            <v>Adjustment</v>
          </cell>
          <cell r="G6" t="str">
            <v>Deferrals</v>
          </cell>
          <cell r="H6" t="str">
            <v>Amortization</v>
          </cell>
          <cell r="I6">
            <v>41394</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1973855.8999999997</v>
          </cell>
          <cell r="F9">
            <v>0</v>
          </cell>
          <cell r="G9">
            <v>451124.62</v>
          </cell>
          <cell r="H9">
            <v>0</v>
          </cell>
          <cell r="I9">
            <v>2424980.5199999996</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1973855.8999999997</v>
          </cell>
          <cell r="F12">
            <v>0</v>
          </cell>
          <cell r="G12">
            <v>451124.62</v>
          </cell>
          <cell r="H12">
            <v>0</v>
          </cell>
          <cell r="I12">
            <v>2424980.5199999996</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820250.81</v>
          </cell>
          <cell r="F15">
            <v>0</v>
          </cell>
          <cell r="G15">
            <v>-68715</v>
          </cell>
          <cell r="H15">
            <v>0</v>
          </cell>
          <cell r="I15">
            <v>751535.81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2875729.81</v>
          </cell>
          <cell r="F19">
            <v>0</v>
          </cell>
          <cell r="G19">
            <v>-68715</v>
          </cell>
          <cell r="H19">
            <v>0</v>
          </cell>
          <cell r="I19">
            <v>2807014.81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2459727.0900000008</v>
          </cell>
          <cell r="F23">
            <v>0</v>
          </cell>
          <cell r="G23">
            <v>0</v>
          </cell>
          <cell r="H23">
            <v>-23595.279999999999</v>
          </cell>
          <cell r="I23">
            <v>2436131.810000001</v>
          </cell>
        </row>
        <row r="24">
          <cell r="B24"/>
          <cell r="C24"/>
          <cell r="E24"/>
          <cell r="F24"/>
          <cell r="G24"/>
          <cell r="H24"/>
          <cell r="I24"/>
        </row>
        <row r="25">
          <cell r="B25"/>
          <cell r="C25"/>
          <cell r="E25">
            <v>2459727.0900000008</v>
          </cell>
          <cell r="F25">
            <v>0</v>
          </cell>
          <cell r="G25">
            <v>0</v>
          </cell>
          <cell r="H25">
            <v>-23595.279999999999</v>
          </cell>
          <cell r="I25">
            <v>2436131.810000001</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276786</v>
          </cell>
          <cell r="F28">
            <v>0</v>
          </cell>
          <cell r="G28">
            <v>29346</v>
          </cell>
          <cell r="H28">
            <v>0</v>
          </cell>
          <cell r="I28">
            <v>306132</v>
          </cell>
        </row>
        <row r="29">
          <cell r="A29" t="str">
            <v>Reg liability - Inc Tax</v>
          </cell>
          <cell r="B29"/>
          <cell r="C29" t="str">
            <v>0254100</v>
          </cell>
          <cell r="D29" t="str">
            <v>Reg liability - Inc Tax</v>
          </cell>
          <cell r="E29">
            <v>-276786</v>
          </cell>
          <cell r="F29">
            <v>0</v>
          </cell>
          <cell r="G29">
            <v>-29346</v>
          </cell>
          <cell r="H29">
            <v>0</v>
          </cell>
          <cell r="I29">
            <v>-306132</v>
          </cell>
        </row>
        <row r="30">
          <cell r="B30"/>
          <cell r="C30"/>
          <cell r="E30"/>
          <cell r="F30"/>
          <cell r="G30"/>
          <cell r="H30"/>
          <cell r="I30"/>
        </row>
        <row r="31">
          <cell r="A31" t="str">
            <v>not cash</v>
          </cell>
          <cell r="B31"/>
          <cell r="C31"/>
          <cell r="D31" t="str">
            <v>not cash</v>
          </cell>
          <cell r="E31">
            <v>0</v>
          </cell>
          <cell r="F31">
            <v>0</v>
          </cell>
          <cell r="G31">
            <v>0</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6254276</v>
          </cell>
          <cell r="F54">
            <v>0</v>
          </cell>
          <cell r="G54">
            <v>375211</v>
          </cell>
          <cell r="H54">
            <v>0</v>
          </cell>
          <cell r="I54">
            <v>6629487</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850000</v>
          </cell>
          <cell r="F60">
            <v>0</v>
          </cell>
          <cell r="G60">
            <v>0</v>
          </cell>
          <cell r="H60">
            <v>0</v>
          </cell>
          <cell r="I60">
            <v>850000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12016960</v>
          </cell>
          <cell r="F69">
            <v>0</v>
          </cell>
          <cell r="G69">
            <v>375211</v>
          </cell>
          <cell r="H69">
            <v>0</v>
          </cell>
          <cell r="I69">
            <v>12392171</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32657389.440000001</v>
          </cell>
          <cell r="F73">
            <v>0</v>
          </cell>
          <cell r="G73">
            <v>-263995</v>
          </cell>
          <cell r="H73">
            <v>0</v>
          </cell>
          <cell r="I73">
            <v>32393394.440000001</v>
          </cell>
        </row>
        <row r="74">
          <cell r="A74" t="str">
            <v>Accrued Pension Post Retire FAS 158     not cash - 0186803</v>
          </cell>
          <cell r="B74"/>
          <cell r="C74" t="str">
            <v>0186803</v>
          </cell>
          <cell r="D74" t="str">
            <v>Accrued Pension Post Retire FAS 158     not cash</v>
          </cell>
          <cell r="E74">
            <v>3832725.55</v>
          </cell>
          <cell r="F74">
            <v>0</v>
          </cell>
          <cell r="G74">
            <v>-25224</v>
          </cell>
          <cell r="H74">
            <v>0</v>
          </cell>
          <cell r="I74">
            <v>3807501.55</v>
          </cell>
        </row>
        <row r="75">
          <cell r="A75" t="str">
            <v>Accrued Pension Post Retire FAS 158     not cash - 0186805</v>
          </cell>
          <cell r="B75"/>
          <cell r="C75" t="str">
            <v>0186805</v>
          </cell>
          <cell r="D75" t="str">
            <v>Accrued Pension Post Retire FAS 158     not cash</v>
          </cell>
          <cell r="E75">
            <v>72072.05</v>
          </cell>
          <cell r="F75">
            <v>0</v>
          </cell>
          <cell r="G75">
            <v>-839</v>
          </cell>
          <cell r="H75">
            <v>0</v>
          </cell>
          <cell r="I75">
            <v>71233.05</v>
          </cell>
        </row>
        <row r="76">
          <cell r="B76"/>
          <cell r="C76"/>
          <cell r="E76"/>
          <cell r="F76"/>
          <cell r="G76"/>
          <cell r="H76"/>
          <cell r="I76"/>
        </row>
        <row r="77">
          <cell r="B77"/>
          <cell r="C77"/>
          <cell r="E77">
            <v>36562187.039999999</v>
          </cell>
          <cell r="F77">
            <v>0</v>
          </cell>
          <cell r="G77">
            <v>-290058</v>
          </cell>
          <cell r="H77">
            <v>0</v>
          </cell>
          <cell r="I77">
            <v>36272129.039999999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55888459.840000004</v>
          </cell>
          <cell r="F83">
            <v>0</v>
          </cell>
          <cell r="G83">
            <v>467562.62</v>
          </cell>
          <cell r="H83">
            <v>-23595.279999999999</v>
          </cell>
          <cell r="I83">
            <v>56332427.18</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2125726.5</v>
          </cell>
          <cell r="F86">
            <v>0</v>
          </cell>
          <cell r="G86">
            <v>-2256754.2599999998</v>
          </cell>
          <cell r="H86">
            <v>33464.36</v>
          </cell>
          <cell r="I86">
            <v>-97563.399999999776</v>
          </cell>
        </row>
        <row r="87">
          <cell r="A87" t="str">
            <v xml:space="preserve">Unrecovered Purchased Gas Cost - Unbilled  </v>
          </cell>
          <cell r="B87"/>
          <cell r="C87" t="str">
            <v>0191800</v>
          </cell>
          <cell r="D87" t="str">
            <v xml:space="preserve">Unrecovered Purchased Gas Cost - Unbilled  </v>
          </cell>
          <cell r="E87">
            <v>-3317120</v>
          </cell>
          <cell r="F87">
            <v>0</v>
          </cell>
          <cell r="G87">
            <v>2009320</v>
          </cell>
          <cell r="H87">
            <v>0</v>
          </cell>
          <cell r="I87">
            <v>-1307800</v>
          </cell>
        </row>
        <row r="88">
          <cell r="A88" t="str">
            <v xml:space="preserve">Native Deferred MTM Liability    </v>
          </cell>
          <cell r="B88"/>
          <cell r="C88" t="str">
            <v>0242895</v>
          </cell>
          <cell r="D88" t="str">
            <v xml:space="preserve">Native Deferred MTM Liability    </v>
          </cell>
          <cell r="E88">
            <v>-131798</v>
          </cell>
          <cell r="F88">
            <v>0</v>
          </cell>
          <cell r="G88">
            <v>0</v>
          </cell>
          <cell r="H88">
            <v>0</v>
          </cell>
          <cell r="I88">
            <v>-131798</v>
          </cell>
        </row>
        <row r="89">
          <cell r="A89" t="str">
            <v xml:space="preserve">Ratepayer Sharing Provisions           </v>
          </cell>
          <cell r="B89"/>
          <cell r="C89" t="str">
            <v>0242981</v>
          </cell>
          <cell r="D89" t="str">
            <v xml:space="preserve">Ratepayer Sharing Provisions           </v>
          </cell>
          <cell r="E89">
            <v>-2.9103830456733704E-11</v>
          </cell>
          <cell r="F89">
            <v>0</v>
          </cell>
          <cell r="G89">
            <v>-141362.99</v>
          </cell>
          <cell r="H89">
            <v>0</v>
          </cell>
          <cell r="I89">
            <v>-141362.99000000002</v>
          </cell>
        </row>
        <row r="90">
          <cell r="A90" t="str">
            <v xml:space="preserve">Gas Refunds and Reconciliation Adjustments  </v>
          </cell>
          <cell r="B90"/>
          <cell r="C90" t="str">
            <v>0253130</v>
          </cell>
          <cell r="D90" t="str">
            <v xml:space="preserve">Gas Refunds and Reconciliation Adjustments  </v>
          </cell>
          <cell r="E90">
            <v>-143971.57</v>
          </cell>
          <cell r="F90">
            <v>0</v>
          </cell>
          <cell r="G90">
            <v>-0.25999999999839929</v>
          </cell>
          <cell r="H90">
            <v>22496.37</v>
          </cell>
          <cell r="I90">
            <v>-121475.46000000002</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-505414.02</v>
          </cell>
          <cell r="F93"/>
          <cell r="G93">
            <v>505414.02</v>
          </cell>
          <cell r="H93">
            <v>0</v>
          </cell>
          <cell r="I93">
            <v>0</v>
          </cell>
        </row>
        <row r="94">
          <cell r="B94"/>
          <cell r="C94"/>
          <cell r="E94"/>
          <cell r="F94"/>
          <cell r="G94"/>
          <cell r="H94"/>
          <cell r="I94"/>
        </row>
        <row r="95">
          <cell r="B95"/>
          <cell r="C95"/>
          <cell r="D95"/>
          <cell r="E95">
            <v>-1972577.09</v>
          </cell>
          <cell r="F95">
            <v>0</v>
          </cell>
          <cell r="G95">
            <v>116616.51000000024</v>
          </cell>
          <cell r="H95">
            <v>55960.729999999996</v>
          </cell>
          <cell r="I95">
            <v>-1799999.8499999996</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-3057405.63</v>
          </cell>
          <cell r="F97">
            <v>0</v>
          </cell>
          <cell r="G97">
            <v>24065</v>
          </cell>
          <cell r="H97">
            <v>0</v>
          </cell>
          <cell r="I97">
            <v>-3033340.63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-385630.8</v>
          </cell>
          <cell r="F100">
            <v>0</v>
          </cell>
          <cell r="G100">
            <v>35679</v>
          </cell>
          <cell r="H100">
            <v>0</v>
          </cell>
          <cell r="I100">
            <v>-349951.8</v>
          </cell>
        </row>
        <row r="101">
          <cell r="A101" t="str">
            <v>Deferred DSM Costs - Amort not cash</v>
          </cell>
          <cell r="B101"/>
          <cell r="C101" t="str">
            <v>0254401</v>
          </cell>
          <cell r="D101" t="str">
            <v>Deferred DSM Costs - Amort not cash</v>
          </cell>
          <cell r="E101">
            <v>-1478517</v>
          </cell>
          <cell r="F101">
            <v>0</v>
          </cell>
          <cell r="G101">
            <v>699244</v>
          </cell>
          <cell r="H101">
            <v>0</v>
          </cell>
          <cell r="I101">
            <v>-779273</v>
          </cell>
        </row>
        <row r="102">
          <cell r="A102" t="str">
            <v>Reg Liab - Native EA Swaps       not cash</v>
          </cell>
          <cell r="B102"/>
          <cell r="C102" t="str">
            <v>0254210</v>
          </cell>
          <cell r="D102" t="str">
            <v>Reg Liab - Native EA Swaps       not cash</v>
          </cell>
          <cell r="E102">
            <v>-108057.42000000001</v>
          </cell>
          <cell r="F102">
            <v>0</v>
          </cell>
          <cell r="G102">
            <v>7049.95</v>
          </cell>
          <cell r="H102">
            <v>0</v>
          </cell>
          <cell r="I102">
            <v>-101007.47000000002</v>
          </cell>
        </row>
        <row r="103">
          <cell r="B103"/>
          <cell r="C103"/>
          <cell r="D103"/>
          <cell r="E103"/>
          <cell r="F103"/>
          <cell r="G103"/>
          <cell r="H103"/>
          <cell r="I103"/>
        </row>
        <row r="104">
          <cell r="B104"/>
          <cell r="C104"/>
          <cell r="E104">
            <v>-1972205.22</v>
          </cell>
          <cell r="F104">
            <v>0</v>
          </cell>
          <cell r="G104">
            <v>741972.95</v>
          </cell>
          <cell r="H104">
            <v>0</v>
          </cell>
          <cell r="I104">
            <v>-1230232.27</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-15933641.560000002</v>
          </cell>
          <cell r="F106">
            <v>0</v>
          </cell>
          <cell r="G106">
            <v>-38680.06</v>
          </cell>
          <cell r="H106">
            <v>0</v>
          </cell>
          <cell r="I106">
            <v>-15972321.620000003</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-44386704.529999994</v>
          </cell>
          <cell r="F107">
            <v>0</v>
          </cell>
          <cell r="G107">
            <v>-278822.34000000003</v>
          </cell>
          <cell r="H107">
            <v>0</v>
          </cell>
          <cell r="I107">
            <v>-44665526.869999997</v>
          </cell>
        </row>
        <row r="108">
          <cell r="A108" t="str">
            <v>Retirement Work in Progress - not cash</v>
          </cell>
          <cell r="B108"/>
          <cell r="C108" t="str">
            <v>0108620</v>
          </cell>
          <cell r="D108" t="str">
            <v>Retirement Work in Progress - not cash</v>
          </cell>
          <cell r="E108">
            <v>-7658372.2300000004</v>
          </cell>
          <cell r="F108">
            <v>0</v>
          </cell>
          <cell r="G108">
            <v>94424.18</v>
          </cell>
          <cell r="H108">
            <v>0</v>
          </cell>
          <cell r="I108">
            <v>-7563948.0500000007</v>
          </cell>
        </row>
        <row r="109">
          <cell r="A109" t="str">
            <v>ARO other regulatory assets - not cash</v>
          </cell>
          <cell r="B109"/>
          <cell r="C109" t="str">
            <v>0182402</v>
          </cell>
          <cell r="D109" t="str">
            <v>ARO other regulatory assets - not cash</v>
          </cell>
          <cell r="E109">
            <v>713404.66</v>
          </cell>
          <cell r="F109">
            <v>0</v>
          </cell>
          <cell r="G109">
            <v>4227.9399999999996</v>
          </cell>
          <cell r="H109">
            <v>0</v>
          </cell>
          <cell r="I109">
            <v>717632.6</v>
          </cell>
        </row>
        <row r="110">
          <cell r="A110" t="str">
            <v>Gas ARO other regulatory assets - not cash</v>
          </cell>
          <cell r="B110"/>
          <cell r="C110" t="str">
            <v>0182403</v>
          </cell>
          <cell r="D110" t="str">
            <v>Gas ARO other regulatory assets - not cash</v>
          </cell>
          <cell r="E110">
            <v>3614952.5900000003</v>
          </cell>
          <cell r="F110">
            <v>0</v>
          </cell>
          <cell r="G110">
            <v>21228.39</v>
          </cell>
          <cell r="H110">
            <v>0</v>
          </cell>
          <cell r="I110">
            <v>3636180.9800000004</v>
          </cell>
        </row>
        <row r="111">
          <cell r="A111" t="str">
            <v>Common Accumulated Provision for Depreciation COR - not cash</v>
          </cell>
          <cell r="B111"/>
          <cell r="C111" t="str">
            <v>0108151</v>
          </cell>
          <cell r="D111" t="str">
            <v>Common Accumulated Provision for Depreciation COR - not cash</v>
          </cell>
          <cell r="E111">
            <v>-8966.7000000000007</v>
          </cell>
          <cell r="F111">
            <v>0</v>
          </cell>
          <cell r="G111">
            <v>-6502.63</v>
          </cell>
          <cell r="H111">
            <v>0</v>
          </cell>
          <cell r="I111">
            <v>-15469.330000000002</v>
          </cell>
        </row>
        <row r="112">
          <cell r="B112"/>
          <cell r="C112"/>
          <cell r="E112"/>
          <cell r="F112"/>
          <cell r="G112"/>
          <cell r="H112"/>
          <cell r="I112"/>
        </row>
        <row r="113">
          <cell r="B113"/>
          <cell r="C113"/>
          <cell r="E113">
            <v>-63659327.769999996</v>
          </cell>
          <cell r="F113">
            <v>0</v>
          </cell>
          <cell r="G113">
            <v>-204124.52000000002</v>
          </cell>
          <cell r="H113">
            <v>0</v>
          </cell>
          <cell r="I113">
            <v>-63863452.290000007</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-70661515.709999993</v>
          </cell>
          <cell r="F115">
            <v>0</v>
          </cell>
          <cell r="G115">
            <v>678529.94000000018</v>
          </cell>
          <cell r="H115">
            <v>55960.729999999996</v>
          </cell>
          <cell r="I115">
            <v>-69927025.040000007</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-14773055.86999999</v>
          </cell>
          <cell r="F117">
            <v>0</v>
          </cell>
          <cell r="G117">
            <v>1146092.56</v>
          </cell>
          <cell r="H117">
            <v>32365.449999999997</v>
          </cell>
          <cell r="I117">
            <v>-13594597.860000007</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-647066.42999999993</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499026.13000000012</v>
          </cell>
          <cell r="H121">
            <v>55960.729999999996</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554986.8600000001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1973855.8999999997</v>
          </cell>
          <cell r="F127">
            <v>0</v>
          </cell>
          <cell r="G127"/>
          <cell r="H127"/>
          <cell r="I127">
            <v>2424980.5199999996</v>
          </cell>
        </row>
        <row r="128">
          <cell r="A128" t="str">
            <v>Other Current Assets - Reg Gaap Node 1491</v>
          </cell>
          <cell r="B128"/>
          <cell r="C128"/>
          <cell r="D128" t="str">
            <v>Other Current Assets - Reg Gaap Node 1491</v>
          </cell>
          <cell r="E128">
            <v>2875729.81</v>
          </cell>
          <cell r="F128">
            <v>0</v>
          </cell>
          <cell r="G128"/>
          <cell r="H128"/>
          <cell r="I128">
            <v>2807014.81</v>
          </cell>
        </row>
        <row r="129">
          <cell r="A129" t="str">
            <v>Unamortized Loss on Debt - Gaap Node 1821</v>
          </cell>
          <cell r="B129"/>
          <cell r="C129"/>
          <cell r="D129" t="str">
            <v>Unamortized Loss on Debt - Gaap Node 1821</v>
          </cell>
          <cell r="E129">
            <v>2459727.0900000008</v>
          </cell>
          <cell r="F129">
            <v>0</v>
          </cell>
          <cell r="G129"/>
          <cell r="H129"/>
          <cell r="I129">
            <v>2436131.810000001</v>
          </cell>
        </row>
        <row r="130">
          <cell r="A130" t="str">
            <v>Amounts due from Customers Income Taxes</v>
          </cell>
          <cell r="B130"/>
          <cell r="C130"/>
          <cell r="D130" t="str">
            <v>Amounts due from Customers Income Taxes</v>
          </cell>
          <cell r="E130">
            <v>0</v>
          </cell>
          <cell r="F130">
            <v>0</v>
          </cell>
          <cell r="G130"/>
          <cell r="H130"/>
          <cell r="I130">
            <v>0</v>
          </cell>
        </row>
        <row r="131">
          <cell r="A131" t="str">
            <v>Other Deferred Debits - Regulatory Assets Gaap Node 1861</v>
          </cell>
          <cell r="B131"/>
          <cell r="C131"/>
          <cell r="D131" t="str">
            <v>Other Deferred Debits - Regulatory Assets Gaap Node 1861</v>
          </cell>
          <cell r="E131">
            <v>12016960</v>
          </cell>
          <cell r="F131">
            <v>0</v>
          </cell>
          <cell r="G131"/>
          <cell r="H131"/>
          <cell r="I131">
            <v>12392171</v>
          </cell>
        </row>
        <row r="132">
          <cell r="A132" t="str">
            <v>Regulatory Assets - Pension - Gaap Node1870</v>
          </cell>
          <cell r="B132"/>
          <cell r="C132"/>
          <cell r="D132" t="str">
            <v>Regulatory Assets - Pension - Gaap Node1870</v>
          </cell>
          <cell r="E132">
            <v>36562187.039999999</v>
          </cell>
          <cell r="F132">
            <v>0</v>
          </cell>
          <cell r="G132"/>
          <cell r="H132"/>
          <cell r="I132">
            <v>36272129.039999999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-1972577.09</v>
          </cell>
          <cell r="F134" t="e">
            <v>#REF!</v>
          </cell>
          <cell r="G134"/>
          <cell r="H134"/>
          <cell r="I134">
            <v>-1799999.8499999996</v>
          </cell>
        </row>
        <row r="135">
          <cell r="A135" t="str">
            <v>RegulatoryLiabilities - Pension - Gaap Node 2647</v>
          </cell>
          <cell r="B135"/>
          <cell r="C135"/>
          <cell r="D135" t="str">
            <v>RegulatoryLiabilities - Pension - Gaap Node 2647</v>
          </cell>
          <cell r="E135">
            <v>-3057405.63</v>
          </cell>
          <cell r="F135" t="e">
            <v>#REF!</v>
          </cell>
          <cell r="G135"/>
          <cell r="H135"/>
          <cell r="I135">
            <v>-3033340.63</v>
          </cell>
        </row>
        <row r="136">
          <cell r="A136" t="str">
            <v>Other Deferred Cr - Compensation Liab - Gaap Node 2648</v>
          </cell>
          <cell r="B136"/>
          <cell r="C136"/>
          <cell r="D136" t="str">
            <v>Other Deferred Cr - Compensation Liab - Gaap Node 2648</v>
          </cell>
          <cell r="E136">
            <v>-1972205.22</v>
          </cell>
          <cell r="F136" t="e">
            <v>#REF!</v>
          </cell>
          <cell r="G136"/>
          <cell r="H136"/>
          <cell r="I136">
            <v>-1230232.27</v>
          </cell>
        </row>
        <row r="137">
          <cell r="A137" t="str">
            <v>Regulatory Liabilities - Removal Costs Gaap Node 2652</v>
          </cell>
          <cell r="B137"/>
          <cell r="C137"/>
          <cell r="D137" t="str">
            <v>Regulatory Liabilities - Removal Costs Gaap Node 2652</v>
          </cell>
          <cell r="E137">
            <v>-63659327.769999996</v>
          </cell>
          <cell r="F137">
            <v>0</v>
          </cell>
          <cell r="G137"/>
          <cell r="H137"/>
          <cell r="I137">
            <v>-63863452.290000007</v>
          </cell>
        </row>
        <row r="138">
          <cell r="A138"/>
          <cell r="B138"/>
          <cell r="C138"/>
          <cell r="D138"/>
          <cell r="E138"/>
          <cell r="F138"/>
          <cell r="G138"/>
          <cell r="H138"/>
          <cell r="I138"/>
        </row>
        <row r="139">
          <cell r="A139" t="str">
            <v>Total</v>
          </cell>
          <cell r="B139"/>
          <cell r="C139"/>
          <cell r="D139" t="str">
            <v>Total</v>
          </cell>
          <cell r="E139">
            <v>-14773055.869999997</v>
          </cell>
          <cell r="F139" t="e">
            <v>#REF!</v>
          </cell>
          <cell r="G139"/>
          <cell r="H139"/>
          <cell r="I139">
            <v>-13594597.860000014</v>
          </cell>
        </row>
        <row r="140">
          <cell r="B140"/>
          <cell r="C140"/>
          <cell r="F140"/>
          <cell r="G140"/>
          <cell r="H140"/>
          <cell r="I140"/>
        </row>
        <row r="141">
          <cell r="B141"/>
          <cell r="C141"/>
          <cell r="E141">
            <v>0</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-68715</v>
          </cell>
          <cell r="H145">
            <v>0</v>
          </cell>
          <cell r="I145"/>
        </row>
        <row r="146">
          <cell r="A146" t="str">
            <v>A/R</v>
          </cell>
          <cell r="B146"/>
          <cell r="C146"/>
          <cell r="D146" t="str">
            <v>A/R</v>
          </cell>
          <cell r="F146"/>
          <cell r="G146">
            <v>451124.62</v>
          </cell>
          <cell r="H146">
            <v>0</v>
          </cell>
          <cell r="I146"/>
        </row>
        <row r="147">
          <cell r="A147" t="str">
            <v>A/P</v>
          </cell>
          <cell r="B147"/>
          <cell r="C147"/>
          <cell r="D147" t="str">
            <v>A/P</v>
          </cell>
          <cell r="F147"/>
          <cell r="G147">
            <v>116616.51000000024</v>
          </cell>
          <cell r="H147">
            <v>55960.729999999996</v>
          </cell>
          <cell r="I147"/>
        </row>
        <row r="148">
          <cell r="B148"/>
          <cell r="C148"/>
          <cell r="F148"/>
          <cell r="G148"/>
          <cell r="H148"/>
          <cell r="I148"/>
        </row>
        <row r="149">
          <cell r="B149"/>
          <cell r="C149"/>
          <cell r="F149"/>
          <cell r="G149">
            <v>0</v>
          </cell>
          <cell r="H149">
            <v>0</v>
          </cell>
          <cell r="I149"/>
        </row>
        <row r="150">
          <cell r="B150"/>
          <cell r="C150"/>
          <cell r="F150"/>
          <cell r="H150">
            <v>554986.86000000022</v>
          </cell>
          <cell r="I150"/>
        </row>
        <row r="151">
          <cell r="B151"/>
          <cell r="C151"/>
          <cell r="F151"/>
          <cell r="G151"/>
          <cell r="H151">
            <v>1.0186340659856796E-10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5">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41394</v>
          </cell>
          <cell r="F6" t="str">
            <v>Adjustment</v>
          </cell>
          <cell r="G6" t="str">
            <v>Deferrals</v>
          </cell>
          <cell r="H6" t="str">
            <v>Amortization</v>
          </cell>
          <cell r="I6">
            <v>41425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2424980.5199999996</v>
          </cell>
          <cell r="F9">
            <v>0</v>
          </cell>
          <cell r="G9">
            <v>238315.14</v>
          </cell>
          <cell r="H9">
            <v>0</v>
          </cell>
          <cell r="I9">
            <v>2663295.6599999997</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2424980.5199999996</v>
          </cell>
          <cell r="F12">
            <v>0</v>
          </cell>
          <cell r="G12">
            <v>238315.14</v>
          </cell>
          <cell r="H12">
            <v>0</v>
          </cell>
          <cell r="I12">
            <v>2663295.6599999997</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Interest Receivable Regulatory Asset</v>
          </cell>
          <cell r="E15">
            <v>751535.81</v>
          </cell>
          <cell r="F15">
            <v>0</v>
          </cell>
          <cell r="G15">
            <v>-105836</v>
          </cell>
          <cell r="H15">
            <v>0</v>
          </cell>
          <cell r="I15">
            <v>645699.81000000006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2807014.81</v>
          </cell>
          <cell r="F19">
            <v>0</v>
          </cell>
          <cell r="G19">
            <v>-105836</v>
          </cell>
          <cell r="H19">
            <v>0</v>
          </cell>
          <cell r="I19">
            <v>2701178.81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2436131.810000001</v>
          </cell>
          <cell r="F22">
            <v>0</v>
          </cell>
          <cell r="G22">
            <v>0</v>
          </cell>
          <cell r="H22">
            <v>-23595.279999999999</v>
          </cell>
          <cell r="I22">
            <v>2412536.5300000012</v>
          </cell>
        </row>
        <row r="23">
          <cell r="B23"/>
          <cell r="C23"/>
          <cell r="E23"/>
          <cell r="F23"/>
          <cell r="G23"/>
          <cell r="H23"/>
          <cell r="I23"/>
        </row>
        <row r="24">
          <cell r="B24"/>
          <cell r="C24"/>
          <cell r="E24">
            <v>2436131.810000001</v>
          </cell>
          <cell r="F24">
            <v>0</v>
          </cell>
          <cell r="G24">
            <v>0</v>
          </cell>
          <cell r="H24">
            <v>-23595.279999999999</v>
          </cell>
          <cell r="I24">
            <v>2412536.5300000012</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306132</v>
          </cell>
          <cell r="F27">
            <v>0</v>
          </cell>
          <cell r="G27">
            <v>29346</v>
          </cell>
          <cell r="H27">
            <v>0</v>
          </cell>
          <cell r="I27">
            <v>335478</v>
          </cell>
        </row>
        <row r="28">
          <cell r="A28" t="str">
            <v>Reg liability - Inc Tax</v>
          </cell>
          <cell r="B28"/>
          <cell r="C28" t="str">
            <v>0254100</v>
          </cell>
          <cell r="D28" t="str">
            <v>Regulatory Liability - Income Tax</v>
          </cell>
          <cell r="E28">
            <v>-306132</v>
          </cell>
          <cell r="F28">
            <v>0</v>
          </cell>
          <cell r="G28">
            <v>-29346</v>
          </cell>
          <cell r="H28">
            <v>0</v>
          </cell>
          <cell r="I28">
            <v>-335478</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A51"/>
          <cell r="B51"/>
          <cell r="C51"/>
          <cell r="D51"/>
          <cell r="E51"/>
          <cell r="F51"/>
          <cell r="G51"/>
          <cell r="H51"/>
          <cell r="I51"/>
        </row>
        <row r="52">
          <cell r="A52" t="str">
            <v>Deferred DSM Costs                      Amort not cash</v>
          </cell>
          <cell r="B52"/>
          <cell r="C52" t="str">
            <v>0182401</v>
          </cell>
          <cell r="D52" t="str">
            <v xml:space="preserve">Deferred DSM Costs                                                  </v>
          </cell>
          <cell r="E52">
            <v>0</v>
          </cell>
          <cell r="F52">
            <v>0</v>
          </cell>
          <cell r="G52">
            <v>0</v>
          </cell>
          <cell r="H52">
            <v>0</v>
          </cell>
          <cell r="I52">
            <v>0</v>
          </cell>
        </row>
        <row r="53">
          <cell r="A53" t="str">
            <v>Interest Rate Hedges - AOCI - Purch Accting             not cash</v>
          </cell>
          <cell r="B53"/>
          <cell r="C53" t="str">
            <v>0182410</v>
          </cell>
          <cell r="D53" t="str">
            <v xml:space="preserve">Interest Rate Swap Reg Asset - AOCI - Purchase Accounting     </v>
          </cell>
          <cell r="E53">
            <v>6629487</v>
          </cell>
          <cell r="F53">
            <v>0</v>
          </cell>
          <cell r="G53">
            <v>-1005466</v>
          </cell>
          <cell r="H53">
            <v>0</v>
          </cell>
          <cell r="I53">
            <v>5624021</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850000</v>
          </cell>
          <cell r="F59">
            <v>0</v>
          </cell>
          <cell r="G59">
            <v>0</v>
          </cell>
          <cell r="H59">
            <v>0</v>
          </cell>
          <cell r="I59">
            <v>850000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cell r="F67"/>
          <cell r="G67"/>
          <cell r="H67"/>
          <cell r="I67"/>
        </row>
        <row r="68">
          <cell r="B68"/>
          <cell r="C68"/>
          <cell r="E68">
            <v>12392171</v>
          </cell>
          <cell r="F68">
            <v>0</v>
          </cell>
          <cell r="G68">
            <v>-1005466</v>
          </cell>
          <cell r="H68">
            <v>0</v>
          </cell>
          <cell r="I68">
            <v>11386705</v>
          </cell>
        </row>
        <row r="69">
          <cell r="B69"/>
          <cell r="C69"/>
          <cell r="E69"/>
          <cell r="F69"/>
          <cell r="G69"/>
          <cell r="H69"/>
          <cell r="I69"/>
        </row>
        <row r="70">
          <cell r="A70"/>
          <cell r="B70" t="str">
            <v>Regulatory Asset  - Pension</v>
          </cell>
          <cell r="C70"/>
          <cell r="E70"/>
          <cell r="F70"/>
          <cell r="G70"/>
          <cell r="H70"/>
          <cell r="I70"/>
        </row>
        <row r="71">
          <cell r="A71" t="str">
            <v>Other Reg Assets - Gen Acct</v>
          </cell>
          <cell r="B71"/>
          <cell r="C71" t="str">
            <v>0182318</v>
          </cell>
          <cell r="D71" t="str">
            <v>Other Reg Assets - Gen Acct</v>
          </cell>
          <cell r="E71">
            <v>0</v>
          </cell>
          <cell r="F71">
            <v>0</v>
          </cell>
          <cell r="G71">
            <v>0</v>
          </cell>
          <cell r="H71">
            <v>0</v>
          </cell>
          <cell r="I71">
            <v>0</v>
          </cell>
        </row>
        <row r="72">
          <cell r="A72" t="str">
            <v>Accrued Pension Post Retire FAS158                       Not Cash</v>
          </cell>
          <cell r="B72"/>
          <cell r="C72" t="str">
            <v>0186802</v>
          </cell>
          <cell r="D72" t="str">
            <v xml:space="preserve">Accrued Pension Post Retire FAS158                       </v>
          </cell>
          <cell r="E72">
            <v>32393394.440000001</v>
          </cell>
          <cell r="F72">
            <v>0</v>
          </cell>
          <cell r="G72">
            <v>-263995</v>
          </cell>
          <cell r="H72">
            <v>0</v>
          </cell>
          <cell r="I72">
            <v>32129399.440000001</v>
          </cell>
        </row>
        <row r="73">
          <cell r="A73" t="str">
            <v>Accrued Pension Post Retire FAS 158     not cash - 0186803</v>
          </cell>
          <cell r="B73"/>
          <cell r="C73" t="str">
            <v>0186803</v>
          </cell>
          <cell r="D73" t="str">
            <v xml:space="preserve">Accrued Pension Post Retire FAS 158     </v>
          </cell>
          <cell r="E73">
            <v>3807501.55</v>
          </cell>
          <cell r="F73">
            <v>0</v>
          </cell>
          <cell r="G73">
            <v>-25224</v>
          </cell>
          <cell r="H73">
            <v>0</v>
          </cell>
          <cell r="I73">
            <v>3782277.55</v>
          </cell>
        </row>
        <row r="74">
          <cell r="A74" t="str">
            <v>Accrued Pension Post Retire FAS 158     not cash - 0186805</v>
          </cell>
          <cell r="B74"/>
          <cell r="C74" t="str">
            <v>0186805</v>
          </cell>
          <cell r="D74" t="str">
            <v xml:space="preserve">Accrued Pension Post Retire FAS 158     </v>
          </cell>
          <cell r="E74">
            <v>71233.05</v>
          </cell>
          <cell r="F74">
            <v>0</v>
          </cell>
          <cell r="G74">
            <v>-839</v>
          </cell>
          <cell r="H74">
            <v>0</v>
          </cell>
          <cell r="I74">
            <v>70394.05</v>
          </cell>
        </row>
        <row r="75">
          <cell r="B75"/>
          <cell r="C75"/>
          <cell r="E75"/>
          <cell r="F75"/>
          <cell r="G75"/>
          <cell r="H75"/>
          <cell r="I75"/>
        </row>
        <row r="76">
          <cell r="B76"/>
          <cell r="C76"/>
          <cell r="E76">
            <v>36272129.039999999</v>
          </cell>
          <cell r="F76">
            <v>0</v>
          </cell>
          <cell r="G76">
            <v>-290058</v>
          </cell>
          <cell r="H76">
            <v>0</v>
          </cell>
          <cell r="I76">
            <v>35982071.039999999</v>
          </cell>
        </row>
        <row r="77">
          <cell r="B77" t="str">
            <v>Misc</v>
          </cell>
          <cell r="C77"/>
          <cell r="E77"/>
          <cell r="F77"/>
          <cell r="G77"/>
          <cell r="H77"/>
          <cell r="I77"/>
        </row>
        <row r="78">
          <cell r="A78" t="str">
            <v xml:space="preserve">Native Deferred MTM Asset        </v>
          </cell>
          <cell r="B78"/>
          <cell r="C78" t="str">
            <v>0174995</v>
          </cell>
          <cell r="D78" t="str">
            <v xml:space="preserve">Native Deferred MTM Asset        </v>
          </cell>
          <cell r="E78">
            <v>0</v>
          </cell>
          <cell r="F78">
            <v>0</v>
          </cell>
          <cell r="G78">
            <v>0</v>
          </cell>
          <cell r="H78">
            <v>0</v>
          </cell>
          <cell r="I78">
            <v>0</v>
          </cell>
        </row>
        <row r="79">
          <cell r="A79" t="str">
            <v>Other Current Assets</v>
          </cell>
          <cell r="B79"/>
          <cell r="C79" t="str">
            <v>0174100</v>
          </cell>
          <cell r="D79" t="str">
            <v>Other Current Assets</v>
          </cell>
          <cell r="E79">
            <v>0</v>
          </cell>
          <cell r="F79">
            <v>0</v>
          </cell>
          <cell r="G79">
            <v>0</v>
          </cell>
          <cell r="H79">
            <v>0</v>
          </cell>
          <cell r="I79">
            <v>0</v>
          </cell>
        </row>
        <row r="80">
          <cell r="B80"/>
          <cell r="C80"/>
          <cell r="D80"/>
          <cell r="E80"/>
          <cell r="F80"/>
          <cell r="G80"/>
          <cell r="H80"/>
          <cell r="I80"/>
        </row>
        <row r="81">
          <cell r="B81"/>
          <cell r="C81"/>
          <cell r="E81"/>
          <cell r="F81"/>
          <cell r="G81"/>
          <cell r="H81"/>
          <cell r="I81"/>
        </row>
        <row r="82">
          <cell r="B82"/>
          <cell r="C82" t="str">
            <v>TOTAL REGULATORY ASSETS</v>
          </cell>
          <cell r="D82"/>
          <cell r="E82">
            <v>56332427.18</v>
          </cell>
          <cell r="F82">
            <v>0</v>
          </cell>
          <cell r="G82">
            <v>-1163044.8599999999</v>
          </cell>
          <cell r="H82">
            <v>-23595.279999999999</v>
          </cell>
          <cell r="I82">
            <v>55145787.040000007</v>
          </cell>
        </row>
        <row r="83">
          <cell r="A83"/>
          <cell r="B83"/>
          <cell r="C83"/>
          <cell r="D83"/>
          <cell r="E83"/>
          <cell r="F83"/>
          <cell r="G83"/>
          <cell r="H83"/>
          <cell r="I83"/>
        </row>
        <row r="84">
          <cell r="A84"/>
          <cell r="B84" t="str">
            <v>Accounts Payable</v>
          </cell>
          <cell r="C84"/>
          <cell r="D84"/>
          <cell r="E84"/>
          <cell r="F84"/>
          <cell r="G84"/>
          <cell r="H84"/>
          <cell r="I84"/>
        </row>
        <row r="85">
          <cell r="A85" t="str">
            <v xml:space="preserve">Unrecovered Purchased Gas Cost </v>
          </cell>
          <cell r="B85"/>
          <cell r="C85" t="str">
            <v>0191400</v>
          </cell>
          <cell r="D85" t="str">
            <v xml:space="preserve">Unrecovered Purchased Gas Cost </v>
          </cell>
          <cell r="E85">
            <v>-97563.399999999776</v>
          </cell>
          <cell r="F85">
            <v>0</v>
          </cell>
          <cell r="G85">
            <v>-802891.7</v>
          </cell>
          <cell r="H85">
            <v>12695.71</v>
          </cell>
          <cell r="I85">
            <v>-887759.38999999978</v>
          </cell>
        </row>
        <row r="86">
          <cell r="A86" t="str">
            <v xml:space="preserve">Unrecovered Purchased Gas Cost - Unbilled  </v>
          </cell>
          <cell r="B86"/>
          <cell r="C86" t="str">
            <v>0191800</v>
          </cell>
          <cell r="D86" t="str">
            <v xml:space="preserve">Unrecovered Purchased Gas Cost - Unbilled  </v>
          </cell>
          <cell r="E86">
            <v>-1307800</v>
          </cell>
          <cell r="F86">
            <v>0</v>
          </cell>
          <cell r="G86">
            <v>673858</v>
          </cell>
          <cell r="H86">
            <v>0</v>
          </cell>
          <cell r="I86">
            <v>-633942</v>
          </cell>
        </row>
        <row r="87">
          <cell r="A87" t="str">
            <v xml:space="preserve">Native Deferred MTM Liability    </v>
          </cell>
          <cell r="B87"/>
          <cell r="C87" t="str">
            <v>0242895</v>
          </cell>
          <cell r="D87" t="str">
            <v xml:space="preserve">Native Deferred MTM Liability    </v>
          </cell>
          <cell r="E87">
            <v>-131798</v>
          </cell>
          <cell r="F87">
            <v>0</v>
          </cell>
          <cell r="G87">
            <v>132261</v>
          </cell>
          <cell r="H87">
            <v>0</v>
          </cell>
          <cell r="I87">
            <v>463</v>
          </cell>
        </row>
        <row r="88">
          <cell r="A88" t="str">
            <v xml:space="preserve">Ratepayer Sharing Provisions           </v>
          </cell>
          <cell r="B88"/>
          <cell r="C88" t="str">
            <v>0242981</v>
          </cell>
          <cell r="D88" t="str">
            <v xml:space="preserve">Ratepayer Sharing Provisions           </v>
          </cell>
          <cell r="E88">
            <v>-141362.99000000002</v>
          </cell>
          <cell r="F88">
            <v>0</v>
          </cell>
          <cell r="G88">
            <v>141362.99</v>
          </cell>
          <cell r="H88">
            <v>0</v>
          </cell>
          <cell r="I88">
            <v>-2.9103830456733704E-11</v>
          </cell>
        </row>
        <row r="89">
          <cell r="A89" t="str">
            <v xml:space="preserve">Gas Refunds and Reconciliation Adjustments  </v>
          </cell>
          <cell r="B89"/>
          <cell r="C89" t="str">
            <v>0253130</v>
          </cell>
          <cell r="D89" t="str">
            <v xml:space="preserve">Gas Refunds and Reconciliation Adjustments  </v>
          </cell>
          <cell r="E89">
            <v>-121475.46000000002</v>
          </cell>
          <cell r="F89">
            <v>0</v>
          </cell>
          <cell r="G89">
            <v>277693.40000000002</v>
          </cell>
          <cell r="H89">
            <v>8100.94</v>
          </cell>
          <cell r="I89">
            <v>164318.88</v>
          </cell>
        </row>
        <row r="90">
          <cell r="A90" t="str">
            <v>Deferred Rev Pay - Fuel</v>
          </cell>
          <cell r="B90"/>
          <cell r="C90" t="str">
            <v>0242890</v>
          </cell>
          <cell r="D90" t="str">
            <v>Deferred Revenue Payable - Fuel</v>
          </cell>
          <cell r="E90">
            <v>0</v>
          </cell>
          <cell r="F90"/>
          <cell r="G90">
            <v>0</v>
          </cell>
          <cell r="H90">
            <v>0</v>
          </cell>
          <cell r="I90">
            <v>0</v>
          </cell>
        </row>
        <row r="91">
          <cell r="B91"/>
          <cell r="C91"/>
          <cell r="E91"/>
          <cell r="F91"/>
          <cell r="G91"/>
          <cell r="H91"/>
          <cell r="I91"/>
        </row>
        <row r="92">
          <cell r="B92"/>
          <cell r="C92"/>
          <cell r="D92"/>
          <cell r="E92">
            <v>-1799999.8499999996</v>
          </cell>
          <cell r="F92">
            <v>0</v>
          </cell>
          <cell r="G92">
            <v>422283.69000000006</v>
          </cell>
          <cell r="H92">
            <v>20796.649999999998</v>
          </cell>
          <cell r="I92">
            <v>-1356919.5099999998</v>
          </cell>
        </row>
        <row r="93">
          <cell r="B93"/>
          <cell r="C93"/>
          <cell r="D93"/>
          <cell r="E93"/>
          <cell r="F93"/>
          <cell r="G93"/>
          <cell r="H93"/>
          <cell r="I93"/>
        </row>
        <row r="94">
          <cell r="B94" t="str">
            <v>Regulatory Liability - Current</v>
          </cell>
          <cell r="C94"/>
          <cell r="D94"/>
          <cell r="E94"/>
          <cell r="F94"/>
          <cell r="G94"/>
          <cell r="H94"/>
          <cell r="I94"/>
        </row>
        <row r="95">
          <cell r="A95" t="str">
            <v>Current Regulatory Liabilities</v>
          </cell>
          <cell r="B95"/>
          <cell r="C95" t="str">
            <v>0254988</v>
          </cell>
          <cell r="D95" t="str">
            <v>Current Portion of Regulatory Liabilities</v>
          </cell>
          <cell r="E95">
            <v>0</v>
          </cell>
          <cell r="F95">
            <v>0</v>
          </cell>
          <cell r="G95">
            <v>0</v>
          </cell>
          <cell r="H95">
            <v>0</v>
          </cell>
          <cell r="I95">
            <v>0</v>
          </cell>
        </row>
        <row r="96">
          <cell r="A96" t="str">
            <v>Current Portion of Reg Liabilities</v>
          </cell>
          <cell r="B96"/>
          <cell r="C96" t="str">
            <v>0242988</v>
          </cell>
          <cell r="D96" t="str">
            <v>Current Portion of Regulatory Liabilities</v>
          </cell>
          <cell r="E96">
            <v>0</v>
          </cell>
          <cell r="F96">
            <v>0</v>
          </cell>
          <cell r="G96">
            <v>0</v>
          </cell>
          <cell r="H96">
            <v>0</v>
          </cell>
          <cell r="I96">
            <v>0</v>
          </cell>
        </row>
        <row r="97">
          <cell r="B97"/>
          <cell r="C97"/>
          <cell r="E97"/>
          <cell r="F97"/>
          <cell r="G97"/>
          <cell r="H97"/>
          <cell r="I97"/>
        </row>
        <row r="98">
          <cell r="B98"/>
          <cell r="C98"/>
          <cell r="D98"/>
          <cell r="E98">
            <v>0</v>
          </cell>
          <cell r="F98">
            <v>0</v>
          </cell>
          <cell r="G98">
            <v>0</v>
          </cell>
          <cell r="H98">
            <v>0</v>
          </cell>
          <cell r="I98">
            <v>0</v>
          </cell>
        </row>
        <row r="99">
          <cell r="B99"/>
          <cell r="C99"/>
          <cell r="D99"/>
          <cell r="E99"/>
          <cell r="F99"/>
          <cell r="G99"/>
          <cell r="H99"/>
          <cell r="I99"/>
        </row>
        <row r="100">
          <cell r="A100"/>
          <cell r="B100" t="str">
            <v>Regulatory Liability - Pension</v>
          </cell>
          <cell r="C100"/>
          <cell r="D100"/>
          <cell r="E100"/>
          <cell r="F100"/>
          <cell r="G100"/>
          <cell r="H100"/>
          <cell r="I100"/>
        </row>
        <row r="101">
          <cell r="A101" t="str">
            <v>Pension Deferred Credits - OPEB Amort cash</v>
          </cell>
          <cell r="B101"/>
          <cell r="C101" t="str">
            <v>0253690</v>
          </cell>
          <cell r="D101" t="str">
            <v>Pension Deferred Credits - OPEB</v>
          </cell>
          <cell r="E101">
            <v>-3033340.63</v>
          </cell>
          <cell r="F101">
            <v>0</v>
          </cell>
          <cell r="G101">
            <v>24065</v>
          </cell>
          <cell r="H101">
            <v>0</v>
          </cell>
          <cell r="I101">
            <v>-3009275.63</v>
          </cell>
        </row>
        <row r="102">
          <cell r="B102"/>
          <cell r="C102"/>
          <cell r="D102"/>
          <cell r="E102"/>
          <cell r="F102"/>
          <cell r="G102"/>
          <cell r="H102"/>
          <cell r="I102"/>
        </row>
        <row r="103">
          <cell r="B103" t="str">
            <v>Other Deferred Credits-Compensation Liabilities</v>
          </cell>
          <cell r="C103"/>
          <cell r="E103"/>
          <cell r="F103"/>
          <cell r="G103"/>
          <cell r="H103"/>
          <cell r="I103"/>
        </row>
        <row r="104">
          <cell r="A104" t="str">
            <v>Deferred Regulatory Liability    not cash</v>
          </cell>
          <cell r="B104"/>
          <cell r="C104" t="str">
            <v>0254101</v>
          </cell>
          <cell r="D104" t="str">
            <v xml:space="preserve">Deferred Regulatory Liability    </v>
          </cell>
          <cell r="E104">
            <v>-349951.8</v>
          </cell>
          <cell r="F104">
            <v>0</v>
          </cell>
          <cell r="G104">
            <v>35679</v>
          </cell>
          <cell r="H104">
            <v>0</v>
          </cell>
          <cell r="I104">
            <v>-314272.8</v>
          </cell>
        </row>
        <row r="105">
          <cell r="A105" t="str">
            <v>Deferred DSM Costs - Amort not cash</v>
          </cell>
          <cell r="B105"/>
          <cell r="C105" t="str">
            <v>0254401</v>
          </cell>
          <cell r="D105" t="str">
            <v xml:space="preserve">Deferred DSM Costs </v>
          </cell>
          <cell r="E105">
            <v>-779273</v>
          </cell>
          <cell r="F105">
            <v>0</v>
          </cell>
          <cell r="G105">
            <v>522044</v>
          </cell>
          <cell r="H105">
            <v>0</v>
          </cell>
          <cell r="I105">
            <v>-257229</v>
          </cell>
        </row>
        <row r="106">
          <cell r="A106" t="str">
            <v>Reg Liab - Native EA Swaps       not cash</v>
          </cell>
          <cell r="B106"/>
          <cell r="C106" t="str">
            <v>0254210</v>
          </cell>
          <cell r="D106" t="str">
            <v xml:space="preserve">Regulatory Liability Emission Allowance Swaps       </v>
          </cell>
          <cell r="E106">
            <v>-101007.47000000002</v>
          </cell>
          <cell r="F106">
            <v>0</v>
          </cell>
          <cell r="G106">
            <v>8600.33</v>
          </cell>
          <cell r="H106">
            <v>0</v>
          </cell>
          <cell r="I106">
            <v>-92407.140000000014</v>
          </cell>
        </row>
        <row r="107">
          <cell r="B107"/>
          <cell r="C107"/>
          <cell r="D107"/>
          <cell r="E107"/>
          <cell r="F107"/>
          <cell r="G107"/>
          <cell r="H107"/>
          <cell r="I107"/>
        </row>
        <row r="108">
          <cell r="B108"/>
          <cell r="C108"/>
          <cell r="E108">
            <v>-1230232.27</v>
          </cell>
          <cell r="F108">
            <v>0</v>
          </cell>
          <cell r="G108">
            <v>566323.32999999996</v>
          </cell>
          <cell r="H108">
            <v>0</v>
          </cell>
          <cell r="I108">
            <v>-663908.94000000006</v>
          </cell>
        </row>
        <row r="109">
          <cell r="B109" t="str">
            <v>Removal Costs - Regulatory Liabilities</v>
          </cell>
          <cell r="C109"/>
          <cell r="E109"/>
          <cell r="F109"/>
          <cell r="G109"/>
          <cell r="H109"/>
          <cell r="I109"/>
        </row>
        <row r="110">
          <cell r="A110" t="str">
            <v>Gas Accumulated Provision for Depreciation COR - not cash</v>
          </cell>
          <cell r="B110"/>
          <cell r="C110" t="str">
            <v>0108301</v>
          </cell>
          <cell r="D110" t="str">
            <v>Gas Accumulated Provision for Depreciation COR</v>
          </cell>
          <cell r="E110">
            <v>-15972321.620000003</v>
          </cell>
          <cell r="F110">
            <v>0</v>
          </cell>
          <cell r="G110">
            <v>-40579.5</v>
          </cell>
          <cell r="H110">
            <v>0</v>
          </cell>
          <cell r="I110">
            <v>-16012901.120000003</v>
          </cell>
        </row>
        <row r="111">
          <cell r="A111" t="str">
            <v xml:space="preserve">Electric Accumulated Provision for Depreciation COR - not cash </v>
          </cell>
          <cell r="B111"/>
          <cell r="C111" t="str">
            <v>0108301</v>
          </cell>
          <cell r="D111" t="str">
            <v>Electric Accumulated Provision for Depreciation COR</v>
          </cell>
          <cell r="E111">
            <v>-44665526.869999997</v>
          </cell>
          <cell r="F111">
            <v>0</v>
          </cell>
          <cell r="G111">
            <v>-357470.77</v>
          </cell>
          <cell r="H111">
            <v>0</v>
          </cell>
          <cell r="I111">
            <v>-45022997.640000001</v>
          </cell>
        </row>
        <row r="112">
          <cell r="A112" t="str">
            <v>Retirement Work in Progress - not cash</v>
          </cell>
          <cell r="B112"/>
          <cell r="C112" t="str">
            <v>0108620</v>
          </cell>
          <cell r="D112" t="str">
            <v>Retirement Work in Progress</v>
          </cell>
          <cell r="E112">
            <v>-7563948.0500000007</v>
          </cell>
          <cell r="F112">
            <v>0</v>
          </cell>
          <cell r="G112">
            <v>149248.13</v>
          </cell>
          <cell r="H112">
            <v>0</v>
          </cell>
          <cell r="I112">
            <v>-7414699.9200000009</v>
          </cell>
        </row>
        <row r="113">
          <cell r="A113" t="str">
            <v>ARO other regulatory assets - not cash</v>
          </cell>
          <cell r="B113"/>
          <cell r="C113" t="str">
            <v>0182402</v>
          </cell>
          <cell r="D113" t="str">
            <v>ARO Other Regulatory Assets</v>
          </cell>
          <cell r="E113">
            <v>717632.6</v>
          </cell>
          <cell r="F113">
            <v>0</v>
          </cell>
          <cell r="G113">
            <v>4232.49</v>
          </cell>
          <cell r="H113">
            <v>0</v>
          </cell>
          <cell r="I113">
            <v>721865.09</v>
          </cell>
        </row>
        <row r="114">
          <cell r="A114" t="str">
            <v>Gas ARO other regulatory assets - not cash</v>
          </cell>
          <cell r="B114"/>
          <cell r="C114" t="str">
            <v>0182403</v>
          </cell>
          <cell r="D114" t="str">
            <v>Gas ARO Other Regulatory Assets</v>
          </cell>
          <cell r="E114">
            <v>3636180.9800000004</v>
          </cell>
          <cell r="F114">
            <v>0</v>
          </cell>
          <cell r="G114">
            <v>21326.75</v>
          </cell>
          <cell r="H114">
            <v>0</v>
          </cell>
          <cell r="I114">
            <v>3657507.7300000004</v>
          </cell>
        </row>
        <row r="115">
          <cell r="A115" t="str">
            <v>Common Accumulated Provision for Depreciation COR - not cash</v>
          </cell>
          <cell r="B115"/>
          <cell r="C115" t="str">
            <v>0108151</v>
          </cell>
          <cell r="D115" t="str">
            <v>Common Accumulated Provision for Depreciation COR</v>
          </cell>
          <cell r="E115">
            <v>-15469.330000000002</v>
          </cell>
          <cell r="F115">
            <v>0</v>
          </cell>
          <cell r="G115">
            <v>-6502.63</v>
          </cell>
          <cell r="H115">
            <v>0</v>
          </cell>
          <cell r="I115">
            <v>-21971.960000000003</v>
          </cell>
        </row>
        <row r="116">
          <cell r="B116"/>
          <cell r="C116"/>
          <cell r="E116"/>
          <cell r="F116"/>
          <cell r="G116"/>
          <cell r="H116"/>
          <cell r="I116"/>
        </row>
        <row r="117">
          <cell r="B117"/>
          <cell r="C117"/>
          <cell r="E117">
            <v>-63863452.290000007</v>
          </cell>
          <cell r="F117">
            <v>0</v>
          </cell>
          <cell r="G117">
            <v>-229745.53000000003</v>
          </cell>
          <cell r="H117">
            <v>0</v>
          </cell>
          <cell r="I117">
            <v>-64093197.82</v>
          </cell>
        </row>
        <row r="118">
          <cell r="B118"/>
          <cell r="C118"/>
          <cell r="D118"/>
          <cell r="E118"/>
          <cell r="F118"/>
          <cell r="G118"/>
          <cell r="H118"/>
          <cell r="I118"/>
        </row>
        <row r="119">
          <cell r="A119" t="str">
            <v xml:space="preserve">TOTAL REGULATORY LIABILITIES </v>
          </cell>
          <cell r="B119"/>
          <cell r="C119" t="str">
            <v xml:space="preserve">TOTAL REGULATORY LIABILITIES </v>
          </cell>
          <cell r="D119"/>
          <cell r="E119">
            <v>-69927025.040000007</v>
          </cell>
          <cell r="F119">
            <v>0</v>
          </cell>
          <cell r="G119">
            <v>782926.49</v>
          </cell>
          <cell r="H119">
            <v>20796.649999999998</v>
          </cell>
          <cell r="I119">
            <v>-69123301.900000006</v>
          </cell>
        </row>
        <row r="120">
          <cell r="A120"/>
          <cell r="B120"/>
          <cell r="C120"/>
          <cell r="D120"/>
          <cell r="E120"/>
          <cell r="F120"/>
          <cell r="G120"/>
          <cell r="H120"/>
          <cell r="I120"/>
        </row>
        <row r="121">
          <cell r="A121" t="str">
            <v>TOTAL REG ASSETS AND REG LIABILITIES</v>
          </cell>
          <cell r="B121"/>
          <cell r="C121"/>
          <cell r="D121" t="str">
            <v>TOTAL REGULATORY ASSETS AND LIABILITIES</v>
          </cell>
          <cell r="E121">
            <v>-13594597.860000007</v>
          </cell>
          <cell r="F121">
            <v>0</v>
          </cell>
          <cell r="G121">
            <v>-380118.36999999988</v>
          </cell>
          <cell r="H121">
            <v>-2798.630000000001</v>
          </cell>
          <cell r="I121">
            <v>-13977514.859999999</v>
          </cell>
        </row>
        <row r="122">
          <cell r="A122"/>
          <cell r="B122"/>
          <cell r="C122"/>
          <cell r="D122"/>
          <cell r="E122"/>
          <cell r="F122"/>
          <cell r="G122"/>
          <cell r="H122"/>
          <cell r="I122"/>
        </row>
        <row r="123">
          <cell r="A123" t="str">
            <v>Less sum of non-cash items</v>
          </cell>
          <cell r="B123"/>
          <cell r="C123"/>
          <cell r="D123" t="str">
            <v>Less sum of non-cash items</v>
          </cell>
          <cell r="E123"/>
          <cell r="F123"/>
          <cell r="G123">
            <v>934881.2</v>
          </cell>
          <cell r="H123">
            <v>23595.279999999999</v>
          </cell>
          <cell r="I123"/>
        </row>
        <row r="124">
          <cell r="A124"/>
          <cell r="B124"/>
          <cell r="C124"/>
          <cell r="D124"/>
          <cell r="E124"/>
          <cell r="F124"/>
          <cell r="G124"/>
          <cell r="H124"/>
          <cell r="I124"/>
        </row>
        <row r="125">
          <cell r="A125" t="str">
            <v>Regulatory asset on cash flow statement</v>
          </cell>
          <cell r="B125"/>
          <cell r="C125"/>
          <cell r="D125" t="str">
            <v>Regulatory asset on cash flow statement</v>
          </cell>
          <cell r="E125"/>
          <cell r="F125"/>
          <cell r="G125">
            <v>554762.83000000007</v>
          </cell>
          <cell r="H125">
            <v>20796.649999999998</v>
          </cell>
          <cell r="I125"/>
        </row>
        <row r="126">
          <cell r="A126"/>
          <cell r="B126"/>
          <cell r="C126"/>
          <cell r="D126"/>
          <cell r="E126"/>
          <cell r="F126"/>
          <cell r="G126"/>
          <cell r="H126"/>
          <cell r="I126"/>
        </row>
        <row r="127">
          <cell r="A127" t="str">
            <v>Regulatory asset total on cash flow statement</v>
          </cell>
          <cell r="B127"/>
          <cell r="C127"/>
          <cell r="D127" t="str">
            <v>Regulatory asset total on cash flow statement</v>
          </cell>
          <cell r="E127"/>
          <cell r="F127"/>
          <cell r="G127">
            <v>575559.4800000001</v>
          </cell>
          <cell r="H127"/>
          <cell r="I127"/>
        </row>
        <row r="128">
          <cell r="B128"/>
          <cell r="C128"/>
          <cell r="E128"/>
          <cell r="F128"/>
          <cell r="G128"/>
          <cell r="H128"/>
          <cell r="I128"/>
        </row>
        <row r="129">
          <cell r="A129" t="str">
            <v>By F/S Line</v>
          </cell>
          <cell r="B129"/>
          <cell r="C129"/>
          <cell r="D129" t="str">
            <v>By F/S Line</v>
          </cell>
          <cell r="E129"/>
          <cell r="F129"/>
          <cell r="G129"/>
          <cell r="H129"/>
          <cell r="I129"/>
        </row>
        <row r="130">
          <cell r="A130" t="str">
            <v>Regulatory Asset in A/R - Trade</v>
          </cell>
          <cell r="B130"/>
          <cell r="C130"/>
          <cell r="D130" t="str">
            <v>Regulatory Asset in A/R - Trade</v>
          </cell>
          <cell r="E130">
            <v>0</v>
          </cell>
          <cell r="F130">
            <v>0</v>
          </cell>
          <cell r="G130"/>
          <cell r="H130">
            <v>0</v>
          </cell>
          <cell r="I130">
            <v>0</v>
          </cell>
        </row>
        <row r="131">
          <cell r="A131" t="str">
            <v>Reg Asset Receivable Gaap Node 1211</v>
          </cell>
          <cell r="B131"/>
          <cell r="C131"/>
          <cell r="D131" t="str">
            <v>Reg Asset Receivable Gaap Node 1211</v>
          </cell>
          <cell r="E131">
            <v>2424980.5199999996</v>
          </cell>
          <cell r="F131">
            <v>0</v>
          </cell>
          <cell r="G131"/>
          <cell r="H131"/>
          <cell r="I131">
            <v>2663295.6599999997</v>
          </cell>
        </row>
        <row r="132">
          <cell r="A132" t="str">
            <v>Other Current Assets - Reg Gaap Node 1491</v>
          </cell>
          <cell r="B132"/>
          <cell r="C132"/>
          <cell r="D132" t="str">
            <v>Other Current Assets - Reg Gaap Node 1491</v>
          </cell>
          <cell r="E132">
            <v>2807014.81</v>
          </cell>
          <cell r="F132">
            <v>0</v>
          </cell>
          <cell r="G132"/>
          <cell r="H132"/>
          <cell r="I132">
            <v>2701178.81</v>
          </cell>
        </row>
        <row r="133">
          <cell r="A133" t="str">
            <v>Unamortized Loss on Debt - Gaap Node 1821</v>
          </cell>
          <cell r="B133"/>
          <cell r="C133"/>
          <cell r="D133" t="str">
            <v>Unamortized Loss on Debt - Gaap Node 1821</v>
          </cell>
          <cell r="E133">
            <v>2436131.810000001</v>
          </cell>
          <cell r="F133">
            <v>0</v>
          </cell>
          <cell r="G133"/>
          <cell r="H133"/>
          <cell r="I133">
            <v>2412536.5300000012</v>
          </cell>
        </row>
        <row r="134">
          <cell r="A134" t="str">
            <v>Amounts due from Customers Income Taxes</v>
          </cell>
          <cell r="B134"/>
          <cell r="C134"/>
          <cell r="D134" t="str">
            <v>Amounts due from Customers Income Taxes</v>
          </cell>
          <cell r="E134">
            <v>0</v>
          </cell>
          <cell r="F134">
            <v>0</v>
          </cell>
          <cell r="G134"/>
          <cell r="H134"/>
          <cell r="I134">
            <v>0</v>
          </cell>
        </row>
        <row r="135">
          <cell r="A135" t="str">
            <v>Other Deferred Debits - Regulatory Assets Gaap Node 1861</v>
          </cell>
          <cell r="B135"/>
          <cell r="C135"/>
          <cell r="D135" t="str">
            <v>Other Deferred Debits - Regulatory Assets Gaap Node 1861</v>
          </cell>
          <cell r="E135">
            <v>12392171</v>
          </cell>
          <cell r="F135">
            <v>0</v>
          </cell>
          <cell r="G135"/>
          <cell r="H135"/>
          <cell r="I135">
            <v>11386705</v>
          </cell>
        </row>
        <row r="136">
          <cell r="A136" t="str">
            <v>Regulatory Assets - Pension - Gaap Node1870</v>
          </cell>
          <cell r="B136"/>
          <cell r="C136"/>
          <cell r="D136" t="str">
            <v>Regulatory Assets - Pension - Gaap Node1870</v>
          </cell>
          <cell r="E136">
            <v>36272129.039999999</v>
          </cell>
          <cell r="F136">
            <v>0</v>
          </cell>
          <cell r="G136"/>
          <cell r="H136"/>
          <cell r="I136">
            <v>35982071.039999999</v>
          </cell>
        </row>
        <row r="137">
          <cell r="A137" t="str">
            <v>Regulatory Liabilities in A/P</v>
          </cell>
          <cell r="B137"/>
          <cell r="C137"/>
          <cell r="D137" t="str">
            <v>Regulatory Liabilities in A/P</v>
          </cell>
          <cell r="E137">
            <v>0</v>
          </cell>
          <cell r="F137">
            <v>0</v>
          </cell>
          <cell r="G137"/>
          <cell r="H137"/>
          <cell r="I137">
            <v>0</v>
          </cell>
        </row>
        <row r="138">
          <cell r="A138" t="str">
            <v>Reg Asset Payable - Gaap Node 2103</v>
          </cell>
          <cell r="B138"/>
          <cell r="C138"/>
          <cell r="D138" t="str">
            <v>Reg Asset Payable - Gaap Node 2103</v>
          </cell>
          <cell r="E138">
            <v>-1799999.8499999996</v>
          </cell>
          <cell r="F138" t="e">
            <v>#REF!</v>
          </cell>
          <cell r="G138"/>
          <cell r="H138"/>
          <cell r="I138">
            <v>-1356919.5099999998</v>
          </cell>
        </row>
        <row r="139">
          <cell r="A139"/>
          <cell r="B139"/>
          <cell r="C139"/>
          <cell r="D139" t="str">
            <v>Other Current Liabilties - Gaap Node 2365</v>
          </cell>
          <cell r="E139">
            <v>0</v>
          </cell>
          <cell r="F139"/>
          <cell r="G139"/>
          <cell r="H139"/>
          <cell r="I139">
            <v>0</v>
          </cell>
        </row>
        <row r="140">
          <cell r="A140" t="str">
            <v>RegulatoryLiabilities - Pension - Gaap Node 2647</v>
          </cell>
          <cell r="B140"/>
          <cell r="C140"/>
          <cell r="D140" t="str">
            <v>RegulatoryLiabilities - Pension - Gaap Node 2647</v>
          </cell>
          <cell r="E140">
            <v>-3033340.63</v>
          </cell>
          <cell r="F140" t="e">
            <v>#REF!</v>
          </cell>
          <cell r="G140"/>
          <cell r="H140"/>
          <cell r="I140">
            <v>-3009275.63</v>
          </cell>
        </row>
        <row r="141">
          <cell r="A141" t="str">
            <v>Other Deferred Cr - Compensation Liab - Gaap Node 2648</v>
          </cell>
          <cell r="B141"/>
          <cell r="C141"/>
          <cell r="D141" t="str">
            <v>Other Deferred Cr - Compensation Liab - Gaap Node 2648</v>
          </cell>
          <cell r="E141">
            <v>-1230232.27</v>
          </cell>
          <cell r="F141" t="e">
            <v>#REF!</v>
          </cell>
          <cell r="G141"/>
          <cell r="H141"/>
          <cell r="I141">
            <v>-663908.94000000006</v>
          </cell>
        </row>
        <row r="142">
          <cell r="A142" t="str">
            <v>Regulatory Liabilities - Removal Costs Gaap Node 2652</v>
          </cell>
          <cell r="B142"/>
          <cell r="C142"/>
          <cell r="D142" t="str">
            <v>Regulatory Liabilities - Removal Costs Gaap Node 2652</v>
          </cell>
          <cell r="E142">
            <v>-63863452.290000007</v>
          </cell>
          <cell r="F142">
            <v>0</v>
          </cell>
          <cell r="G142"/>
          <cell r="H142"/>
          <cell r="I142">
            <v>-64093197.82</v>
          </cell>
        </row>
        <row r="143">
          <cell r="A143"/>
          <cell r="B143"/>
          <cell r="C143"/>
          <cell r="D143"/>
          <cell r="E143"/>
          <cell r="F143"/>
          <cell r="G143"/>
          <cell r="H143"/>
          <cell r="I143"/>
        </row>
        <row r="144">
          <cell r="A144" t="str">
            <v>Total</v>
          </cell>
          <cell r="B144"/>
          <cell r="C144"/>
          <cell r="D144" t="str">
            <v>Total</v>
          </cell>
          <cell r="E144">
            <v>-13594597.860000014</v>
          </cell>
          <cell r="F144" t="e">
            <v>#REF!</v>
          </cell>
          <cell r="G144"/>
          <cell r="H144"/>
          <cell r="I144">
            <v>-13977514.859999999</v>
          </cell>
        </row>
        <row r="145">
          <cell r="B145"/>
          <cell r="C145"/>
          <cell r="F145"/>
          <cell r="G145"/>
          <cell r="H145"/>
          <cell r="I145"/>
        </row>
        <row r="146">
          <cell r="B146"/>
          <cell r="C146"/>
          <cell r="E146">
            <v>0</v>
          </cell>
          <cell r="F146"/>
          <cell r="G146"/>
          <cell r="H146"/>
          <cell r="I146">
            <v>0</v>
          </cell>
        </row>
        <row r="147">
          <cell r="B147"/>
          <cell r="C147"/>
          <cell r="F147"/>
          <cell r="G147"/>
          <cell r="H147"/>
          <cell r="I147"/>
        </row>
        <row r="148">
          <cell r="B148"/>
          <cell r="C148"/>
          <cell r="F148"/>
          <cell r="G148"/>
          <cell r="H148"/>
          <cell r="I148"/>
        </row>
        <row r="149">
          <cell r="B149"/>
          <cell r="C149"/>
          <cell r="F149"/>
          <cell r="G149"/>
          <cell r="H149"/>
          <cell r="I149"/>
        </row>
        <row r="150">
          <cell r="A150" t="str">
            <v>Cash</v>
          </cell>
          <cell r="B150"/>
          <cell r="C150"/>
          <cell r="D150" t="str">
            <v>Cash</v>
          </cell>
          <cell r="F150"/>
          <cell r="G150">
            <v>-105836</v>
          </cell>
          <cell r="H150">
            <v>0</v>
          </cell>
          <cell r="I150"/>
        </row>
        <row r="151">
          <cell r="A151" t="str">
            <v>A/R</v>
          </cell>
          <cell r="B151"/>
          <cell r="C151"/>
          <cell r="D151" t="str">
            <v>A/R</v>
          </cell>
          <cell r="F151"/>
          <cell r="G151">
            <v>238315.14</v>
          </cell>
          <cell r="H151">
            <v>0</v>
          </cell>
          <cell r="I151"/>
        </row>
        <row r="152">
          <cell r="A152" t="str">
            <v>A/P</v>
          </cell>
          <cell r="B152"/>
          <cell r="C152"/>
          <cell r="D152" t="str">
            <v>A/P</v>
          </cell>
          <cell r="F152"/>
          <cell r="G152">
            <v>422283.69000000018</v>
          </cell>
          <cell r="H152">
            <v>20796.649999999998</v>
          </cell>
          <cell r="I152"/>
        </row>
        <row r="153">
          <cell r="B153"/>
          <cell r="C153"/>
          <cell r="F153"/>
          <cell r="G153"/>
          <cell r="H153"/>
          <cell r="I153"/>
        </row>
        <row r="154">
          <cell r="B154"/>
          <cell r="C154"/>
          <cell r="F154"/>
          <cell r="G154">
            <v>0</v>
          </cell>
          <cell r="H154">
            <v>0</v>
          </cell>
          <cell r="I154"/>
        </row>
        <row r="155">
          <cell r="B155"/>
          <cell r="C155"/>
          <cell r="F155"/>
          <cell r="H155">
            <v>575559.48000000021</v>
          </cell>
          <cell r="I155"/>
        </row>
        <row r="156">
          <cell r="B156"/>
          <cell r="C156"/>
          <cell r="F156"/>
          <cell r="G156"/>
          <cell r="H156">
            <v>1.4188117347657681E-10</v>
          </cell>
          <cell r="I156"/>
        </row>
        <row r="157">
          <cell r="B157"/>
          <cell r="C157"/>
          <cell r="F157"/>
          <cell r="G157"/>
          <cell r="H157"/>
          <cell r="I157"/>
        </row>
        <row r="158">
          <cell r="B158"/>
          <cell r="C158"/>
          <cell r="F158"/>
          <cell r="G158"/>
          <cell r="H158"/>
          <cell r="I158"/>
        </row>
        <row r="159">
          <cell r="A159" t="str">
            <v>Recon to D&amp;T Q1 Reg Asset Rollforward</v>
          </cell>
          <cell r="B159"/>
          <cell r="C159"/>
          <cell r="D159" t="str">
            <v>Recon to D&amp;T Q1 Reg Asset Rollforward</v>
          </cell>
          <cell r="E159" t="str">
            <v>Total</v>
          </cell>
          <cell r="F159" t="str">
            <v>Assets</v>
          </cell>
          <cell r="G159" t="str">
            <v>Liabilitlies</v>
          </cell>
          <cell r="H159"/>
          <cell r="I159"/>
        </row>
        <row r="160">
          <cell r="A160" t="str">
            <v>Ending Balance 3/31/2009 Submitted Rollforward</v>
          </cell>
          <cell r="B160"/>
          <cell r="C160"/>
          <cell r="D160" t="str">
            <v>Ending Balance 3/31/2009 Submitted Rollforward</v>
          </cell>
          <cell r="E160">
            <v>19066028.010000002</v>
          </cell>
          <cell r="F160">
            <v>62319564.710000008</v>
          </cell>
          <cell r="G160">
            <v>-43253536.700000003</v>
          </cell>
          <cell r="H160"/>
          <cell r="I160"/>
        </row>
        <row r="161">
          <cell r="A161" t="str">
            <v>Modifications:</v>
          </cell>
          <cell r="B161"/>
          <cell r="C161"/>
          <cell r="D161" t="str">
            <v>Modifications:</v>
          </cell>
          <cell r="F161"/>
          <cell r="G161"/>
          <cell r="H161"/>
          <cell r="I161"/>
        </row>
        <row r="162">
          <cell r="A162" t="str">
            <v>Late Tax entry not captured - 0182320</v>
          </cell>
          <cell r="B162"/>
          <cell r="C162"/>
          <cell r="D162" t="str">
            <v>Late Tax entry not captured - 0182320</v>
          </cell>
          <cell r="E162">
            <v>905563</v>
          </cell>
          <cell r="F162">
            <v>905563</v>
          </cell>
          <cell r="G162"/>
          <cell r="H162"/>
          <cell r="I162"/>
        </row>
        <row r="163">
          <cell r="A163" t="str">
            <v>Late Tax entry not captured - 0254101</v>
          </cell>
          <cell r="B163"/>
          <cell r="C163"/>
          <cell r="D163" t="str">
            <v>Late Tax entry not captured - 0254101</v>
          </cell>
          <cell r="E163">
            <v>-905563</v>
          </cell>
          <cell r="G163">
            <v>-905563</v>
          </cell>
          <cell r="H163"/>
          <cell r="I163"/>
        </row>
        <row r="164">
          <cell r="B164"/>
          <cell r="C164"/>
          <cell r="F164"/>
          <cell r="G164"/>
          <cell r="H164"/>
          <cell r="I164"/>
        </row>
        <row r="165">
          <cell r="B165"/>
          <cell r="C165"/>
          <cell r="E165"/>
          <cell r="F165"/>
          <cell r="G165"/>
          <cell r="H165"/>
          <cell r="I165"/>
        </row>
        <row r="166">
          <cell r="B166"/>
          <cell r="C166"/>
          <cell r="E166">
            <v>19066028.010000002</v>
          </cell>
          <cell r="F166">
            <v>63225127.710000008</v>
          </cell>
          <cell r="G166">
            <v>-44159099.700000003</v>
          </cell>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B235"/>
          <cell r="C235"/>
          <cell r="F235"/>
          <cell r="G235"/>
          <cell r="H235"/>
          <cell r="I235"/>
        </row>
        <row r="236">
          <cell r="B236"/>
          <cell r="C236"/>
          <cell r="F236"/>
          <cell r="G236"/>
          <cell r="H236"/>
          <cell r="I236"/>
        </row>
        <row r="237">
          <cell r="C237"/>
          <cell r="F237"/>
          <cell r="G237"/>
          <cell r="H237"/>
          <cell r="I237"/>
        </row>
        <row r="238">
          <cell r="C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6">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41425</v>
          </cell>
          <cell r="F6" t="str">
            <v>Adjustment</v>
          </cell>
          <cell r="G6" t="str">
            <v>Deferrals</v>
          </cell>
          <cell r="H6" t="str">
            <v>Amortization</v>
          </cell>
          <cell r="I6">
            <v>41455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2663295.6599999997</v>
          </cell>
          <cell r="F9">
            <v>0</v>
          </cell>
          <cell r="G9">
            <v>-2663295.66</v>
          </cell>
          <cell r="H9">
            <v>0</v>
          </cell>
          <cell r="I9">
            <v>-4.6566128730773926E-10</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2663295.6599999997</v>
          </cell>
          <cell r="F12">
            <v>0</v>
          </cell>
          <cell r="G12">
            <v>-2663295.66</v>
          </cell>
          <cell r="H12">
            <v>0</v>
          </cell>
          <cell r="I12">
            <v>-4.6566128730773926E-10</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645699.81000000006</v>
          </cell>
          <cell r="F15">
            <v>0</v>
          </cell>
          <cell r="G15">
            <v>-83369</v>
          </cell>
          <cell r="H15">
            <v>0</v>
          </cell>
          <cell r="I15">
            <v>562330.81000000006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2701178.81</v>
          </cell>
          <cell r="F19">
            <v>0</v>
          </cell>
          <cell r="G19">
            <v>-83369</v>
          </cell>
          <cell r="H19">
            <v>0</v>
          </cell>
          <cell r="I19">
            <v>2617809.81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2412536.5300000012</v>
          </cell>
          <cell r="F22">
            <v>0</v>
          </cell>
          <cell r="G22">
            <v>0</v>
          </cell>
          <cell r="H22">
            <v>-23595.279999999999</v>
          </cell>
          <cell r="I22">
            <v>2388941.2500000014</v>
          </cell>
        </row>
        <row r="23">
          <cell r="B23"/>
          <cell r="C23"/>
          <cell r="E23"/>
          <cell r="F23"/>
          <cell r="G23"/>
          <cell r="H23"/>
          <cell r="I23"/>
        </row>
        <row r="24">
          <cell r="B24"/>
          <cell r="C24"/>
          <cell r="E24">
            <v>2412536.5300000012</v>
          </cell>
          <cell r="F24">
            <v>0</v>
          </cell>
          <cell r="G24">
            <v>0</v>
          </cell>
          <cell r="H24">
            <v>-23595.279999999999</v>
          </cell>
          <cell r="I24">
            <v>2388941.2500000014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335478</v>
          </cell>
          <cell r="F27">
            <v>0</v>
          </cell>
          <cell r="G27">
            <v>29348</v>
          </cell>
          <cell r="H27">
            <v>0</v>
          </cell>
          <cell r="I27">
            <v>364826</v>
          </cell>
        </row>
        <row r="28">
          <cell r="A28" t="str">
            <v>Reg liability - Inc Tax</v>
          </cell>
          <cell r="B28"/>
          <cell r="C28" t="str">
            <v>0254100</v>
          </cell>
          <cell r="D28" t="str">
            <v>Regulatory Liability - Income Tax</v>
          </cell>
          <cell r="E28">
            <v>-335478</v>
          </cell>
          <cell r="F28">
            <v>0</v>
          </cell>
          <cell r="G28">
            <v>-29348</v>
          </cell>
          <cell r="H28">
            <v>0</v>
          </cell>
          <cell r="I28">
            <v>-364826</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A38" t="str">
            <v>Deferred DSM Costs                      Amort not cash</v>
          </cell>
          <cell r="B38"/>
          <cell r="C38" t="str">
            <v>0182401</v>
          </cell>
          <cell r="D38" t="str">
            <v xml:space="preserve">Deferred DSM Costs                                                  </v>
          </cell>
          <cell r="E38">
            <v>0</v>
          </cell>
          <cell r="F38">
            <v>0</v>
          </cell>
          <cell r="G38">
            <v>0</v>
          </cell>
          <cell r="H38">
            <v>0</v>
          </cell>
          <cell r="I38">
            <v>0</v>
          </cell>
        </row>
        <row r="39">
          <cell r="B39"/>
          <cell r="C39"/>
          <cell r="E39"/>
          <cell r="F39"/>
          <cell r="G39"/>
          <cell r="H39"/>
          <cell r="I39"/>
        </row>
        <row r="40">
          <cell r="B40"/>
          <cell r="C40"/>
          <cell r="E40"/>
          <cell r="F40"/>
          <cell r="G40"/>
          <cell r="H40"/>
          <cell r="I40"/>
        </row>
        <row r="41">
          <cell r="B41"/>
          <cell r="C41"/>
          <cell r="E41"/>
          <cell r="F41"/>
          <cell r="G41"/>
          <cell r="H41"/>
          <cell r="I41"/>
        </row>
        <row r="42">
          <cell r="C42" t="str">
            <v>Other regulatory assets</v>
          </cell>
          <cell r="E42"/>
          <cell r="F42"/>
          <cell r="G42"/>
          <cell r="H42"/>
          <cell r="I42"/>
        </row>
        <row r="43">
          <cell r="A43" t="str">
            <v>ULH&amp;P LERP Delayed Cash Costs</v>
          </cell>
          <cell r="B43"/>
          <cell r="C43" t="str">
            <v>0182910</v>
          </cell>
          <cell r="D43" t="str">
            <v>ULH&amp;P LERP Delayed Cash Costs</v>
          </cell>
          <cell r="E43">
            <v>0</v>
          </cell>
          <cell r="F43">
            <v>0</v>
          </cell>
          <cell r="G43">
            <v>0</v>
          </cell>
          <cell r="H43">
            <v>0</v>
          </cell>
          <cell r="I43">
            <v>0</v>
          </cell>
        </row>
        <row r="44">
          <cell r="B44"/>
          <cell r="C44"/>
          <cell r="E44"/>
          <cell r="F44"/>
          <cell r="G44"/>
          <cell r="H44"/>
          <cell r="I44"/>
        </row>
        <row r="45">
          <cell r="A45" t="str">
            <v>ULH&amp;P AMRP Study Costs</v>
          </cell>
          <cell r="B45"/>
          <cell r="C45" t="str">
            <v>0182975</v>
          </cell>
          <cell r="D45" t="str">
            <v>ULH&amp;P AMRP Study Costs</v>
          </cell>
          <cell r="E45">
            <v>0</v>
          </cell>
          <cell r="F45">
            <v>0</v>
          </cell>
          <cell r="G45">
            <v>0</v>
          </cell>
          <cell r="H45">
            <v>0</v>
          </cell>
          <cell r="I45">
            <v>0</v>
          </cell>
        </row>
        <row r="46">
          <cell r="B46"/>
          <cell r="C46"/>
          <cell r="E46"/>
          <cell r="F46"/>
          <cell r="G46"/>
          <cell r="H46"/>
          <cell r="I46"/>
        </row>
        <row r="47">
          <cell r="A47" t="str">
            <v>Project Caleb - Deferred Project Costs</v>
          </cell>
          <cell r="B47"/>
          <cell r="C47" t="str">
            <v>0182376</v>
          </cell>
          <cell r="D47" t="str">
            <v>Project Caleb - Deferred Project Costs</v>
          </cell>
          <cell r="E47">
            <v>0</v>
          </cell>
          <cell r="F47">
            <v>0</v>
          </cell>
          <cell r="G47">
            <v>0</v>
          </cell>
          <cell r="H47">
            <v>0</v>
          </cell>
          <cell r="I47">
            <v>0</v>
          </cell>
        </row>
        <row r="48">
          <cell r="B48"/>
          <cell r="C48"/>
          <cell r="E48"/>
          <cell r="F48"/>
          <cell r="G48"/>
          <cell r="H48"/>
          <cell r="I48"/>
        </row>
        <row r="49">
          <cell r="A49" t="str">
            <v>ULH&amp;P 2006 Electric Rate Case</v>
          </cell>
          <cell r="B49"/>
          <cell r="C49" t="str">
            <v>0182940</v>
          </cell>
          <cell r="D49" t="str">
            <v>ULH&amp;P 2006 Electric Rate Case</v>
          </cell>
          <cell r="E49">
            <v>0</v>
          </cell>
          <cell r="F49">
            <v>0</v>
          </cell>
          <cell r="G49">
            <v>0</v>
          </cell>
          <cell r="H49">
            <v>0</v>
          </cell>
          <cell r="I49">
            <v>0</v>
          </cell>
        </row>
        <row r="50">
          <cell r="B50"/>
          <cell r="C50"/>
          <cell r="E50"/>
          <cell r="F50"/>
          <cell r="G50"/>
          <cell r="H50"/>
          <cell r="I50"/>
        </row>
        <row r="51">
          <cell r="A51" t="str">
            <v>ULH&amp;P 2005 Gas Rate Case</v>
          </cell>
          <cell r="B51"/>
          <cell r="C51" t="str">
            <v>0182950</v>
          </cell>
          <cell r="D51" t="str">
            <v>ULH&amp;P 2005 Gas Rate Case</v>
          </cell>
          <cell r="E51">
            <v>0</v>
          </cell>
          <cell r="F51">
            <v>0</v>
          </cell>
          <cell r="G51">
            <v>0</v>
          </cell>
          <cell r="H51">
            <v>0</v>
          </cell>
          <cell r="I51">
            <v>0</v>
          </cell>
        </row>
        <row r="52">
          <cell r="B52"/>
          <cell r="C52"/>
          <cell r="E52"/>
          <cell r="F52"/>
          <cell r="G52"/>
          <cell r="H52"/>
          <cell r="I52"/>
        </row>
        <row r="53">
          <cell r="A53" t="str">
            <v>Interest Rate Hedges - AOCI - Purch Accting             not cash</v>
          </cell>
          <cell r="B53"/>
          <cell r="C53" t="str">
            <v>0182410</v>
          </cell>
          <cell r="D53" t="str">
            <v xml:space="preserve">Interest Rate Swap Reg Asset - AOCI - Purchase Accounting     </v>
          </cell>
          <cell r="E53">
            <v>5624021</v>
          </cell>
          <cell r="F53">
            <v>0</v>
          </cell>
          <cell r="G53">
            <v>-956450</v>
          </cell>
          <cell r="H53">
            <v>0</v>
          </cell>
          <cell r="I53">
            <v>4667571</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850000</v>
          </cell>
          <cell r="F59">
            <v>0</v>
          </cell>
          <cell r="G59">
            <v>50000</v>
          </cell>
          <cell r="H59">
            <v>0</v>
          </cell>
          <cell r="I59">
            <v>900000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cell r="F67"/>
          <cell r="G67"/>
          <cell r="H67"/>
          <cell r="I67"/>
        </row>
        <row r="68">
          <cell r="B68"/>
          <cell r="C68"/>
          <cell r="E68">
            <v>11386705</v>
          </cell>
          <cell r="F68">
            <v>0</v>
          </cell>
          <cell r="G68">
            <v>-906450</v>
          </cell>
          <cell r="H68">
            <v>0</v>
          </cell>
          <cell r="I68">
            <v>10480255</v>
          </cell>
        </row>
        <row r="69">
          <cell r="B69"/>
          <cell r="C69"/>
          <cell r="E69"/>
          <cell r="F69"/>
          <cell r="G69"/>
          <cell r="H69"/>
          <cell r="I69"/>
        </row>
        <row r="70">
          <cell r="A70"/>
          <cell r="B70" t="str">
            <v>Regulatory Asset  - Pension</v>
          </cell>
          <cell r="C70"/>
          <cell r="E70"/>
          <cell r="F70"/>
          <cell r="G70"/>
          <cell r="H70"/>
          <cell r="I70"/>
        </row>
        <row r="71">
          <cell r="A71" t="str">
            <v>Other Reg Assets - Gen Acct</v>
          </cell>
          <cell r="B71"/>
          <cell r="C71" t="str">
            <v>0182318</v>
          </cell>
          <cell r="D71" t="str">
            <v>Other Reg Assets - Gen Acct</v>
          </cell>
          <cell r="E71">
            <v>0</v>
          </cell>
          <cell r="F71">
            <v>0</v>
          </cell>
          <cell r="G71">
            <v>0</v>
          </cell>
          <cell r="H71">
            <v>0</v>
          </cell>
          <cell r="I71">
            <v>0</v>
          </cell>
        </row>
        <row r="72">
          <cell r="A72" t="str">
            <v>Accrued Pension Post Retire FAS158                       Not Cash</v>
          </cell>
          <cell r="B72"/>
          <cell r="C72" t="str">
            <v>0186802</v>
          </cell>
          <cell r="D72" t="str">
            <v xml:space="preserve">Accrued Pension Post Retire FAS158                       </v>
          </cell>
          <cell r="E72">
            <v>32129399.440000001</v>
          </cell>
          <cell r="F72">
            <v>0</v>
          </cell>
          <cell r="G72">
            <v>-263995</v>
          </cell>
          <cell r="H72">
            <v>0</v>
          </cell>
          <cell r="I72">
            <v>31865404.440000001</v>
          </cell>
        </row>
        <row r="73">
          <cell r="A73" t="str">
            <v>Accrued Pension Post Retire FAS 158     not cash - 0186803</v>
          </cell>
          <cell r="B73"/>
          <cell r="C73" t="str">
            <v>0186803</v>
          </cell>
          <cell r="D73" t="str">
            <v xml:space="preserve">Accrued Pension Post Retire FAS 158     </v>
          </cell>
          <cell r="E73">
            <v>3782277.55</v>
          </cell>
          <cell r="F73">
            <v>0</v>
          </cell>
          <cell r="G73">
            <v>-25224</v>
          </cell>
          <cell r="H73">
            <v>0</v>
          </cell>
          <cell r="I73">
            <v>3757053.55</v>
          </cell>
        </row>
        <row r="74">
          <cell r="A74" t="str">
            <v>Accrued Pension Post Retire FAS 158     not cash - 0186805</v>
          </cell>
          <cell r="B74"/>
          <cell r="C74" t="str">
            <v>0186805</v>
          </cell>
          <cell r="D74" t="str">
            <v xml:space="preserve">Accrued Pension Post Retire FAS 158     </v>
          </cell>
          <cell r="E74">
            <v>70394.05</v>
          </cell>
          <cell r="F74">
            <v>0</v>
          </cell>
          <cell r="G74">
            <v>-839</v>
          </cell>
          <cell r="H74">
            <v>0</v>
          </cell>
          <cell r="I74">
            <v>69555.05</v>
          </cell>
        </row>
        <row r="75">
          <cell r="B75"/>
          <cell r="C75"/>
          <cell r="E75"/>
          <cell r="F75"/>
          <cell r="G75"/>
          <cell r="H75"/>
          <cell r="I75"/>
        </row>
        <row r="76">
          <cell r="B76"/>
          <cell r="C76"/>
          <cell r="E76">
            <v>35982071.039999999</v>
          </cell>
          <cell r="F76">
            <v>0</v>
          </cell>
          <cell r="G76">
            <v>-290058</v>
          </cell>
          <cell r="H76">
            <v>0</v>
          </cell>
          <cell r="I76">
            <v>35692013.039999999</v>
          </cell>
        </row>
        <row r="77">
          <cell r="B77" t="str">
            <v>Misc</v>
          </cell>
          <cell r="C77"/>
          <cell r="E77"/>
          <cell r="F77"/>
          <cell r="G77"/>
          <cell r="H77"/>
          <cell r="I77"/>
        </row>
        <row r="78">
          <cell r="A78" t="str">
            <v xml:space="preserve">Native Deferred MTM Asset        </v>
          </cell>
          <cell r="B78"/>
          <cell r="C78" t="str">
            <v>0174995</v>
          </cell>
          <cell r="D78" t="str">
            <v xml:space="preserve">Native Deferred MTM Asset        </v>
          </cell>
          <cell r="E78">
            <v>0</v>
          </cell>
          <cell r="F78">
            <v>0</v>
          </cell>
          <cell r="G78">
            <v>0</v>
          </cell>
          <cell r="H78">
            <v>0</v>
          </cell>
          <cell r="I78">
            <v>0</v>
          </cell>
        </row>
        <row r="79">
          <cell r="A79" t="str">
            <v>Other Current Assets</v>
          </cell>
          <cell r="B79"/>
          <cell r="C79" t="str">
            <v>0174100</v>
          </cell>
          <cell r="D79" t="str">
            <v>Other Current Assets</v>
          </cell>
          <cell r="E79">
            <v>0</v>
          </cell>
          <cell r="F79">
            <v>0</v>
          </cell>
          <cell r="G79">
            <v>0</v>
          </cell>
          <cell r="H79">
            <v>0</v>
          </cell>
          <cell r="I79">
            <v>0</v>
          </cell>
        </row>
        <row r="80">
          <cell r="B80"/>
          <cell r="C80"/>
          <cell r="D80"/>
          <cell r="E80"/>
          <cell r="F80"/>
          <cell r="G80"/>
          <cell r="H80"/>
          <cell r="I80"/>
        </row>
        <row r="81">
          <cell r="B81"/>
          <cell r="C81"/>
          <cell r="E81"/>
          <cell r="F81"/>
          <cell r="G81"/>
          <cell r="H81"/>
          <cell r="I81"/>
        </row>
        <row r="82">
          <cell r="B82"/>
          <cell r="C82" t="str">
            <v>TOTAL REGULATORY ASSETS</v>
          </cell>
          <cell r="D82"/>
          <cell r="E82">
            <v>55145787.040000007</v>
          </cell>
          <cell r="F82">
            <v>0</v>
          </cell>
          <cell r="G82">
            <v>-3943172.66</v>
          </cell>
          <cell r="H82">
            <v>-23595.279999999999</v>
          </cell>
          <cell r="I82">
            <v>51179019.100000001</v>
          </cell>
        </row>
        <row r="83">
          <cell r="A83"/>
          <cell r="B83"/>
          <cell r="C83"/>
          <cell r="D83"/>
          <cell r="E83"/>
          <cell r="F83"/>
          <cell r="G83"/>
          <cell r="H83"/>
          <cell r="I83"/>
        </row>
        <row r="84">
          <cell r="A84"/>
          <cell r="B84" t="str">
            <v>Accounts Payable</v>
          </cell>
          <cell r="C84"/>
          <cell r="D84"/>
          <cell r="E84"/>
          <cell r="F84"/>
          <cell r="G84"/>
          <cell r="H84"/>
          <cell r="I84"/>
        </row>
        <row r="85">
          <cell r="A85" t="str">
            <v xml:space="preserve">Unrecovered Purchased Gas Cost </v>
          </cell>
          <cell r="B85"/>
          <cell r="C85" t="str">
            <v>0191400</v>
          </cell>
          <cell r="D85" t="str">
            <v xml:space="preserve">Unrecovered Purchased Gas Cost </v>
          </cell>
          <cell r="E85">
            <v>-887759.38999999978</v>
          </cell>
          <cell r="F85">
            <v>0</v>
          </cell>
          <cell r="G85">
            <v>285805.93</v>
          </cell>
          <cell r="H85">
            <v>-46399.72</v>
          </cell>
          <cell r="I85">
            <v>-648353.1799999997</v>
          </cell>
        </row>
        <row r="86">
          <cell r="A86" t="str">
            <v xml:space="preserve">Unrecovered Purchased Gas Cost - Unbilled  </v>
          </cell>
          <cell r="B86"/>
          <cell r="C86" t="str">
            <v>0191800</v>
          </cell>
          <cell r="D86" t="str">
            <v xml:space="preserve">Unrecovered Purchased Gas Cost - Unbilled  </v>
          </cell>
          <cell r="E86">
            <v>-633942</v>
          </cell>
          <cell r="F86">
            <v>0</v>
          </cell>
          <cell r="G86">
            <v>175104</v>
          </cell>
          <cell r="H86">
            <v>0</v>
          </cell>
          <cell r="I86">
            <v>-458838</v>
          </cell>
        </row>
        <row r="87">
          <cell r="A87" t="str">
            <v xml:space="preserve">Native Deferred MTM Liability    </v>
          </cell>
          <cell r="B87"/>
          <cell r="C87" t="str">
            <v>0242895</v>
          </cell>
          <cell r="D87" t="str">
            <v xml:space="preserve">Native Deferred MTM Liability    </v>
          </cell>
          <cell r="E87">
            <v>463</v>
          </cell>
          <cell r="F87">
            <v>0</v>
          </cell>
          <cell r="G87">
            <v>-463</v>
          </cell>
          <cell r="H87">
            <v>0</v>
          </cell>
          <cell r="I87">
            <v>0</v>
          </cell>
        </row>
        <row r="88">
          <cell r="A88" t="str">
            <v xml:space="preserve">Ratepayer Sharing Provisions           </v>
          </cell>
          <cell r="B88"/>
          <cell r="C88" t="str">
            <v>0242981</v>
          </cell>
          <cell r="D88" t="str">
            <v xml:space="preserve">Ratepayer Sharing Provisions           </v>
          </cell>
          <cell r="E88">
            <v>-2.9103830456733704E-11</v>
          </cell>
          <cell r="F88">
            <v>0</v>
          </cell>
          <cell r="G88">
            <v>-218833.44</v>
          </cell>
          <cell r="H88">
            <v>0</v>
          </cell>
          <cell r="I88">
            <v>-218833.44000000003</v>
          </cell>
        </row>
        <row r="89">
          <cell r="A89" t="str">
            <v xml:space="preserve">Gas Refunds and Reconciliation Adjustments  </v>
          </cell>
          <cell r="B89"/>
          <cell r="C89" t="str">
            <v>0253130</v>
          </cell>
          <cell r="D89" t="str">
            <v xml:space="preserve">Gas Refunds and Reconciliation Adjustments  </v>
          </cell>
          <cell r="E89">
            <v>164318.88</v>
          </cell>
          <cell r="F89">
            <v>0</v>
          </cell>
          <cell r="G89">
            <v>0</v>
          </cell>
          <cell r="H89">
            <v>10889.37</v>
          </cell>
          <cell r="I89">
            <v>175208.25</v>
          </cell>
        </row>
        <row r="90">
          <cell r="A90" t="str">
            <v>Deferred Rev Pay - Fuel</v>
          </cell>
          <cell r="B90"/>
          <cell r="C90" t="str">
            <v>0242890</v>
          </cell>
          <cell r="D90" t="str">
            <v>Deferred Revenue Payable - Fuel</v>
          </cell>
          <cell r="E90">
            <v>0</v>
          </cell>
          <cell r="F90"/>
          <cell r="G90">
            <v>-145134.72</v>
          </cell>
          <cell r="H90">
            <v>0</v>
          </cell>
          <cell r="I90">
            <v>-145134.72</v>
          </cell>
        </row>
        <row r="91">
          <cell r="B91"/>
          <cell r="C91"/>
          <cell r="E91"/>
          <cell r="F91"/>
          <cell r="G91"/>
          <cell r="H91"/>
          <cell r="I91"/>
        </row>
        <row r="92">
          <cell r="B92"/>
          <cell r="C92"/>
          <cell r="D92"/>
          <cell r="E92">
            <v>-1356919.5099999998</v>
          </cell>
          <cell r="F92">
            <v>0</v>
          </cell>
          <cell r="G92">
            <v>96478.76999999999</v>
          </cell>
          <cell r="H92">
            <v>-35510.35</v>
          </cell>
          <cell r="I92">
            <v>-1295951.0899999996</v>
          </cell>
        </row>
        <row r="93">
          <cell r="B93"/>
          <cell r="C93"/>
          <cell r="D93"/>
          <cell r="E93"/>
          <cell r="F93"/>
          <cell r="G93"/>
          <cell r="H93"/>
          <cell r="I93"/>
        </row>
        <row r="94">
          <cell r="B94" t="str">
            <v>Regulatory Liability - Current</v>
          </cell>
          <cell r="C94"/>
          <cell r="D94"/>
          <cell r="E94"/>
          <cell r="F94"/>
          <cell r="G94"/>
          <cell r="H94"/>
          <cell r="I94"/>
        </row>
        <row r="95">
          <cell r="A95" t="str">
            <v>Current Regulatory Liabilities</v>
          </cell>
          <cell r="B95"/>
          <cell r="C95" t="str">
            <v>0254988</v>
          </cell>
          <cell r="D95" t="str">
            <v>Current Portion of Regulatory Liabilities</v>
          </cell>
          <cell r="E95">
            <v>0</v>
          </cell>
          <cell r="F95">
            <v>0</v>
          </cell>
          <cell r="G95">
            <v>0</v>
          </cell>
          <cell r="H95">
            <v>0</v>
          </cell>
          <cell r="I95">
            <v>0</v>
          </cell>
        </row>
        <row r="96">
          <cell r="A96" t="str">
            <v>Current Portion of Reg Liabilities</v>
          </cell>
          <cell r="B96"/>
          <cell r="C96" t="str">
            <v>0242988</v>
          </cell>
          <cell r="D96" t="str">
            <v>Current Portion of Regulatory Liabilities</v>
          </cell>
          <cell r="E96">
            <v>0</v>
          </cell>
          <cell r="F96">
            <v>0</v>
          </cell>
          <cell r="G96">
            <v>0</v>
          </cell>
          <cell r="H96">
            <v>0</v>
          </cell>
          <cell r="I96">
            <v>0</v>
          </cell>
        </row>
        <row r="97">
          <cell r="B97"/>
          <cell r="C97"/>
          <cell r="E97"/>
          <cell r="F97"/>
          <cell r="G97"/>
          <cell r="H97"/>
          <cell r="I97"/>
        </row>
        <row r="98">
          <cell r="B98"/>
          <cell r="C98"/>
          <cell r="D98"/>
          <cell r="E98">
            <v>0</v>
          </cell>
          <cell r="F98">
            <v>0</v>
          </cell>
          <cell r="G98">
            <v>0</v>
          </cell>
          <cell r="H98">
            <v>0</v>
          </cell>
          <cell r="I98">
            <v>0</v>
          </cell>
        </row>
        <row r="99">
          <cell r="B99"/>
          <cell r="C99"/>
          <cell r="D99"/>
          <cell r="E99"/>
          <cell r="F99"/>
          <cell r="G99"/>
          <cell r="H99"/>
          <cell r="I99"/>
        </row>
        <row r="100">
          <cell r="A100"/>
          <cell r="B100" t="str">
            <v>Regulatory Liability - Pension</v>
          </cell>
          <cell r="C100"/>
          <cell r="D100"/>
          <cell r="E100"/>
          <cell r="F100"/>
          <cell r="G100" t="str">
            <v>.</v>
          </cell>
          <cell r="H100"/>
          <cell r="I100"/>
        </row>
        <row r="101">
          <cell r="A101" t="str">
            <v>Pension Deferred Credits - OPEB Amort cash</v>
          </cell>
          <cell r="B101"/>
          <cell r="C101" t="str">
            <v>0253690</v>
          </cell>
          <cell r="D101" t="str">
            <v>Pension Deferred Credits - OPEB</v>
          </cell>
          <cell r="E101">
            <v>-3009275.63</v>
          </cell>
          <cell r="F101">
            <v>0</v>
          </cell>
          <cell r="G101">
            <v>24065</v>
          </cell>
          <cell r="H101">
            <v>0</v>
          </cell>
          <cell r="I101">
            <v>-2985210.63</v>
          </cell>
        </row>
        <row r="102">
          <cell r="B102"/>
          <cell r="C102"/>
          <cell r="D102"/>
          <cell r="E102"/>
          <cell r="F102"/>
          <cell r="G102"/>
          <cell r="H102"/>
          <cell r="I102"/>
        </row>
        <row r="103">
          <cell r="B103" t="str">
            <v>Other Deferred Credits-Compensation Liabilities</v>
          </cell>
          <cell r="C103"/>
          <cell r="E103"/>
          <cell r="F103"/>
          <cell r="G103"/>
          <cell r="H103"/>
          <cell r="I103"/>
        </row>
        <row r="104">
          <cell r="A104" t="str">
            <v>Deferred Regulatory Liability    not cash</v>
          </cell>
          <cell r="B104"/>
          <cell r="C104" t="str">
            <v>0254101</v>
          </cell>
          <cell r="D104" t="str">
            <v xml:space="preserve">Deferred Regulatory Liability    </v>
          </cell>
          <cell r="E104">
            <v>-314272.8</v>
          </cell>
          <cell r="F104">
            <v>0</v>
          </cell>
          <cell r="G104">
            <v>35681</v>
          </cell>
          <cell r="H104">
            <v>0</v>
          </cell>
          <cell r="I104">
            <v>-278591.8</v>
          </cell>
        </row>
        <row r="105">
          <cell r="A105" t="str">
            <v>Deferred DSM Costs - Amort not cash</v>
          </cell>
          <cell r="B105"/>
          <cell r="C105" t="str">
            <v>0254401</v>
          </cell>
          <cell r="D105" t="str">
            <v xml:space="preserve">Deferred DSM Costs </v>
          </cell>
          <cell r="E105">
            <v>-257229</v>
          </cell>
          <cell r="F105">
            <v>0</v>
          </cell>
          <cell r="G105">
            <v>425143.33</v>
          </cell>
          <cell r="H105">
            <v>0</v>
          </cell>
          <cell r="I105">
            <v>167914.33000000002</v>
          </cell>
        </row>
        <row r="106">
          <cell r="A106" t="str">
            <v>Reg Liab - Native EA Swaps       not cash</v>
          </cell>
          <cell r="B106"/>
          <cell r="C106" t="str">
            <v>0254210</v>
          </cell>
          <cell r="D106" t="str">
            <v xml:space="preserve">Regulatory Liability Emission Allowance Swaps       </v>
          </cell>
          <cell r="E106">
            <v>-92407.140000000014</v>
          </cell>
          <cell r="F106">
            <v>0</v>
          </cell>
          <cell r="G106">
            <v>4528.2299999999996</v>
          </cell>
          <cell r="H106">
            <v>0</v>
          </cell>
          <cell r="I106">
            <v>-87878.910000000018</v>
          </cell>
        </row>
        <row r="107">
          <cell r="B107"/>
          <cell r="C107"/>
          <cell r="D107"/>
          <cell r="E107"/>
          <cell r="F107"/>
          <cell r="G107"/>
          <cell r="H107"/>
          <cell r="I107"/>
        </row>
        <row r="108">
          <cell r="B108"/>
          <cell r="C108"/>
          <cell r="E108">
            <v>-663908.94000000006</v>
          </cell>
          <cell r="F108">
            <v>0</v>
          </cell>
          <cell r="G108">
            <v>465352.56</v>
          </cell>
          <cell r="H108">
            <v>0</v>
          </cell>
          <cell r="I108">
            <v>-198556.38</v>
          </cell>
        </row>
        <row r="109">
          <cell r="B109" t="str">
            <v>Removal Costs - Regulatory Liabilities</v>
          </cell>
          <cell r="C109"/>
          <cell r="E109"/>
          <cell r="F109"/>
          <cell r="G109"/>
          <cell r="H109"/>
          <cell r="I109"/>
        </row>
        <row r="110">
          <cell r="A110" t="str">
            <v>Gas Accumulated Provision for Depreciation COR - not cash</v>
          </cell>
          <cell r="B110"/>
          <cell r="C110" t="str">
            <v>0108301</v>
          </cell>
          <cell r="D110" t="str">
            <v>Gas Accumulated Provision for Depreciation COR</v>
          </cell>
          <cell r="E110">
            <v>-16012901.120000003</v>
          </cell>
          <cell r="F110">
            <v>0</v>
          </cell>
          <cell r="G110">
            <v>-38193.31</v>
          </cell>
          <cell r="H110">
            <v>0</v>
          </cell>
          <cell r="I110">
            <v>-16051094.430000003</v>
          </cell>
        </row>
        <row r="111">
          <cell r="A111" t="str">
            <v xml:space="preserve">Electric Accumulated Provision for Depreciation COR - not cash </v>
          </cell>
          <cell r="B111"/>
          <cell r="C111" t="str">
            <v>0108301</v>
          </cell>
          <cell r="D111" t="str">
            <v>Electric Accumulated Provision for Depreciation COR</v>
          </cell>
          <cell r="E111">
            <v>-45022997.640000001</v>
          </cell>
          <cell r="F111">
            <v>0</v>
          </cell>
          <cell r="G111">
            <v>-364093.06</v>
          </cell>
          <cell r="H111">
            <v>0</v>
          </cell>
          <cell r="I111">
            <v>-45387090.700000003</v>
          </cell>
        </row>
        <row r="112">
          <cell r="A112" t="str">
            <v>Retirement Work in Progress - not cash</v>
          </cell>
          <cell r="B112"/>
          <cell r="C112" t="str">
            <v>0108620</v>
          </cell>
          <cell r="D112" t="str">
            <v>Retirement Work in Progress</v>
          </cell>
          <cell r="E112">
            <v>-7414699.9200000009</v>
          </cell>
          <cell r="F112">
            <v>0</v>
          </cell>
          <cell r="G112">
            <v>-106914.59</v>
          </cell>
          <cell r="H112">
            <v>0</v>
          </cell>
          <cell r="I112">
            <v>-7521614.5100000007</v>
          </cell>
        </row>
        <row r="113">
          <cell r="A113" t="str">
            <v>ARO other regulatory assets - not cash</v>
          </cell>
          <cell r="B113"/>
          <cell r="C113" t="str">
            <v>0182402</v>
          </cell>
          <cell r="D113" t="str">
            <v>ARO Other Regulatory Assets</v>
          </cell>
          <cell r="E113">
            <v>721865.09</v>
          </cell>
          <cell r="F113">
            <v>0</v>
          </cell>
          <cell r="G113">
            <v>4237.05</v>
          </cell>
          <cell r="H113">
            <v>0</v>
          </cell>
          <cell r="I113">
            <v>726102.14</v>
          </cell>
        </row>
        <row r="114">
          <cell r="A114" t="str">
            <v>Gas ARO other regulatory assets - not cash</v>
          </cell>
          <cell r="B114"/>
          <cell r="C114" t="str">
            <v>0182403</v>
          </cell>
          <cell r="D114" t="str">
            <v>Gas ARO Other Regulatory Assets</v>
          </cell>
          <cell r="E114">
            <v>3657507.7300000004</v>
          </cell>
          <cell r="F114">
            <v>0</v>
          </cell>
          <cell r="G114">
            <v>21425.62</v>
          </cell>
          <cell r="H114">
            <v>0</v>
          </cell>
          <cell r="I114">
            <v>3678933.3500000006</v>
          </cell>
        </row>
        <row r="115">
          <cell r="A115" t="str">
            <v>Common Accumulated Provision for Depreciation COR - not cash</v>
          </cell>
          <cell r="B115"/>
          <cell r="C115" t="str">
            <v>0108151</v>
          </cell>
          <cell r="D115" t="str">
            <v>Common Accumulated Provision for Depreciation COR</v>
          </cell>
          <cell r="E115">
            <v>-21971.960000000003</v>
          </cell>
          <cell r="F115">
            <v>0</v>
          </cell>
          <cell r="G115">
            <v>-6508.73</v>
          </cell>
          <cell r="H115">
            <v>0</v>
          </cell>
          <cell r="I115">
            <v>-28480.690000000002</v>
          </cell>
        </row>
        <row r="116">
          <cell r="B116"/>
          <cell r="C116"/>
          <cell r="E116"/>
          <cell r="F116"/>
          <cell r="G116"/>
          <cell r="H116"/>
          <cell r="I116"/>
        </row>
        <row r="117">
          <cell r="B117"/>
          <cell r="C117"/>
          <cell r="E117">
            <v>-64093197.82</v>
          </cell>
          <cell r="F117">
            <v>0</v>
          </cell>
          <cell r="G117">
            <v>-490047.01999999996</v>
          </cell>
          <cell r="H117">
            <v>0</v>
          </cell>
          <cell r="I117">
            <v>-64583244.840000011</v>
          </cell>
        </row>
        <row r="118">
          <cell r="B118"/>
          <cell r="C118"/>
          <cell r="D118"/>
          <cell r="E118"/>
          <cell r="F118"/>
          <cell r="G118"/>
          <cell r="H118"/>
          <cell r="I118"/>
        </row>
        <row r="119">
          <cell r="A119" t="str">
            <v xml:space="preserve">TOTAL REGULATORY LIABILITIES </v>
          </cell>
          <cell r="B119"/>
          <cell r="C119" t="str">
            <v xml:space="preserve">TOTAL REGULATORY LIABILITIES </v>
          </cell>
          <cell r="D119"/>
          <cell r="E119">
            <v>-69123301.900000006</v>
          </cell>
          <cell r="F119">
            <v>0</v>
          </cell>
          <cell r="G119">
            <v>95849.31</v>
          </cell>
          <cell r="H119">
            <v>-35510.35</v>
          </cell>
          <cell r="I119">
            <v>-69062962.940000013</v>
          </cell>
        </row>
        <row r="120">
          <cell r="A120"/>
          <cell r="B120"/>
          <cell r="C120"/>
          <cell r="D120"/>
          <cell r="E120"/>
          <cell r="F120"/>
          <cell r="G120"/>
          <cell r="H120"/>
          <cell r="I120"/>
        </row>
        <row r="121">
          <cell r="A121" t="str">
            <v>TOTAL REG ASSETS AND REG LIABILITIES</v>
          </cell>
          <cell r="B121"/>
          <cell r="C121"/>
          <cell r="D121" t="str">
            <v>TOTAL REGULATORY ASSETS AND LIABILITIES</v>
          </cell>
          <cell r="E121">
            <v>-13977514.859999999</v>
          </cell>
          <cell r="F121">
            <v>0</v>
          </cell>
          <cell r="G121">
            <v>-3847323.35</v>
          </cell>
          <cell r="H121">
            <v>-59105.63</v>
          </cell>
          <cell r="I121">
            <v>-17883943.840000011</v>
          </cell>
        </row>
        <row r="122">
          <cell r="A122"/>
          <cell r="B122"/>
          <cell r="C122"/>
          <cell r="D122"/>
          <cell r="E122"/>
          <cell r="F122"/>
          <cell r="G122"/>
          <cell r="H122"/>
          <cell r="I122"/>
        </row>
        <row r="123">
          <cell r="A123" t="str">
            <v>Less sum of non-cash items</v>
          </cell>
          <cell r="B123"/>
          <cell r="C123"/>
          <cell r="D123" t="str">
            <v>Less sum of non-cash items</v>
          </cell>
          <cell r="E123"/>
          <cell r="F123"/>
          <cell r="G123">
            <v>1247137.46</v>
          </cell>
          <cell r="H123">
            <v>23595.279999999999</v>
          </cell>
          <cell r="I123"/>
        </row>
        <row r="124">
          <cell r="A124"/>
          <cell r="B124"/>
          <cell r="C124"/>
          <cell r="D124"/>
          <cell r="E124"/>
          <cell r="F124"/>
          <cell r="G124"/>
          <cell r="H124"/>
          <cell r="I124"/>
        </row>
        <row r="125">
          <cell r="A125" t="str">
            <v>Regulatory asset on cash flow statement</v>
          </cell>
          <cell r="B125"/>
          <cell r="C125"/>
          <cell r="D125" t="str">
            <v>Regulatory asset on cash flow statement</v>
          </cell>
          <cell r="E125"/>
          <cell r="F125"/>
          <cell r="G125">
            <v>-2600185.89</v>
          </cell>
          <cell r="H125">
            <v>-35510.35</v>
          </cell>
          <cell r="I125"/>
        </row>
        <row r="126">
          <cell r="A126"/>
          <cell r="B126"/>
          <cell r="C126"/>
          <cell r="D126"/>
          <cell r="E126"/>
          <cell r="F126"/>
          <cell r="G126"/>
          <cell r="H126"/>
          <cell r="I126"/>
        </row>
        <row r="127">
          <cell r="A127" t="str">
            <v>Regulatory asset total on cash flow statement</v>
          </cell>
          <cell r="B127"/>
          <cell r="C127"/>
          <cell r="D127" t="str">
            <v>Regulatory asset total on cash flow statement</v>
          </cell>
          <cell r="E127"/>
          <cell r="F127"/>
          <cell r="G127">
            <v>-2635696.2400000002</v>
          </cell>
          <cell r="H127"/>
          <cell r="I127"/>
        </row>
        <row r="128">
          <cell r="B128"/>
          <cell r="C128"/>
          <cell r="E128"/>
          <cell r="F128"/>
          <cell r="G128"/>
          <cell r="H128"/>
          <cell r="I128"/>
        </row>
        <row r="129">
          <cell r="A129" t="str">
            <v>By F/S Line</v>
          </cell>
          <cell r="B129"/>
          <cell r="C129"/>
          <cell r="D129" t="str">
            <v>By F/S Line</v>
          </cell>
          <cell r="E129"/>
          <cell r="F129"/>
          <cell r="G129"/>
          <cell r="H129"/>
          <cell r="I129"/>
        </row>
        <row r="130">
          <cell r="A130" t="str">
            <v>Regulatory Asset in A/R - Trade</v>
          </cell>
          <cell r="B130"/>
          <cell r="C130"/>
          <cell r="D130" t="str">
            <v>Regulatory Asset in A/R - Trade</v>
          </cell>
          <cell r="E130">
            <v>0</v>
          </cell>
          <cell r="F130">
            <v>0</v>
          </cell>
          <cell r="G130"/>
          <cell r="H130">
            <v>0</v>
          </cell>
          <cell r="I130">
            <v>0</v>
          </cell>
        </row>
        <row r="131">
          <cell r="A131" t="str">
            <v>Reg Asset Receivable Gaap Node 1211</v>
          </cell>
          <cell r="B131"/>
          <cell r="C131"/>
          <cell r="D131" t="str">
            <v>Reg Asset Receivable Gaap Node 1211</v>
          </cell>
          <cell r="E131">
            <v>2663295.6599999997</v>
          </cell>
          <cell r="F131">
            <v>0</v>
          </cell>
          <cell r="G131"/>
          <cell r="H131"/>
          <cell r="I131">
            <v>-4.6566128730773926E-10</v>
          </cell>
        </row>
        <row r="132">
          <cell r="A132" t="str">
            <v>Other Current Assets - Reg Gaap Node 1491</v>
          </cell>
          <cell r="B132"/>
          <cell r="C132"/>
          <cell r="D132" t="str">
            <v>Other Current Assets - Reg Gaap Node 1491</v>
          </cell>
          <cell r="E132">
            <v>2701178.81</v>
          </cell>
          <cell r="F132">
            <v>0</v>
          </cell>
          <cell r="G132"/>
          <cell r="H132"/>
          <cell r="I132">
            <v>2617809.81</v>
          </cell>
        </row>
        <row r="133">
          <cell r="A133" t="str">
            <v>Unamortized Loss on Debt - Gaap Node 1821</v>
          </cell>
          <cell r="B133"/>
          <cell r="C133"/>
          <cell r="D133" t="str">
            <v>Unamortized Loss on Debt - Gaap Node 1821</v>
          </cell>
          <cell r="E133">
            <v>2412536.5300000012</v>
          </cell>
          <cell r="F133">
            <v>0</v>
          </cell>
          <cell r="G133"/>
          <cell r="H133"/>
          <cell r="I133">
            <v>2388941.2500000014</v>
          </cell>
        </row>
        <row r="134">
          <cell r="A134" t="str">
            <v>Amounts due from Customers Income Taxes</v>
          </cell>
          <cell r="B134"/>
          <cell r="C134"/>
          <cell r="D134" t="str">
            <v>Amounts due from Customers Income Taxes</v>
          </cell>
          <cell r="E134">
            <v>0</v>
          </cell>
          <cell r="F134">
            <v>0</v>
          </cell>
          <cell r="G134"/>
          <cell r="H134"/>
          <cell r="I134">
            <v>0</v>
          </cell>
        </row>
        <row r="135">
          <cell r="A135" t="str">
            <v>Other Deferred Debits - Regulatory Assets Gaap Node 1861</v>
          </cell>
          <cell r="B135"/>
          <cell r="C135"/>
          <cell r="D135" t="str">
            <v>Other Deferred Debits - Regulatory Assets Gaap Node 1861</v>
          </cell>
          <cell r="E135">
            <v>11386705</v>
          </cell>
          <cell r="F135">
            <v>0</v>
          </cell>
          <cell r="G135"/>
          <cell r="H135"/>
          <cell r="I135">
            <v>10480255</v>
          </cell>
        </row>
        <row r="136">
          <cell r="A136" t="str">
            <v>Regulatory Assets - Pension - Gaap Node1870</v>
          </cell>
          <cell r="B136"/>
          <cell r="C136"/>
          <cell r="D136" t="str">
            <v>Regulatory Assets - Pension - Gaap Node1870</v>
          </cell>
          <cell r="E136">
            <v>35982071.039999999</v>
          </cell>
          <cell r="F136">
            <v>0</v>
          </cell>
          <cell r="G136"/>
          <cell r="H136"/>
          <cell r="I136">
            <v>35692013.039999999</v>
          </cell>
        </row>
        <row r="137">
          <cell r="A137" t="str">
            <v>Regulatory Liabilities in A/P</v>
          </cell>
          <cell r="B137"/>
          <cell r="C137"/>
          <cell r="D137" t="str">
            <v>Regulatory Liabilities in A/P</v>
          </cell>
          <cell r="E137">
            <v>0</v>
          </cell>
          <cell r="F137">
            <v>0</v>
          </cell>
          <cell r="G137"/>
          <cell r="H137"/>
          <cell r="I137">
            <v>0</v>
          </cell>
        </row>
        <row r="138">
          <cell r="A138" t="str">
            <v>Reg Asset Payable - Gaap Node 2103</v>
          </cell>
          <cell r="B138"/>
          <cell r="C138"/>
          <cell r="D138" t="str">
            <v>Reg Asset Payable - Gaap Node 2103</v>
          </cell>
          <cell r="E138">
            <v>-1356919.5099999998</v>
          </cell>
          <cell r="F138" t="e">
            <v>#REF!</v>
          </cell>
          <cell r="G138"/>
          <cell r="H138"/>
          <cell r="I138">
            <v>-1295951.0899999996</v>
          </cell>
        </row>
        <row r="139">
          <cell r="A139"/>
          <cell r="B139"/>
          <cell r="C139"/>
          <cell r="D139" t="str">
            <v>Other Current Liabilties - Gaap Node 2365</v>
          </cell>
          <cell r="E139">
            <v>0</v>
          </cell>
          <cell r="F139"/>
          <cell r="G139"/>
          <cell r="H139"/>
          <cell r="I139">
            <v>0</v>
          </cell>
        </row>
        <row r="140">
          <cell r="A140" t="str">
            <v>RegulatoryLiabilities - Pension - Gaap Node 2647</v>
          </cell>
          <cell r="B140"/>
          <cell r="C140"/>
          <cell r="D140" t="str">
            <v>RegulatoryLiabilities - Pension - Gaap Node 2647</v>
          </cell>
          <cell r="E140">
            <v>-3009275.63</v>
          </cell>
          <cell r="F140" t="e">
            <v>#REF!</v>
          </cell>
          <cell r="G140"/>
          <cell r="H140"/>
          <cell r="I140">
            <v>-2985210.63</v>
          </cell>
        </row>
        <row r="141">
          <cell r="A141" t="str">
            <v>Other Deferred Cr - Compensation Liab - Gaap Node 2648</v>
          </cell>
          <cell r="B141"/>
          <cell r="C141"/>
          <cell r="D141" t="str">
            <v>Other Deferred Cr - Compensation Liab - Gaap Node 2648</v>
          </cell>
          <cell r="E141">
            <v>-663908.94000000006</v>
          </cell>
          <cell r="F141" t="e">
            <v>#REF!</v>
          </cell>
          <cell r="G141"/>
          <cell r="H141"/>
          <cell r="I141">
            <v>-198556.38</v>
          </cell>
        </row>
        <row r="142">
          <cell r="A142" t="str">
            <v>Regulatory Liabilities - Removal Costs Gaap Node 2652</v>
          </cell>
          <cell r="B142"/>
          <cell r="C142"/>
          <cell r="D142" t="str">
            <v>Regulatory Liabilities - Removal Costs Gaap Node 2652</v>
          </cell>
          <cell r="E142">
            <v>-64093197.82</v>
          </cell>
          <cell r="F142">
            <v>0</v>
          </cell>
          <cell r="G142"/>
          <cell r="H142"/>
          <cell r="I142">
            <v>-64583244.840000011</v>
          </cell>
        </row>
        <row r="143">
          <cell r="A143"/>
          <cell r="B143"/>
          <cell r="C143"/>
          <cell r="D143"/>
          <cell r="E143"/>
          <cell r="F143"/>
          <cell r="G143"/>
          <cell r="H143"/>
          <cell r="I143"/>
        </row>
        <row r="144">
          <cell r="A144" t="str">
            <v>Total</v>
          </cell>
          <cell r="B144"/>
          <cell r="C144"/>
          <cell r="D144" t="str">
            <v>Total</v>
          </cell>
          <cell r="E144">
            <v>-13977514.859999999</v>
          </cell>
          <cell r="F144" t="e">
            <v>#REF!</v>
          </cell>
          <cell r="G144"/>
          <cell r="H144"/>
          <cell r="I144">
            <v>-17883943.840000011</v>
          </cell>
        </row>
        <row r="145">
          <cell r="B145"/>
          <cell r="C145"/>
          <cell r="F145"/>
          <cell r="G145"/>
          <cell r="H145"/>
          <cell r="I145"/>
        </row>
        <row r="146">
          <cell r="B146"/>
          <cell r="C146"/>
          <cell r="E146">
            <v>0</v>
          </cell>
          <cell r="F146"/>
          <cell r="G146"/>
          <cell r="H146"/>
          <cell r="I146">
            <v>0</v>
          </cell>
        </row>
        <row r="147">
          <cell r="B147"/>
          <cell r="C147"/>
          <cell r="F147"/>
          <cell r="G147"/>
          <cell r="H147"/>
          <cell r="I147"/>
        </row>
        <row r="148">
          <cell r="B148"/>
          <cell r="C148"/>
          <cell r="F148"/>
          <cell r="G148"/>
          <cell r="H148"/>
          <cell r="I148"/>
        </row>
        <row r="149">
          <cell r="B149"/>
          <cell r="C149"/>
          <cell r="F149"/>
          <cell r="G149"/>
          <cell r="H149"/>
          <cell r="I149"/>
        </row>
        <row r="150">
          <cell r="A150" t="str">
            <v>Cash</v>
          </cell>
          <cell r="B150"/>
          <cell r="C150"/>
          <cell r="D150" t="str">
            <v>Cash</v>
          </cell>
          <cell r="F150"/>
          <cell r="G150">
            <v>-33369</v>
          </cell>
          <cell r="H150">
            <v>0</v>
          </cell>
          <cell r="I150"/>
        </row>
        <row r="151">
          <cell r="A151" t="str">
            <v>A/R</v>
          </cell>
          <cell r="B151"/>
          <cell r="C151"/>
          <cell r="D151" t="str">
            <v>A/R</v>
          </cell>
          <cell r="F151"/>
          <cell r="G151">
            <v>-2663295.66</v>
          </cell>
          <cell r="H151">
            <v>0</v>
          </cell>
          <cell r="I151"/>
        </row>
        <row r="152">
          <cell r="A152" t="str">
            <v>A/P</v>
          </cell>
          <cell r="B152"/>
          <cell r="C152"/>
          <cell r="D152" t="str">
            <v>A/P</v>
          </cell>
          <cell r="F152"/>
          <cell r="G152">
            <v>96478.76999999999</v>
          </cell>
          <cell r="H152">
            <v>-35510.35</v>
          </cell>
          <cell r="I152"/>
        </row>
        <row r="153">
          <cell r="B153"/>
          <cell r="C153"/>
          <cell r="F153"/>
          <cell r="G153"/>
          <cell r="H153"/>
          <cell r="I153"/>
        </row>
        <row r="154">
          <cell r="B154"/>
          <cell r="C154"/>
          <cell r="F154"/>
          <cell r="G154">
            <v>0</v>
          </cell>
          <cell r="H154">
            <v>0</v>
          </cell>
          <cell r="I154"/>
        </row>
        <row r="155">
          <cell r="B155"/>
          <cell r="C155"/>
          <cell r="F155"/>
          <cell r="H155">
            <v>-2635696.2400000002</v>
          </cell>
          <cell r="I155"/>
        </row>
        <row r="156">
          <cell r="B156"/>
          <cell r="C156"/>
          <cell r="F156"/>
          <cell r="G156"/>
          <cell r="H156">
            <v>-9.4587448984384537E-11</v>
          </cell>
          <cell r="I156"/>
        </row>
        <row r="157">
          <cell r="B157"/>
          <cell r="C157"/>
          <cell r="F157"/>
          <cell r="G157"/>
          <cell r="H157"/>
          <cell r="I157"/>
        </row>
        <row r="158">
          <cell r="B158"/>
          <cell r="C158"/>
          <cell r="F158"/>
          <cell r="G158"/>
          <cell r="H158"/>
          <cell r="I158"/>
        </row>
        <row r="159">
          <cell r="A159" t="str">
            <v>Recon to D&amp;T Q1 Reg Asset Rollforward</v>
          </cell>
          <cell r="B159"/>
          <cell r="C159"/>
          <cell r="D159" t="str">
            <v>Recon to D&amp;T Q1 Reg Asset Rollforward</v>
          </cell>
          <cell r="E159" t="str">
            <v>Total</v>
          </cell>
          <cell r="F159" t="str">
            <v>Assets</v>
          </cell>
          <cell r="G159" t="str">
            <v>Liabilitlies</v>
          </cell>
          <cell r="H159"/>
          <cell r="I159"/>
        </row>
        <row r="160">
          <cell r="A160" t="str">
            <v>Ending Balance 3/31/2009 Submitted Rollforward</v>
          </cell>
          <cell r="B160"/>
          <cell r="C160"/>
          <cell r="D160" t="str">
            <v>Ending Balance 3/31/2009 Submitted Rollforward</v>
          </cell>
          <cell r="E160">
            <v>19066028.010000002</v>
          </cell>
          <cell r="F160">
            <v>62319564.710000008</v>
          </cell>
          <cell r="G160">
            <v>-43253536.700000003</v>
          </cell>
          <cell r="H160"/>
          <cell r="I160"/>
        </row>
        <row r="161">
          <cell r="A161" t="str">
            <v>Modifications:</v>
          </cell>
          <cell r="B161"/>
          <cell r="C161"/>
          <cell r="D161" t="str">
            <v>Modifications:</v>
          </cell>
          <cell r="F161"/>
          <cell r="G161"/>
          <cell r="H161"/>
          <cell r="I161"/>
        </row>
        <row r="162">
          <cell r="A162" t="str">
            <v>Late Tax entry not captured - 0182320</v>
          </cell>
          <cell r="B162"/>
          <cell r="C162"/>
          <cell r="D162" t="str">
            <v>Late Tax entry not captured - 0182320</v>
          </cell>
          <cell r="E162">
            <v>905563</v>
          </cell>
          <cell r="F162">
            <v>905563</v>
          </cell>
          <cell r="G162"/>
          <cell r="H162"/>
          <cell r="I162"/>
        </row>
        <row r="163">
          <cell r="A163" t="str">
            <v>Late Tax entry not captured - 0254101</v>
          </cell>
          <cell r="B163"/>
          <cell r="C163"/>
          <cell r="D163" t="str">
            <v>Late Tax entry not captured - 0254101</v>
          </cell>
          <cell r="E163">
            <v>-905563</v>
          </cell>
          <cell r="G163">
            <v>-905563</v>
          </cell>
          <cell r="H163"/>
          <cell r="I163"/>
        </row>
        <row r="164">
          <cell r="B164"/>
          <cell r="C164"/>
          <cell r="F164"/>
          <cell r="G164"/>
          <cell r="H164"/>
          <cell r="I164"/>
        </row>
        <row r="165">
          <cell r="B165"/>
          <cell r="C165"/>
          <cell r="E165"/>
          <cell r="F165"/>
          <cell r="G165"/>
          <cell r="H165"/>
          <cell r="I165"/>
        </row>
        <row r="166">
          <cell r="B166"/>
          <cell r="C166"/>
          <cell r="E166">
            <v>19066028.010000002</v>
          </cell>
          <cell r="F166">
            <v>63225127.710000008</v>
          </cell>
          <cell r="G166">
            <v>-44159099.700000003</v>
          </cell>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B235"/>
          <cell r="C235"/>
          <cell r="F235"/>
          <cell r="G235"/>
          <cell r="H235"/>
          <cell r="I235"/>
        </row>
        <row r="236">
          <cell r="B236"/>
          <cell r="C236"/>
          <cell r="F236"/>
          <cell r="G236"/>
          <cell r="H236"/>
          <cell r="I236"/>
        </row>
        <row r="237">
          <cell r="C237"/>
          <cell r="F237"/>
          <cell r="G237"/>
          <cell r="H237"/>
          <cell r="I237"/>
        </row>
        <row r="238">
          <cell r="C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7"/>
      <sheetData sheetId="8">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41455</v>
          </cell>
          <cell r="F6" t="str">
            <v>Adjustment</v>
          </cell>
          <cell r="G6" t="str">
            <v>Deferrals</v>
          </cell>
          <cell r="H6" t="str">
            <v>Amortization</v>
          </cell>
          <cell r="I6">
            <v>41486</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-4.6566128730773926E-10</v>
          </cell>
          <cell r="F9">
            <v>0</v>
          </cell>
          <cell r="G9">
            <v>2116557.2799999998</v>
          </cell>
          <cell r="H9">
            <v>0</v>
          </cell>
          <cell r="I9">
            <v>2116557.2799999993</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-4.6566128730773926E-10</v>
          </cell>
          <cell r="F12">
            <v>0</v>
          </cell>
          <cell r="G12">
            <v>2116557.2799999998</v>
          </cell>
          <cell r="H12">
            <v>0</v>
          </cell>
          <cell r="I12">
            <v>2116557.2799999993</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562330.81000000006</v>
          </cell>
          <cell r="F15">
            <v>0</v>
          </cell>
          <cell r="G15">
            <v>-90108</v>
          </cell>
          <cell r="H15">
            <v>0</v>
          </cell>
          <cell r="I15">
            <v>472222.81000000006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2617809.81</v>
          </cell>
          <cell r="F19">
            <v>0</v>
          </cell>
          <cell r="G19">
            <v>-90108</v>
          </cell>
          <cell r="H19">
            <v>0</v>
          </cell>
          <cell r="I19">
            <v>2527701.81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2388941.2500000014</v>
          </cell>
          <cell r="F22">
            <v>0</v>
          </cell>
          <cell r="G22">
            <v>0</v>
          </cell>
          <cell r="H22">
            <v>-23596.02</v>
          </cell>
          <cell r="I22">
            <v>2365345.2300000014</v>
          </cell>
        </row>
        <row r="23">
          <cell r="B23"/>
          <cell r="C23"/>
          <cell r="E23"/>
          <cell r="F23"/>
          <cell r="G23"/>
          <cell r="H23"/>
          <cell r="I23"/>
        </row>
        <row r="24">
          <cell r="B24"/>
          <cell r="C24"/>
          <cell r="E24">
            <v>2388941.2500000014</v>
          </cell>
          <cell r="F24">
            <v>0</v>
          </cell>
          <cell r="G24">
            <v>0</v>
          </cell>
          <cell r="H24">
            <v>-23596.02</v>
          </cell>
          <cell r="I24">
            <v>2365345.2300000014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364826</v>
          </cell>
          <cell r="F27">
            <v>0</v>
          </cell>
          <cell r="G27">
            <v>29344</v>
          </cell>
          <cell r="H27">
            <v>0</v>
          </cell>
          <cell r="I27">
            <v>394170</v>
          </cell>
        </row>
        <row r="28">
          <cell r="A28" t="str">
            <v>Reg liability - Inc Tax</v>
          </cell>
          <cell r="B28"/>
          <cell r="C28" t="str">
            <v>0254100</v>
          </cell>
          <cell r="D28" t="str">
            <v>Regulatory Liability - Income Tax</v>
          </cell>
          <cell r="E28">
            <v>-364826</v>
          </cell>
          <cell r="F28">
            <v>0</v>
          </cell>
          <cell r="G28">
            <v>-29344</v>
          </cell>
          <cell r="H28">
            <v>0</v>
          </cell>
          <cell r="I28">
            <v>-394170</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B51"/>
          <cell r="C51"/>
          <cell r="E51"/>
          <cell r="F51"/>
          <cell r="G51"/>
          <cell r="H51"/>
          <cell r="I51"/>
        </row>
        <row r="52">
          <cell r="A52" t="str">
            <v>Deferred DSM Costs                      Amort not cash</v>
          </cell>
          <cell r="B52"/>
          <cell r="C52" t="str">
            <v>0182401</v>
          </cell>
          <cell r="D52" t="str">
            <v xml:space="preserve">Deferred DSM Costs                                                  </v>
          </cell>
          <cell r="E52">
            <v>0</v>
          </cell>
          <cell r="F52">
            <v>0</v>
          </cell>
          <cell r="G52">
            <v>0</v>
          </cell>
          <cell r="H52">
            <v>0</v>
          </cell>
          <cell r="I52">
            <v>0</v>
          </cell>
        </row>
        <row r="53">
          <cell r="A53" t="str">
            <v>Interest Rate Hedges - AOCI - Purch Accting             not cash</v>
          </cell>
          <cell r="B53"/>
          <cell r="C53" t="str">
            <v>0182410</v>
          </cell>
          <cell r="D53" t="str">
            <v xml:space="preserve">Interest Rate Swap Reg Asset - AOCI - Purchase Accounting     </v>
          </cell>
          <cell r="E53">
            <v>4667571</v>
          </cell>
          <cell r="F53">
            <v>0</v>
          </cell>
          <cell r="G53">
            <v>-185797</v>
          </cell>
          <cell r="H53">
            <v>0</v>
          </cell>
          <cell r="I53">
            <v>4481774</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900000</v>
          </cell>
          <cell r="F59">
            <v>0</v>
          </cell>
          <cell r="G59">
            <v>0</v>
          </cell>
          <cell r="H59">
            <v>0</v>
          </cell>
          <cell r="I59">
            <v>900000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v>10480255</v>
          </cell>
          <cell r="F67">
            <v>0</v>
          </cell>
          <cell r="G67">
            <v>-185797</v>
          </cell>
          <cell r="H67">
            <v>0</v>
          </cell>
          <cell r="I67">
            <v>10294458</v>
          </cell>
        </row>
        <row r="68">
          <cell r="B68"/>
          <cell r="C68"/>
          <cell r="E68"/>
          <cell r="F68"/>
          <cell r="G68"/>
          <cell r="H68"/>
          <cell r="I68"/>
        </row>
        <row r="69">
          <cell r="A69"/>
          <cell r="B69" t="str">
            <v>Regulatory Asset  - Pension</v>
          </cell>
          <cell r="C69"/>
          <cell r="E69"/>
          <cell r="F69"/>
          <cell r="G69"/>
          <cell r="H69"/>
          <cell r="I69"/>
        </row>
        <row r="70">
          <cell r="A70" t="str">
            <v>Other Reg Assets - Gen Acct</v>
          </cell>
          <cell r="B70"/>
          <cell r="C70" t="str">
            <v>0182318</v>
          </cell>
          <cell r="D70" t="str">
            <v>Other Reg Assets - Gen Acct</v>
          </cell>
          <cell r="E70">
            <v>0</v>
          </cell>
          <cell r="F70">
            <v>0</v>
          </cell>
          <cell r="G70">
            <v>0</v>
          </cell>
          <cell r="H70">
            <v>0</v>
          </cell>
          <cell r="I70">
            <v>0</v>
          </cell>
        </row>
        <row r="71">
          <cell r="A71" t="str">
            <v>Accrued Pension Post Retire FAS158                       Not Cash</v>
          </cell>
          <cell r="B71"/>
          <cell r="C71" t="str">
            <v>0186802</v>
          </cell>
          <cell r="D71" t="str">
            <v xml:space="preserve">Accrued Pension Post Retirement FAS158                       </v>
          </cell>
          <cell r="E71">
            <v>31865404.440000001</v>
          </cell>
          <cell r="F71">
            <v>0</v>
          </cell>
          <cell r="G71">
            <v>-263995</v>
          </cell>
          <cell r="H71">
            <v>0</v>
          </cell>
          <cell r="I71">
            <v>31601409.440000001</v>
          </cell>
        </row>
        <row r="72">
          <cell r="A72" t="str">
            <v>Accrued Pension Post Retire FAS 158     not cash - 0186803</v>
          </cell>
          <cell r="B72"/>
          <cell r="C72" t="str">
            <v>0186803</v>
          </cell>
          <cell r="D72" t="str">
            <v xml:space="preserve">Accrued Pension Post Retirement FAS 158     </v>
          </cell>
          <cell r="E72">
            <v>3757053.55</v>
          </cell>
          <cell r="F72">
            <v>0</v>
          </cell>
          <cell r="G72">
            <v>-25224</v>
          </cell>
          <cell r="H72">
            <v>0</v>
          </cell>
          <cell r="I72">
            <v>3731829.55</v>
          </cell>
        </row>
        <row r="73">
          <cell r="A73" t="str">
            <v>Accrued Pension Post Retire FAS 158     not cash - 0186805</v>
          </cell>
          <cell r="B73"/>
          <cell r="C73" t="str">
            <v>0186805</v>
          </cell>
          <cell r="D73" t="str">
            <v xml:space="preserve">Accrued Pension Post Retirement FAS 158     </v>
          </cell>
          <cell r="E73">
            <v>69555.05</v>
          </cell>
          <cell r="F73">
            <v>0</v>
          </cell>
          <cell r="G73">
            <v>-839</v>
          </cell>
          <cell r="H73">
            <v>0</v>
          </cell>
          <cell r="I73">
            <v>68716.05</v>
          </cell>
        </row>
        <row r="74">
          <cell r="B74"/>
          <cell r="C74"/>
          <cell r="E74"/>
          <cell r="F74"/>
          <cell r="G74"/>
          <cell r="H74"/>
          <cell r="I74"/>
        </row>
        <row r="75">
          <cell r="B75"/>
          <cell r="C75"/>
          <cell r="E75">
            <v>35692013.039999999</v>
          </cell>
          <cell r="F75">
            <v>0</v>
          </cell>
          <cell r="G75">
            <v>-290058</v>
          </cell>
          <cell r="H75">
            <v>0</v>
          </cell>
          <cell r="I75">
            <v>35401955.039999999</v>
          </cell>
        </row>
        <row r="76">
          <cell r="B76" t="str">
            <v>Misc</v>
          </cell>
          <cell r="C76"/>
          <cell r="E76"/>
          <cell r="F76"/>
          <cell r="G76"/>
          <cell r="H76"/>
          <cell r="I76"/>
        </row>
        <row r="77">
          <cell r="A77" t="str">
            <v xml:space="preserve">Native Deferred MTM Asset        </v>
          </cell>
          <cell r="B77"/>
          <cell r="C77" t="str">
            <v>0174995</v>
          </cell>
          <cell r="D77" t="str">
            <v xml:space="preserve">Native Deferred MTM Asset        </v>
          </cell>
          <cell r="E77">
            <v>0</v>
          </cell>
          <cell r="F77">
            <v>0</v>
          </cell>
          <cell r="G77">
            <v>0</v>
          </cell>
          <cell r="H77">
            <v>0</v>
          </cell>
          <cell r="I77">
            <v>0</v>
          </cell>
        </row>
        <row r="78">
          <cell r="A78" t="str">
            <v>Other Current Assets</v>
          </cell>
          <cell r="B78"/>
          <cell r="C78" t="str">
            <v>0174100</v>
          </cell>
          <cell r="D78" t="str">
            <v>Other Current Assets</v>
          </cell>
          <cell r="E78">
            <v>0</v>
          </cell>
          <cell r="F78">
            <v>0</v>
          </cell>
          <cell r="G78">
            <v>0</v>
          </cell>
          <cell r="H78">
            <v>0</v>
          </cell>
          <cell r="I78">
            <v>0</v>
          </cell>
        </row>
        <row r="79">
          <cell r="B79"/>
          <cell r="C79"/>
          <cell r="D79"/>
          <cell r="E79"/>
          <cell r="F79"/>
          <cell r="G79"/>
          <cell r="H79"/>
          <cell r="I79"/>
        </row>
        <row r="80">
          <cell r="B80"/>
          <cell r="C80"/>
          <cell r="E80"/>
          <cell r="F80"/>
          <cell r="G80"/>
          <cell r="H80"/>
          <cell r="I80"/>
        </row>
        <row r="81">
          <cell r="B81"/>
          <cell r="C81" t="str">
            <v>TOTAL REGULATORY ASSETS</v>
          </cell>
          <cell r="D81"/>
          <cell r="E81">
            <v>51179019.100000001</v>
          </cell>
          <cell r="F81">
            <v>0</v>
          </cell>
          <cell r="G81">
            <v>1550594.2799999998</v>
          </cell>
          <cell r="H81">
            <v>-23596.02</v>
          </cell>
          <cell r="I81">
            <v>52706017.359999999</v>
          </cell>
        </row>
        <row r="82">
          <cell r="A82"/>
          <cell r="B82"/>
          <cell r="C82"/>
          <cell r="D82"/>
          <cell r="E82"/>
          <cell r="F82"/>
          <cell r="G82"/>
          <cell r="H82"/>
          <cell r="I82"/>
        </row>
        <row r="83">
          <cell r="A83"/>
          <cell r="B83" t="str">
            <v>Accounts Payable</v>
          </cell>
          <cell r="C83"/>
          <cell r="D83"/>
          <cell r="E83"/>
          <cell r="F83"/>
          <cell r="G83"/>
          <cell r="H83"/>
          <cell r="I83"/>
        </row>
        <row r="84">
          <cell r="A84" t="str">
            <v xml:space="preserve">Unrecovered Purchased Gas Cost </v>
          </cell>
          <cell r="B84"/>
          <cell r="C84" t="str">
            <v>0191400</v>
          </cell>
          <cell r="D84" t="str">
            <v xml:space="preserve">Unrecovered Purchased Gas Cost </v>
          </cell>
          <cell r="E84">
            <v>-648353.1799999997</v>
          </cell>
          <cell r="F84">
            <v>0</v>
          </cell>
          <cell r="G84">
            <v>281032.68</v>
          </cell>
          <cell r="H84">
            <v>-44530.67</v>
          </cell>
          <cell r="I84">
            <v>-411851.16999999969</v>
          </cell>
        </row>
        <row r="85">
          <cell r="A85" t="str">
            <v xml:space="preserve">Unrecovered Purchased Gas Cost - Unbilled  </v>
          </cell>
          <cell r="B85"/>
          <cell r="C85" t="str">
            <v>0191800</v>
          </cell>
          <cell r="D85" t="str">
            <v xml:space="preserve">Unrecovered Purchased Gas Cost - Unbilled  </v>
          </cell>
          <cell r="E85">
            <v>-458838</v>
          </cell>
          <cell r="F85">
            <v>0</v>
          </cell>
          <cell r="G85">
            <v>-15392</v>
          </cell>
          <cell r="H85">
            <v>0</v>
          </cell>
          <cell r="I85">
            <v>-474230</v>
          </cell>
        </row>
        <row r="86">
          <cell r="A86" t="str">
            <v xml:space="preserve">Native Deferred MTM Liability    </v>
          </cell>
          <cell r="B86"/>
          <cell r="C86" t="str">
            <v>0242895</v>
          </cell>
          <cell r="D86" t="str">
            <v xml:space="preserve">Native Deferred MTM Liability    </v>
          </cell>
          <cell r="E86">
            <v>0</v>
          </cell>
          <cell r="F86">
            <v>0</v>
          </cell>
          <cell r="G86">
            <v>0</v>
          </cell>
          <cell r="H86">
            <v>0</v>
          </cell>
          <cell r="I86">
            <v>0</v>
          </cell>
        </row>
        <row r="87">
          <cell r="A87" t="str">
            <v xml:space="preserve">Ratepayer Sharing Provisions           </v>
          </cell>
          <cell r="B87"/>
          <cell r="C87" t="str">
            <v>0242981</v>
          </cell>
          <cell r="D87" t="str">
            <v xml:space="preserve">Ratepayer Sharing Provisions           </v>
          </cell>
          <cell r="E87">
            <v>-218833.44000000003</v>
          </cell>
          <cell r="F87">
            <v>0</v>
          </cell>
          <cell r="G87">
            <v>38232.44</v>
          </cell>
          <cell r="H87">
            <v>0</v>
          </cell>
          <cell r="I87">
            <v>-180601.00000000003</v>
          </cell>
        </row>
        <row r="88">
          <cell r="A88" t="str">
            <v xml:space="preserve">Gas Refunds and Reconciliation Adjustments  </v>
          </cell>
          <cell r="B88"/>
          <cell r="C88" t="str">
            <v>0253130</v>
          </cell>
          <cell r="D88" t="str">
            <v xml:space="preserve">Gas Refunds and Reconciliation Adjustments  </v>
          </cell>
          <cell r="E88">
            <v>175208.25</v>
          </cell>
          <cell r="F88">
            <v>0</v>
          </cell>
          <cell r="G88">
            <v>0</v>
          </cell>
          <cell r="H88">
            <v>10833.08</v>
          </cell>
          <cell r="I88">
            <v>186041.33</v>
          </cell>
        </row>
        <row r="89">
          <cell r="A89" t="str">
            <v>Deferred Rev Pay - Fuel</v>
          </cell>
          <cell r="B89"/>
          <cell r="C89" t="str">
            <v>0242890</v>
          </cell>
          <cell r="D89" t="str">
            <v>Deferred Revenue Payable - Fuel</v>
          </cell>
          <cell r="E89">
            <v>-145134.72</v>
          </cell>
          <cell r="F89"/>
          <cell r="G89">
            <v>145134.72</v>
          </cell>
          <cell r="H89">
            <v>0</v>
          </cell>
          <cell r="I89">
            <v>0</v>
          </cell>
        </row>
        <row r="90">
          <cell r="B90"/>
          <cell r="C90"/>
          <cell r="E90"/>
          <cell r="F90"/>
          <cell r="G90"/>
          <cell r="H90"/>
          <cell r="I90"/>
        </row>
        <row r="91">
          <cell r="B91"/>
          <cell r="C91"/>
          <cell r="D91"/>
          <cell r="E91">
            <v>-1295951.0899999996</v>
          </cell>
          <cell r="F91">
            <v>0</v>
          </cell>
          <cell r="G91">
            <v>449007.83999999997</v>
          </cell>
          <cell r="H91">
            <v>-33697.589999999997</v>
          </cell>
          <cell r="I91">
            <v>-880640.83999999973</v>
          </cell>
        </row>
        <row r="92">
          <cell r="B92" t="str">
            <v>Regulatory Liability - Current</v>
          </cell>
          <cell r="C92"/>
          <cell r="D92"/>
          <cell r="E92"/>
          <cell r="F92"/>
          <cell r="G92"/>
          <cell r="H92"/>
          <cell r="I92"/>
        </row>
        <row r="93">
          <cell r="A93" t="str">
            <v>Current Regulatory Liabilities</v>
          </cell>
          <cell r="B93"/>
          <cell r="C93" t="str">
            <v>0254988</v>
          </cell>
          <cell r="D93" t="str">
            <v>Current Portion of Regulatory Liabilities</v>
          </cell>
          <cell r="E93">
            <v>0</v>
          </cell>
          <cell r="F93">
            <v>0</v>
          </cell>
          <cell r="G93">
            <v>0</v>
          </cell>
          <cell r="H93">
            <v>0</v>
          </cell>
          <cell r="I93">
            <v>0</v>
          </cell>
        </row>
        <row r="94">
          <cell r="A94" t="str">
            <v>Current Portion of Reg Liabilities</v>
          </cell>
          <cell r="B94"/>
          <cell r="C94" t="str">
            <v>0242988</v>
          </cell>
          <cell r="D94" t="str">
            <v>Current Portion of Regulatory Liabilities</v>
          </cell>
          <cell r="E94">
            <v>0</v>
          </cell>
          <cell r="F94">
            <v>0</v>
          </cell>
          <cell r="G94">
            <v>0</v>
          </cell>
          <cell r="H94">
            <v>0</v>
          </cell>
          <cell r="I94">
            <v>0</v>
          </cell>
        </row>
        <row r="95">
          <cell r="B95"/>
          <cell r="C95"/>
          <cell r="E95"/>
          <cell r="F95"/>
          <cell r="G95"/>
          <cell r="H95"/>
          <cell r="I95"/>
        </row>
        <row r="96">
          <cell r="B96"/>
          <cell r="C96"/>
          <cell r="E96">
            <v>0</v>
          </cell>
          <cell r="F96">
            <v>0</v>
          </cell>
          <cell r="G96">
            <v>0</v>
          </cell>
          <cell r="H96">
            <v>0</v>
          </cell>
          <cell r="I96">
            <v>0</v>
          </cell>
        </row>
        <row r="97">
          <cell r="B97"/>
          <cell r="C97"/>
          <cell r="D97"/>
          <cell r="E97"/>
          <cell r="F97"/>
          <cell r="G97"/>
          <cell r="H97"/>
          <cell r="I97"/>
        </row>
        <row r="98">
          <cell r="A98"/>
          <cell r="B98" t="str">
            <v>Regulatory Liability - Pension</v>
          </cell>
          <cell r="C98"/>
          <cell r="D98"/>
          <cell r="E98"/>
          <cell r="F98"/>
          <cell r="G98" t="str">
            <v>.</v>
          </cell>
          <cell r="H98"/>
          <cell r="I98"/>
        </row>
        <row r="99">
          <cell r="A99" t="str">
            <v>Pension Deferred Credits - OPEB Amort cash</v>
          </cell>
          <cell r="B99"/>
          <cell r="C99" t="str">
            <v>0253690</v>
          </cell>
          <cell r="D99" t="str">
            <v>Pension Deferred Credits - OPEB</v>
          </cell>
          <cell r="E99">
            <v>-2985210.63</v>
          </cell>
          <cell r="F99">
            <v>0</v>
          </cell>
          <cell r="G99">
            <v>24065</v>
          </cell>
          <cell r="H99">
            <v>0</v>
          </cell>
          <cell r="I99">
            <v>-2961145.63</v>
          </cell>
        </row>
        <row r="100">
          <cell r="B100"/>
          <cell r="C100"/>
          <cell r="D100"/>
          <cell r="E100"/>
          <cell r="F100"/>
          <cell r="G100"/>
          <cell r="H100"/>
          <cell r="I100"/>
        </row>
        <row r="101">
          <cell r="B101" t="str">
            <v>Other Deferred Credits</v>
          </cell>
          <cell r="C101"/>
          <cell r="E101"/>
          <cell r="F101"/>
          <cell r="G101"/>
          <cell r="H101"/>
          <cell r="I101"/>
        </row>
        <row r="102">
          <cell r="A102" t="str">
            <v>Deferred Regulatory Liability    not cash</v>
          </cell>
          <cell r="B102"/>
          <cell r="C102" t="str">
            <v>0254101</v>
          </cell>
          <cell r="D102" t="str">
            <v xml:space="preserve">Deferred Regulatory Liability    </v>
          </cell>
          <cell r="E102">
            <v>-278591.8</v>
          </cell>
          <cell r="F102">
            <v>0</v>
          </cell>
          <cell r="G102">
            <v>35676</v>
          </cell>
          <cell r="H102">
            <v>0</v>
          </cell>
          <cell r="I102">
            <v>-242915.8</v>
          </cell>
        </row>
        <row r="103">
          <cell r="A103" t="str">
            <v>Deferred DSM Costs - Amort not cash</v>
          </cell>
          <cell r="B103"/>
          <cell r="C103" t="str">
            <v>0254401</v>
          </cell>
          <cell r="D103" t="str">
            <v xml:space="preserve">Deferred DSM Costs </v>
          </cell>
          <cell r="E103">
            <v>167914.33000000002</v>
          </cell>
          <cell r="F103">
            <v>0</v>
          </cell>
          <cell r="G103">
            <v>281310</v>
          </cell>
          <cell r="H103">
            <v>0</v>
          </cell>
          <cell r="I103">
            <v>449224.33</v>
          </cell>
        </row>
        <row r="104">
          <cell r="A104" t="str">
            <v>Reg Liab - Native EA Swaps       not cash</v>
          </cell>
          <cell r="B104"/>
          <cell r="C104" t="str">
            <v>0254210</v>
          </cell>
          <cell r="D104" t="str">
            <v xml:space="preserve">Regulatory Liability Emission Allowance Swaps       </v>
          </cell>
          <cell r="E104">
            <v>-87878.910000000018</v>
          </cell>
          <cell r="F104">
            <v>0</v>
          </cell>
          <cell r="G104">
            <v>7926.37</v>
          </cell>
          <cell r="H104">
            <v>0</v>
          </cell>
          <cell r="I104">
            <v>-79952.540000000023</v>
          </cell>
        </row>
        <row r="105">
          <cell r="B105"/>
          <cell r="C105"/>
          <cell r="D105"/>
          <cell r="E105"/>
          <cell r="F105"/>
          <cell r="G105"/>
          <cell r="H105"/>
          <cell r="I105"/>
        </row>
        <row r="106">
          <cell r="B106"/>
          <cell r="C106"/>
          <cell r="E106">
            <v>-198556.38</v>
          </cell>
          <cell r="F106">
            <v>0</v>
          </cell>
          <cell r="G106">
            <v>324912.37</v>
          </cell>
          <cell r="H106">
            <v>0</v>
          </cell>
          <cell r="I106">
            <v>126355.99</v>
          </cell>
        </row>
        <row r="107">
          <cell r="B107" t="str">
            <v>Removal Costs - Regulatory Liabilities</v>
          </cell>
          <cell r="C107"/>
          <cell r="E107"/>
          <cell r="F107"/>
          <cell r="G107"/>
          <cell r="H107"/>
          <cell r="I107"/>
        </row>
        <row r="108">
          <cell r="A108" t="str">
            <v>Gas Accumulated Provision for Depreciation COR - not cash</v>
          </cell>
          <cell r="B108"/>
          <cell r="C108" t="str">
            <v>0108301</v>
          </cell>
          <cell r="D108" t="str">
            <v>Gas Accumulated Provision for Depreciation COR</v>
          </cell>
          <cell r="E108">
            <v>-16051094.430000003</v>
          </cell>
          <cell r="F108">
            <v>0</v>
          </cell>
          <cell r="G108">
            <v>-25815.05</v>
          </cell>
          <cell r="H108">
            <v>0</v>
          </cell>
          <cell r="I108">
            <v>-16076909.480000004</v>
          </cell>
        </row>
        <row r="109">
          <cell r="A109" t="str">
            <v xml:space="preserve">Electric Accumulated Provision for Depreciation COR - not cash </v>
          </cell>
          <cell r="B109"/>
          <cell r="C109" t="str">
            <v>0108301</v>
          </cell>
          <cell r="D109" t="str">
            <v>Electric Accumulated Provision for Depreciation COR</v>
          </cell>
          <cell r="E109">
            <v>-45387090.700000003</v>
          </cell>
          <cell r="F109">
            <v>0</v>
          </cell>
          <cell r="G109">
            <v>-357525.31</v>
          </cell>
          <cell r="H109">
            <v>0</v>
          </cell>
          <cell r="I109">
            <v>-45744616.010000005</v>
          </cell>
        </row>
        <row r="110">
          <cell r="A110" t="str">
            <v>Retirement Work in Progress - not cash</v>
          </cell>
          <cell r="B110"/>
          <cell r="C110" t="str">
            <v>0108620</v>
          </cell>
          <cell r="D110" t="str">
            <v>Retirement Work in Progress</v>
          </cell>
          <cell r="E110">
            <v>-7521614.5100000007</v>
          </cell>
          <cell r="F110">
            <v>0</v>
          </cell>
          <cell r="G110">
            <v>62707.62</v>
          </cell>
          <cell r="H110">
            <v>0</v>
          </cell>
          <cell r="I110">
            <v>-7458906.8900000006</v>
          </cell>
        </row>
        <row r="111">
          <cell r="A111" t="str">
            <v>ARO other regulatory assets - not cash</v>
          </cell>
          <cell r="B111"/>
          <cell r="C111" t="str">
            <v>0182402</v>
          </cell>
          <cell r="D111" t="str">
            <v>ARO Other Regulatory Assets</v>
          </cell>
          <cell r="E111">
            <v>726102.14</v>
          </cell>
          <cell r="F111">
            <v>0</v>
          </cell>
          <cell r="G111">
            <v>4241.63</v>
          </cell>
          <cell r="H111">
            <v>0</v>
          </cell>
          <cell r="I111">
            <v>730343.77</v>
          </cell>
        </row>
        <row r="112">
          <cell r="A112" t="str">
            <v>Gas ARO other regulatory assets - not cash</v>
          </cell>
          <cell r="B112"/>
          <cell r="C112" t="str">
            <v>0182403</v>
          </cell>
          <cell r="D112" t="str">
            <v>Gas ARO Other Regulatory Assets</v>
          </cell>
          <cell r="E112">
            <v>3678933.3500000006</v>
          </cell>
          <cell r="F112">
            <v>0</v>
          </cell>
          <cell r="G112">
            <v>21524.93</v>
          </cell>
          <cell r="H112">
            <v>0</v>
          </cell>
          <cell r="I112">
            <v>3700458.2800000007</v>
          </cell>
        </row>
        <row r="113">
          <cell r="A113" t="str">
            <v>Common Accumulated Provision for Depreciation COR - not cash</v>
          </cell>
          <cell r="B113"/>
          <cell r="C113" t="str">
            <v>0108151</v>
          </cell>
          <cell r="D113" t="str">
            <v>Common Accumulated Provision for Depreciation COR</v>
          </cell>
          <cell r="E113">
            <v>-28480.690000000002</v>
          </cell>
          <cell r="F113">
            <v>0</v>
          </cell>
          <cell r="G113">
            <v>-5482.99</v>
          </cell>
          <cell r="H113">
            <v>0</v>
          </cell>
          <cell r="I113">
            <v>-33963.68</v>
          </cell>
        </row>
        <row r="114">
          <cell r="B114"/>
          <cell r="C114"/>
          <cell r="E114"/>
          <cell r="F114"/>
          <cell r="G114"/>
          <cell r="H114"/>
          <cell r="I114"/>
        </row>
        <row r="115">
          <cell r="B115"/>
          <cell r="C115"/>
          <cell r="E115">
            <v>-64583244.840000011</v>
          </cell>
          <cell r="F115">
            <v>0</v>
          </cell>
          <cell r="G115">
            <v>-300349.17</v>
          </cell>
          <cell r="H115">
            <v>0</v>
          </cell>
          <cell r="I115">
            <v>-64883594.010000013</v>
          </cell>
        </row>
        <row r="116">
          <cell r="B116"/>
          <cell r="C116"/>
          <cell r="D116"/>
          <cell r="E116"/>
          <cell r="F116"/>
          <cell r="G116"/>
          <cell r="H116"/>
          <cell r="I116"/>
        </row>
        <row r="117">
          <cell r="A117" t="str">
            <v xml:space="preserve">TOTAL REGULATORY LIABILITIES </v>
          </cell>
          <cell r="B117"/>
          <cell r="C117" t="str">
            <v xml:space="preserve">TOTAL REGULATORY LIABILITIES </v>
          </cell>
          <cell r="D117"/>
          <cell r="E117">
            <v>-69062962.940000013</v>
          </cell>
          <cell r="F117">
            <v>0</v>
          </cell>
          <cell r="G117">
            <v>497636.04</v>
          </cell>
          <cell r="H117">
            <v>-33697.589999999997</v>
          </cell>
          <cell r="I117">
            <v>-68599024.49000001</v>
          </cell>
        </row>
        <row r="118">
          <cell r="A118"/>
          <cell r="B118"/>
          <cell r="C118"/>
          <cell r="D118"/>
          <cell r="E118"/>
          <cell r="F118"/>
          <cell r="G118"/>
          <cell r="H118"/>
          <cell r="I118"/>
        </row>
        <row r="119">
          <cell r="A119" t="str">
            <v>TOTAL REG ASSETS AND REG LIABILITIES</v>
          </cell>
          <cell r="B119"/>
          <cell r="C119"/>
          <cell r="D119" t="str">
            <v>TOTAL REGULATORY ASSETS AND LIABILITIES</v>
          </cell>
          <cell r="E119">
            <v>-17883943.840000011</v>
          </cell>
          <cell r="F119">
            <v>0</v>
          </cell>
          <cell r="G119">
            <v>2048230.3199999998</v>
          </cell>
          <cell r="H119">
            <v>-57293.61</v>
          </cell>
          <cell r="I119">
            <v>-15893007.13000001</v>
          </cell>
        </row>
        <row r="120">
          <cell r="A120"/>
          <cell r="B120"/>
          <cell r="C120"/>
          <cell r="D120"/>
          <cell r="E120"/>
          <cell r="F120"/>
          <cell r="G120"/>
          <cell r="H120"/>
          <cell r="I120"/>
        </row>
        <row r="121">
          <cell r="A121" t="str">
            <v>Less sum of non-cash items</v>
          </cell>
          <cell r="B121"/>
          <cell r="C121"/>
          <cell r="D121" t="str">
            <v>Less sum of non-cash items</v>
          </cell>
          <cell r="E121"/>
          <cell r="F121"/>
          <cell r="G121">
            <v>427226.79999999993</v>
          </cell>
          <cell r="H121">
            <v>23596.02</v>
          </cell>
          <cell r="I121"/>
        </row>
        <row r="122">
          <cell r="A122"/>
          <cell r="B122"/>
          <cell r="C122"/>
          <cell r="D122"/>
          <cell r="E122"/>
          <cell r="F122"/>
          <cell r="G122"/>
          <cell r="H122"/>
          <cell r="I122"/>
        </row>
        <row r="123">
          <cell r="A123" t="str">
            <v>Regulatory asset on cash flow statement</v>
          </cell>
          <cell r="B123"/>
          <cell r="C123"/>
          <cell r="D123" t="str">
            <v>Regulatory asset on cash flow statement</v>
          </cell>
          <cell r="E123"/>
          <cell r="F123"/>
          <cell r="G123">
            <v>2475457.1199999996</v>
          </cell>
          <cell r="H123">
            <v>-33697.589999999997</v>
          </cell>
          <cell r="I123"/>
        </row>
        <row r="124">
          <cell r="A124"/>
          <cell r="B124"/>
          <cell r="C124"/>
          <cell r="D124"/>
          <cell r="E124"/>
          <cell r="F124"/>
          <cell r="G124"/>
          <cell r="H124"/>
          <cell r="I124"/>
        </row>
        <row r="125">
          <cell r="A125" t="str">
            <v>Regulatory asset total on cash flow statement</v>
          </cell>
          <cell r="B125"/>
          <cell r="C125"/>
          <cell r="D125" t="str">
            <v>Regulatory asset total on cash flow statement</v>
          </cell>
          <cell r="E125"/>
          <cell r="F125"/>
          <cell r="G125">
            <v>2441759.5299999998</v>
          </cell>
          <cell r="H125"/>
          <cell r="I125"/>
        </row>
        <row r="126">
          <cell r="B126"/>
          <cell r="C126"/>
          <cell r="E126"/>
          <cell r="F126"/>
          <cell r="G126"/>
          <cell r="H126"/>
          <cell r="I126"/>
        </row>
        <row r="127">
          <cell r="A127" t="str">
            <v>By F/S Line</v>
          </cell>
          <cell r="B127"/>
          <cell r="C127"/>
          <cell r="D127" t="str">
            <v>By F/S Line</v>
          </cell>
          <cell r="E127"/>
          <cell r="F127"/>
          <cell r="G127"/>
          <cell r="H127"/>
          <cell r="I127"/>
        </row>
        <row r="128">
          <cell r="A128" t="str">
            <v>Regulatory Asset in A/R - Trade</v>
          </cell>
          <cell r="B128"/>
          <cell r="C128"/>
          <cell r="D128" t="str">
            <v>Regulatory Asset in A/R - Trade</v>
          </cell>
          <cell r="E128">
            <v>0</v>
          </cell>
          <cell r="F128">
            <v>0</v>
          </cell>
          <cell r="G128"/>
          <cell r="H128">
            <v>0</v>
          </cell>
          <cell r="I128">
            <v>0</v>
          </cell>
        </row>
        <row r="129">
          <cell r="A129" t="str">
            <v>Reg Asset Receivable Gaap Node 1211</v>
          </cell>
          <cell r="B129"/>
          <cell r="C129"/>
          <cell r="D129" t="str">
            <v>Reg Asset Receivable Gaap Node 1211</v>
          </cell>
          <cell r="E129">
            <v>-4.6566128730773926E-10</v>
          </cell>
          <cell r="F129">
            <v>0</v>
          </cell>
          <cell r="G129"/>
          <cell r="H129"/>
          <cell r="I129">
            <v>2116557.2799999993</v>
          </cell>
        </row>
        <row r="130">
          <cell r="A130" t="str">
            <v>Other Current Assets - Reg Gaap Node 1491</v>
          </cell>
          <cell r="B130"/>
          <cell r="C130"/>
          <cell r="D130" t="str">
            <v>Other Current Assets - Reg Gaap Node 1491</v>
          </cell>
          <cell r="E130">
            <v>2617809.81</v>
          </cell>
          <cell r="F130">
            <v>0</v>
          </cell>
          <cell r="G130"/>
          <cell r="H130"/>
          <cell r="I130">
            <v>2527701.81</v>
          </cell>
        </row>
        <row r="131">
          <cell r="A131" t="str">
            <v>Unamortized Loss on Debt - Gaap Node 1821</v>
          </cell>
          <cell r="B131"/>
          <cell r="C131"/>
          <cell r="D131" t="str">
            <v>Unamortized Loss on Debt - Gaap Node 1821</v>
          </cell>
          <cell r="E131">
            <v>2388941.2500000014</v>
          </cell>
          <cell r="F131">
            <v>0</v>
          </cell>
          <cell r="G131"/>
          <cell r="H131"/>
          <cell r="I131">
            <v>2365345.2300000014</v>
          </cell>
        </row>
        <row r="132">
          <cell r="A132" t="str">
            <v>Amounts due from Customers Income Taxes</v>
          </cell>
          <cell r="B132"/>
          <cell r="C132"/>
          <cell r="D132" t="str">
            <v>Amounts due from Customers Income Taxes</v>
          </cell>
          <cell r="E132">
            <v>0</v>
          </cell>
          <cell r="F132">
            <v>0</v>
          </cell>
          <cell r="G132"/>
          <cell r="H132"/>
          <cell r="I132">
            <v>0</v>
          </cell>
        </row>
        <row r="133">
          <cell r="A133" t="str">
            <v>Other Deferred Debits - Regulatory Assets Gaap Node 1861</v>
          </cell>
          <cell r="B133"/>
          <cell r="C133"/>
          <cell r="D133" t="str">
            <v>Other Deferred Debits - Regulatory Assets Gaap Node 1861</v>
          </cell>
          <cell r="E133">
            <v>10480255</v>
          </cell>
          <cell r="F133">
            <v>0</v>
          </cell>
          <cell r="G133"/>
          <cell r="H133"/>
          <cell r="I133">
            <v>10294458</v>
          </cell>
        </row>
        <row r="134">
          <cell r="A134" t="str">
            <v>Regulatory Assets - Pension - Gaap Node1870</v>
          </cell>
          <cell r="B134"/>
          <cell r="C134"/>
          <cell r="D134" t="str">
            <v>Regulatory Assets - Pension - Gaap Node1870</v>
          </cell>
          <cell r="E134">
            <v>35692013.039999999</v>
          </cell>
          <cell r="F134">
            <v>0</v>
          </cell>
          <cell r="G134"/>
          <cell r="H134"/>
          <cell r="I134">
            <v>35401955.039999999</v>
          </cell>
        </row>
        <row r="135">
          <cell r="A135" t="str">
            <v>Regulatory Liabilities in A/P</v>
          </cell>
          <cell r="B135"/>
          <cell r="C135"/>
          <cell r="D135" t="str">
            <v>Regulatory Liabilities in A/P</v>
          </cell>
          <cell r="E135">
            <v>0</v>
          </cell>
          <cell r="F135">
            <v>0</v>
          </cell>
          <cell r="G135"/>
          <cell r="H135"/>
          <cell r="I135">
            <v>0</v>
          </cell>
        </row>
        <row r="136">
          <cell r="A136" t="str">
            <v>Reg Asset Payable - Gaap Node 2103</v>
          </cell>
          <cell r="B136"/>
          <cell r="C136"/>
          <cell r="D136" t="str">
            <v>Reg Asset Payable - Gaap Node 2103</v>
          </cell>
          <cell r="E136">
            <v>-1295951.0899999996</v>
          </cell>
          <cell r="F136" t="e">
            <v>#REF!</v>
          </cell>
          <cell r="G136"/>
          <cell r="H136"/>
          <cell r="I136">
            <v>-880640.83999999973</v>
          </cell>
        </row>
        <row r="137">
          <cell r="A137"/>
          <cell r="B137"/>
          <cell r="C137"/>
          <cell r="D137" t="str">
            <v>Other Current Liabilties - Gaap Node 2365</v>
          </cell>
          <cell r="E137">
            <v>0</v>
          </cell>
          <cell r="F137"/>
          <cell r="G137"/>
          <cell r="H137"/>
          <cell r="I137">
            <v>0</v>
          </cell>
        </row>
        <row r="138">
          <cell r="A138" t="str">
            <v>RegulatoryLiabilities - Pension - Gaap Node 2647</v>
          </cell>
          <cell r="B138"/>
          <cell r="C138"/>
          <cell r="D138" t="str">
            <v>RegulatoryLiabilities - Pension - Gaap Node 2647</v>
          </cell>
          <cell r="E138">
            <v>-2985210.63</v>
          </cell>
          <cell r="F138" t="e">
            <v>#REF!</v>
          </cell>
          <cell r="G138"/>
          <cell r="H138"/>
          <cell r="I138">
            <v>-2961145.63</v>
          </cell>
        </row>
        <row r="139">
          <cell r="A139" t="str">
            <v>Other Deferred Cr - Compensation Liab - Gaap Node 2648</v>
          </cell>
          <cell r="B139"/>
          <cell r="C139"/>
          <cell r="D139" t="str">
            <v>Other Deferred Cr - Compensation Liab - Gaap Node 2648</v>
          </cell>
          <cell r="E139">
            <v>-198556.38</v>
          </cell>
          <cell r="F139" t="e">
            <v>#REF!</v>
          </cell>
          <cell r="G139"/>
          <cell r="H139"/>
          <cell r="I139">
            <v>126355.99</v>
          </cell>
        </row>
        <row r="140">
          <cell r="A140" t="str">
            <v>Regulatory Liabilities - Removal Costs Gaap Node 2652</v>
          </cell>
          <cell r="B140"/>
          <cell r="C140"/>
          <cell r="D140" t="str">
            <v>Regulatory Liabilities - Removal Costs Gaap Node 2652</v>
          </cell>
          <cell r="E140">
            <v>-64583244.840000011</v>
          </cell>
          <cell r="F140">
            <v>0</v>
          </cell>
          <cell r="G140"/>
          <cell r="H140"/>
          <cell r="I140">
            <v>-64883594.010000013</v>
          </cell>
        </row>
        <row r="141">
          <cell r="A141"/>
          <cell r="B141"/>
          <cell r="C141"/>
          <cell r="D141"/>
          <cell r="E141"/>
          <cell r="F141"/>
          <cell r="G141"/>
          <cell r="H141"/>
          <cell r="I141"/>
        </row>
        <row r="142">
          <cell r="A142" t="str">
            <v>Total</v>
          </cell>
          <cell r="B142"/>
          <cell r="C142"/>
          <cell r="D142" t="str">
            <v>Total</v>
          </cell>
          <cell r="E142">
            <v>-17883943.840000011</v>
          </cell>
          <cell r="F142" t="e">
            <v>#REF!</v>
          </cell>
          <cell r="G142"/>
          <cell r="H142"/>
          <cell r="I142">
            <v>-15893007.13000001</v>
          </cell>
        </row>
        <row r="143">
          <cell r="B143"/>
          <cell r="C143"/>
          <cell r="F143"/>
          <cell r="G143"/>
          <cell r="H143"/>
          <cell r="I143"/>
        </row>
        <row r="144">
          <cell r="B144"/>
          <cell r="C144"/>
          <cell r="E144">
            <v>0</v>
          </cell>
          <cell r="F144"/>
          <cell r="G144"/>
          <cell r="H144"/>
          <cell r="I144">
            <v>0</v>
          </cell>
        </row>
        <row r="145">
          <cell r="B145"/>
          <cell r="C145"/>
          <cell r="F145"/>
          <cell r="G145"/>
          <cell r="H145"/>
          <cell r="I145"/>
        </row>
        <row r="146">
          <cell r="B146"/>
          <cell r="C146"/>
          <cell r="F146"/>
          <cell r="G146"/>
          <cell r="H146"/>
          <cell r="I146"/>
        </row>
        <row r="147">
          <cell r="B147"/>
          <cell r="C147"/>
          <cell r="F147"/>
          <cell r="G147"/>
          <cell r="H147"/>
          <cell r="I147"/>
        </row>
        <row r="148">
          <cell r="A148" t="str">
            <v>Cash</v>
          </cell>
          <cell r="B148"/>
          <cell r="C148"/>
          <cell r="D148" t="str">
            <v>Cash</v>
          </cell>
          <cell r="F148"/>
          <cell r="G148">
            <v>-90108</v>
          </cell>
          <cell r="H148">
            <v>0</v>
          </cell>
          <cell r="I148"/>
        </row>
        <row r="149">
          <cell r="A149" t="str">
            <v>A/R</v>
          </cell>
          <cell r="B149"/>
          <cell r="C149"/>
          <cell r="D149" t="str">
            <v>A/R</v>
          </cell>
          <cell r="F149"/>
          <cell r="G149">
            <v>2116557.2799999998</v>
          </cell>
          <cell r="H149">
            <v>0</v>
          </cell>
          <cell r="I149"/>
        </row>
        <row r="150">
          <cell r="A150" t="str">
            <v>A/P</v>
          </cell>
          <cell r="B150"/>
          <cell r="C150"/>
          <cell r="D150" t="str">
            <v>A/P</v>
          </cell>
          <cell r="F150"/>
          <cell r="G150">
            <v>449007.83999999997</v>
          </cell>
          <cell r="H150">
            <v>-33697.589999999997</v>
          </cell>
          <cell r="I150"/>
        </row>
        <row r="151">
          <cell r="B151"/>
          <cell r="C151"/>
          <cell r="F151"/>
          <cell r="G151"/>
          <cell r="H151"/>
          <cell r="I151"/>
        </row>
        <row r="152">
          <cell r="B152"/>
          <cell r="C152"/>
          <cell r="F152"/>
          <cell r="G152">
            <v>0</v>
          </cell>
          <cell r="H152">
            <v>0</v>
          </cell>
          <cell r="I152"/>
        </row>
        <row r="153">
          <cell r="B153"/>
          <cell r="C153"/>
          <cell r="F153"/>
          <cell r="H153">
            <v>2441759.5299999998</v>
          </cell>
          <cell r="I153"/>
        </row>
        <row r="154">
          <cell r="B154"/>
          <cell r="C154"/>
          <cell r="F154"/>
          <cell r="G154"/>
          <cell r="H154">
            <v>1.4551915228366852E-10</v>
          </cell>
          <cell r="I154"/>
        </row>
        <row r="155">
          <cell r="B155"/>
          <cell r="C155"/>
          <cell r="F155"/>
          <cell r="G155"/>
          <cell r="H155"/>
          <cell r="I155"/>
        </row>
        <row r="156">
          <cell r="B156"/>
          <cell r="C156"/>
          <cell r="F156"/>
          <cell r="G156"/>
          <cell r="H156"/>
          <cell r="I156"/>
        </row>
        <row r="157">
          <cell r="A157" t="str">
            <v>Recon to D&amp;T Q1 Reg Asset Rollforward</v>
          </cell>
          <cell r="B157"/>
          <cell r="C157"/>
          <cell r="D157" t="str">
            <v>Recon to D&amp;T Q1 Reg Asset Rollforward</v>
          </cell>
          <cell r="E157" t="str">
            <v>Total</v>
          </cell>
          <cell r="F157" t="str">
            <v>Assets</v>
          </cell>
          <cell r="G157" t="str">
            <v>Liabilitlies</v>
          </cell>
          <cell r="H157"/>
          <cell r="I157"/>
        </row>
        <row r="158">
          <cell r="A158" t="str">
            <v>Ending Balance 3/31/2009 Submitted Rollforward</v>
          </cell>
          <cell r="B158"/>
          <cell r="C158"/>
          <cell r="D158" t="str">
            <v>Ending Balance 3/31/2009 Submitted Rollforward</v>
          </cell>
          <cell r="E158">
            <v>19066028.010000002</v>
          </cell>
          <cell r="F158">
            <v>62319564.710000008</v>
          </cell>
          <cell r="G158">
            <v>-43253536.700000003</v>
          </cell>
          <cell r="H158"/>
          <cell r="I158"/>
        </row>
        <row r="159">
          <cell r="A159" t="str">
            <v>Modifications:</v>
          </cell>
          <cell r="B159"/>
          <cell r="C159"/>
          <cell r="D159" t="str">
            <v>Modifications:</v>
          </cell>
          <cell r="F159"/>
          <cell r="G159"/>
          <cell r="H159"/>
          <cell r="I159"/>
        </row>
        <row r="160">
          <cell r="A160" t="str">
            <v>Late Tax entry not captured - 0182320</v>
          </cell>
          <cell r="B160"/>
          <cell r="C160"/>
          <cell r="D160" t="str">
            <v>Late Tax entry not captured - 0182320</v>
          </cell>
          <cell r="E160">
            <v>905563</v>
          </cell>
          <cell r="F160">
            <v>905563</v>
          </cell>
          <cell r="G160"/>
          <cell r="H160"/>
          <cell r="I160"/>
        </row>
        <row r="161">
          <cell r="A161" t="str">
            <v>Late Tax entry not captured - 0254101</v>
          </cell>
          <cell r="B161"/>
          <cell r="C161"/>
          <cell r="D161" t="str">
            <v>Late Tax entry not captured - 0254101</v>
          </cell>
          <cell r="E161">
            <v>-905563</v>
          </cell>
          <cell r="G161">
            <v>-905563</v>
          </cell>
          <cell r="H161"/>
          <cell r="I161"/>
        </row>
        <row r="162">
          <cell r="B162"/>
          <cell r="C162"/>
          <cell r="F162"/>
          <cell r="G162"/>
          <cell r="H162"/>
          <cell r="I162"/>
        </row>
        <row r="163">
          <cell r="B163"/>
          <cell r="C163"/>
          <cell r="E163"/>
          <cell r="F163"/>
          <cell r="G163"/>
          <cell r="H163"/>
          <cell r="I163"/>
        </row>
        <row r="164">
          <cell r="B164"/>
          <cell r="C164"/>
          <cell r="E164">
            <v>19066028.010000002</v>
          </cell>
          <cell r="F164">
            <v>63225127.710000008</v>
          </cell>
          <cell r="G164">
            <v>-44159099.700000003</v>
          </cell>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C235"/>
          <cell r="F235"/>
          <cell r="G235"/>
          <cell r="H235"/>
          <cell r="I235"/>
        </row>
        <row r="236">
          <cell r="C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9"/>
      <sheetData sheetId="10"/>
      <sheetData sheetId="11"/>
      <sheetData sheetId="12"/>
      <sheetData sheetId="13"/>
      <sheetData sheetId="14"/>
      <sheetData sheetId="15"/>
      <sheetData sheetId="16"/>
      <sheetData sheetId="17">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41608</v>
          </cell>
          <cell r="F6" t="str">
            <v>Adjustment</v>
          </cell>
          <cell r="G6" t="str">
            <v>Deferrals</v>
          </cell>
          <cell r="H6" t="str">
            <v>Amortization</v>
          </cell>
          <cell r="I6">
            <v>41639</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-6.9849193096160889E-10</v>
          </cell>
          <cell r="F9">
            <v>0</v>
          </cell>
          <cell r="G9">
            <v>344599.11</v>
          </cell>
          <cell r="H9">
            <v>0</v>
          </cell>
          <cell r="I9">
            <v>344599.10999999929</v>
          </cell>
        </row>
        <row r="10">
          <cell r="A10" t="str">
            <v xml:space="preserve">Unrecovered Purchase Gas Cost - Reclass         </v>
          </cell>
          <cell r="B10"/>
          <cell r="C10" t="str">
            <v>0191990</v>
          </cell>
          <cell r="D10" t="str">
            <v xml:space="preserve">Unrecovered Purchase Gas Cost - Reclass         </v>
          </cell>
          <cell r="E10">
            <v>0</v>
          </cell>
          <cell r="F10">
            <v>0</v>
          </cell>
          <cell r="G10">
            <v>5245587.42</v>
          </cell>
          <cell r="H10">
            <v>0</v>
          </cell>
          <cell r="I10">
            <v>5245587.42</v>
          </cell>
        </row>
        <row r="11">
          <cell r="B11"/>
          <cell r="C11"/>
          <cell r="D11"/>
          <cell r="E11"/>
          <cell r="F11"/>
          <cell r="G11"/>
          <cell r="H11"/>
          <cell r="I11"/>
        </row>
        <row r="12">
          <cell r="B12"/>
          <cell r="C12"/>
          <cell r="E12">
            <v>-6.9849193096160889E-10</v>
          </cell>
          <cell r="F12">
            <v>0</v>
          </cell>
          <cell r="G12">
            <v>5590186.5300000003</v>
          </cell>
          <cell r="H12">
            <v>0</v>
          </cell>
          <cell r="I12">
            <v>5590186.5299999993</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657886.81000000006</v>
          </cell>
          <cell r="F15">
            <v>0</v>
          </cell>
          <cell r="G15">
            <v>-95115</v>
          </cell>
          <cell r="H15">
            <v>0</v>
          </cell>
          <cell r="I15">
            <v>562771.81000000006</v>
          </cell>
        </row>
        <row r="16">
          <cell r="A16" t="str">
            <v>Vacation Accrual Regulatory Asset                      Not cash</v>
          </cell>
          <cell r="B16"/>
          <cell r="C16" t="str">
            <v>0186342</v>
          </cell>
          <cell r="D16" t="str">
            <v xml:space="preserve">Vacation Accrual Regulatory Asset                                     </v>
          </cell>
          <cell r="E16">
            <v>2055479</v>
          </cell>
          <cell r="F16">
            <v>0</v>
          </cell>
          <cell r="G16">
            <v>-100637</v>
          </cell>
          <cell r="H16">
            <v>0</v>
          </cell>
          <cell r="I16">
            <v>1954842</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2713365.81</v>
          </cell>
          <cell r="F19">
            <v>0</v>
          </cell>
          <cell r="G19">
            <v>-195752</v>
          </cell>
          <cell r="H19">
            <v>0</v>
          </cell>
          <cell r="I19">
            <v>2517613.81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2276531.3500000006</v>
          </cell>
          <cell r="F22">
            <v>0</v>
          </cell>
          <cell r="G22">
            <v>0</v>
          </cell>
          <cell r="H22">
            <v>-22203.47</v>
          </cell>
          <cell r="I22">
            <v>2254327.8800000004</v>
          </cell>
        </row>
        <row r="23">
          <cell r="B23"/>
          <cell r="C23"/>
          <cell r="E23"/>
          <cell r="F23"/>
          <cell r="G23"/>
          <cell r="H23"/>
          <cell r="I23"/>
        </row>
        <row r="24">
          <cell r="B24"/>
          <cell r="C24"/>
          <cell r="E24">
            <v>2276531.3500000006</v>
          </cell>
          <cell r="F24">
            <v>0</v>
          </cell>
          <cell r="G24">
            <v>0</v>
          </cell>
          <cell r="H24">
            <v>-22203.47</v>
          </cell>
          <cell r="I24">
            <v>2254327.8800000004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2301639</v>
          </cell>
          <cell r="F27">
            <v>0</v>
          </cell>
          <cell r="G27">
            <v>93323</v>
          </cell>
          <cell r="H27">
            <v>0</v>
          </cell>
          <cell r="I27">
            <v>2394962</v>
          </cell>
        </row>
        <row r="28">
          <cell r="A28" t="str">
            <v>Reg liability - Inc Tax</v>
          </cell>
          <cell r="B28"/>
          <cell r="C28" t="str">
            <v>0254100</v>
          </cell>
          <cell r="D28" t="str">
            <v>Regulatory Liability - Income Tax</v>
          </cell>
          <cell r="E28">
            <v>-590402</v>
          </cell>
          <cell r="F28">
            <v>0</v>
          </cell>
          <cell r="G28">
            <v>-29045</v>
          </cell>
          <cell r="H28">
            <v>0</v>
          </cell>
          <cell r="I28">
            <v>-619447</v>
          </cell>
        </row>
        <row r="29">
          <cell r="B29"/>
          <cell r="C29"/>
          <cell r="E29"/>
          <cell r="F29"/>
          <cell r="G29"/>
          <cell r="H29"/>
          <cell r="I29"/>
        </row>
        <row r="30">
          <cell r="A30" t="str">
            <v>not cash</v>
          </cell>
          <cell r="B30"/>
          <cell r="C30"/>
          <cell r="D30"/>
          <cell r="E30">
            <v>1711237</v>
          </cell>
          <cell r="F30">
            <v>0</v>
          </cell>
          <cell r="G30">
            <v>64278</v>
          </cell>
          <cell r="H30">
            <v>0</v>
          </cell>
          <cell r="I30">
            <v>1775515</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B51"/>
          <cell r="C51"/>
          <cell r="E51"/>
          <cell r="F51"/>
          <cell r="G51"/>
          <cell r="H51"/>
          <cell r="I51"/>
        </row>
        <row r="52">
          <cell r="A52" t="str">
            <v>Deferred DSM Costs                      Amort not cash</v>
          </cell>
          <cell r="B52"/>
          <cell r="C52" t="str">
            <v>0182401</v>
          </cell>
          <cell r="D52" t="str">
            <v xml:space="preserve">Deferred DSM Costs                                                  </v>
          </cell>
          <cell r="E52">
            <v>2472912</v>
          </cell>
          <cell r="F52">
            <v>0</v>
          </cell>
          <cell r="G52">
            <v>932551.63</v>
          </cell>
          <cell r="H52">
            <v>0</v>
          </cell>
          <cell r="I52">
            <v>3405463.63</v>
          </cell>
        </row>
        <row r="53">
          <cell r="A53" t="str">
            <v>Interest Rate Hedges - AOCI - Purch Accting             not cash</v>
          </cell>
          <cell r="B53"/>
          <cell r="C53" t="str">
            <v>0182410</v>
          </cell>
          <cell r="D53" t="str">
            <v xml:space="preserve">Interest Rate Swap Reg Asset - AOCI - Purchase Accounting     </v>
          </cell>
          <cell r="E53">
            <v>4160729</v>
          </cell>
          <cell r="F53">
            <v>0</v>
          </cell>
          <cell r="G53">
            <v>-421035</v>
          </cell>
          <cell r="H53">
            <v>0</v>
          </cell>
          <cell r="I53">
            <v>3739694</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950000</v>
          </cell>
          <cell r="F59">
            <v>0</v>
          </cell>
          <cell r="G59">
            <v>50000</v>
          </cell>
          <cell r="H59">
            <v>0</v>
          </cell>
          <cell r="I59">
            <v>1000000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v>12496325</v>
          </cell>
          <cell r="F67">
            <v>0</v>
          </cell>
          <cell r="G67">
            <v>561516.63</v>
          </cell>
          <cell r="H67">
            <v>0</v>
          </cell>
          <cell r="I67">
            <v>13057841.629999999</v>
          </cell>
        </row>
        <row r="68">
          <cell r="B68"/>
          <cell r="C68"/>
          <cell r="E68"/>
          <cell r="F68"/>
          <cell r="G68"/>
          <cell r="H68"/>
          <cell r="I68"/>
        </row>
        <row r="69">
          <cell r="A69"/>
          <cell r="B69" t="str">
            <v>Regulatory Asset  - Pension</v>
          </cell>
          <cell r="C69"/>
          <cell r="E69"/>
          <cell r="F69"/>
          <cell r="G69"/>
          <cell r="H69"/>
          <cell r="I69"/>
        </row>
        <row r="70">
          <cell r="A70" t="str">
            <v>Other Reg Assets - Gen Acct</v>
          </cell>
          <cell r="B70"/>
          <cell r="C70" t="str">
            <v>0182318</v>
          </cell>
          <cell r="D70" t="str">
            <v>Other Reg Assets - Gen Acct</v>
          </cell>
          <cell r="E70">
            <v>0</v>
          </cell>
          <cell r="F70">
            <v>0</v>
          </cell>
          <cell r="G70">
            <v>0</v>
          </cell>
          <cell r="H70">
            <v>0</v>
          </cell>
          <cell r="I70">
            <v>0</v>
          </cell>
        </row>
        <row r="71">
          <cell r="A71" t="str">
            <v>Accrued Pension Post Retire FAS158                       Not Cash</v>
          </cell>
          <cell r="B71"/>
          <cell r="C71" t="str">
            <v>0186802</v>
          </cell>
          <cell r="D71" t="str">
            <v xml:space="preserve">Accrued Pension Post Retirement FAS158                       </v>
          </cell>
          <cell r="E71">
            <v>30545429.440000001</v>
          </cell>
          <cell r="F71">
            <v>0</v>
          </cell>
          <cell r="G71">
            <v>-263995</v>
          </cell>
          <cell r="H71">
            <v>0</v>
          </cell>
          <cell r="I71">
            <v>30281434.440000001</v>
          </cell>
        </row>
        <row r="72">
          <cell r="A72" t="str">
            <v>Accrued Pension Post Retire FAS 158     not cash - 0186803</v>
          </cell>
          <cell r="B72"/>
          <cell r="C72" t="str">
            <v>0186803</v>
          </cell>
          <cell r="D72" t="str">
            <v xml:space="preserve">Accrued Pension Post Retirement FAS 158     </v>
          </cell>
          <cell r="E72">
            <v>3630933.55</v>
          </cell>
          <cell r="F72">
            <v>0</v>
          </cell>
          <cell r="G72">
            <v>-25224</v>
          </cell>
          <cell r="H72">
            <v>0</v>
          </cell>
          <cell r="I72">
            <v>3605709.55</v>
          </cell>
        </row>
        <row r="73">
          <cell r="A73" t="str">
            <v>Accrued Pension Post Retire FAS 158     not cash - 0186805</v>
          </cell>
          <cell r="B73"/>
          <cell r="C73" t="str">
            <v>0186805</v>
          </cell>
          <cell r="D73" t="str">
            <v xml:space="preserve">Accrued Pension Post Retirement FAS 158     </v>
          </cell>
          <cell r="E73">
            <v>65360.05</v>
          </cell>
          <cell r="F73">
            <v>0</v>
          </cell>
          <cell r="G73">
            <v>-839</v>
          </cell>
          <cell r="H73">
            <v>0</v>
          </cell>
          <cell r="I73">
            <v>64521.05</v>
          </cell>
        </row>
        <row r="74">
          <cell r="B74"/>
          <cell r="C74"/>
          <cell r="E74"/>
          <cell r="F74"/>
          <cell r="G74"/>
          <cell r="H74"/>
          <cell r="I74"/>
        </row>
        <row r="75">
          <cell r="B75"/>
          <cell r="C75"/>
          <cell r="E75">
            <v>34241723.039999999</v>
          </cell>
          <cell r="F75">
            <v>0</v>
          </cell>
          <cell r="G75">
            <v>-290058</v>
          </cell>
          <cell r="H75">
            <v>0</v>
          </cell>
          <cell r="I75">
            <v>33951665.039999999</v>
          </cell>
        </row>
        <row r="76">
          <cell r="B76" t="str">
            <v>Misc</v>
          </cell>
          <cell r="C76"/>
          <cell r="E76"/>
          <cell r="F76"/>
          <cell r="G76"/>
          <cell r="H76"/>
          <cell r="I76"/>
        </row>
        <row r="77">
          <cell r="A77" t="str">
            <v xml:space="preserve">Native Deferred MTM Asset        </v>
          </cell>
          <cell r="B77"/>
          <cell r="C77" t="str">
            <v>0174995</v>
          </cell>
          <cell r="D77" t="str">
            <v xml:space="preserve">Native Deferred MTM Asset        </v>
          </cell>
          <cell r="E77">
            <v>0</v>
          </cell>
          <cell r="F77">
            <v>0</v>
          </cell>
          <cell r="G77">
            <v>0</v>
          </cell>
          <cell r="H77">
            <v>0</v>
          </cell>
          <cell r="I77">
            <v>0</v>
          </cell>
        </row>
        <row r="78">
          <cell r="A78" t="str">
            <v>Other Current Assets</v>
          </cell>
          <cell r="B78"/>
          <cell r="C78" t="str">
            <v>0174100</v>
          </cell>
          <cell r="D78" t="str">
            <v>Other Current Assets</v>
          </cell>
          <cell r="E78">
            <v>0</v>
          </cell>
          <cell r="F78">
            <v>0</v>
          </cell>
          <cell r="G78">
            <v>0</v>
          </cell>
          <cell r="H78">
            <v>0</v>
          </cell>
          <cell r="I78">
            <v>0</v>
          </cell>
        </row>
        <row r="79">
          <cell r="B79"/>
          <cell r="C79"/>
          <cell r="D79"/>
          <cell r="E79"/>
          <cell r="F79"/>
          <cell r="G79"/>
          <cell r="H79"/>
          <cell r="I79"/>
        </row>
        <row r="80">
          <cell r="B80"/>
          <cell r="C80"/>
          <cell r="E80"/>
          <cell r="F80"/>
          <cell r="G80"/>
          <cell r="H80"/>
          <cell r="I80"/>
        </row>
        <row r="81">
          <cell r="B81"/>
          <cell r="C81" t="str">
            <v>TOTAL REGULATORY ASSETS</v>
          </cell>
          <cell r="D81"/>
          <cell r="E81">
            <v>53439182.200000003</v>
          </cell>
          <cell r="F81">
            <v>0</v>
          </cell>
          <cell r="G81">
            <v>5730171.1600000001</v>
          </cell>
          <cell r="H81">
            <v>-22203.47</v>
          </cell>
          <cell r="I81">
            <v>59147149.890000001</v>
          </cell>
        </row>
        <row r="82">
          <cell r="A82"/>
          <cell r="B82"/>
          <cell r="C82"/>
          <cell r="D82"/>
          <cell r="E82"/>
          <cell r="F82"/>
          <cell r="G82"/>
          <cell r="H82"/>
          <cell r="I82"/>
        </row>
        <row r="83">
          <cell r="A83"/>
          <cell r="B83" t="str">
            <v>Accounts Payable</v>
          </cell>
          <cell r="C83"/>
          <cell r="D83"/>
          <cell r="E83"/>
          <cell r="F83"/>
          <cell r="G83"/>
          <cell r="H83"/>
          <cell r="I83"/>
        </row>
        <row r="84">
          <cell r="A84" t="str">
            <v xml:space="preserve">Unrecovered Purchased Gas Cost </v>
          </cell>
          <cell r="B84"/>
          <cell r="C84" t="str">
            <v>0191400</v>
          </cell>
          <cell r="D84" t="str">
            <v xml:space="preserve">Unrecovered Purchased Gas Cost </v>
          </cell>
          <cell r="E84">
            <v>3819258.7600000002</v>
          </cell>
          <cell r="F84">
            <v>0</v>
          </cell>
          <cell r="G84">
            <v>-3660197.75</v>
          </cell>
          <cell r="H84">
            <v>-159061.01</v>
          </cell>
          <cell r="I84">
            <v>2.3283064365386963E-10</v>
          </cell>
        </row>
        <row r="85">
          <cell r="A85" t="str">
            <v xml:space="preserve">Unrecovered Purchased Gas Cost - Unbilled  </v>
          </cell>
          <cell r="B85"/>
          <cell r="C85" t="str">
            <v>0191800</v>
          </cell>
          <cell r="D85" t="str">
            <v xml:space="preserve">Unrecovered Purchased Gas Cost - Unbilled  </v>
          </cell>
          <cell r="E85">
            <v>-3271680</v>
          </cell>
          <cell r="F85">
            <v>0</v>
          </cell>
          <cell r="G85">
            <v>-1064712</v>
          </cell>
          <cell r="H85">
            <v>0</v>
          </cell>
          <cell r="I85">
            <v>-4336392</v>
          </cell>
        </row>
        <row r="86">
          <cell r="A86" t="str">
            <v xml:space="preserve">Native Deferred MTM Liability    </v>
          </cell>
          <cell r="B86"/>
          <cell r="C86" t="str">
            <v>0242895</v>
          </cell>
          <cell r="D86" t="str">
            <v xml:space="preserve">Native Deferred MTM Liability    </v>
          </cell>
          <cell r="E86">
            <v>0</v>
          </cell>
          <cell r="F86">
            <v>0</v>
          </cell>
          <cell r="G86">
            <v>0</v>
          </cell>
          <cell r="H86">
            <v>0</v>
          </cell>
          <cell r="I86">
            <v>0</v>
          </cell>
        </row>
        <row r="87">
          <cell r="A87" t="str">
            <v xml:space="preserve">Ratepayer Sharing Provisions           </v>
          </cell>
          <cell r="B87"/>
          <cell r="C87" t="str">
            <v>0242981</v>
          </cell>
          <cell r="D87" t="str">
            <v xml:space="preserve">Ratepayer Sharing Provisions           </v>
          </cell>
          <cell r="E87">
            <v>-439121.49000000011</v>
          </cell>
          <cell r="F87">
            <v>0</v>
          </cell>
          <cell r="G87">
            <v>51345.8</v>
          </cell>
          <cell r="H87">
            <v>0</v>
          </cell>
          <cell r="I87">
            <v>-387775.69000000012</v>
          </cell>
        </row>
        <row r="88">
          <cell r="A88" t="str">
            <v xml:space="preserve">Gas Refunds and Reconciliation Adjustments  </v>
          </cell>
          <cell r="B88"/>
          <cell r="C88" t="str">
            <v>0253130</v>
          </cell>
          <cell r="D88" t="str">
            <v xml:space="preserve">Gas Refunds and Reconciliation Adjustments  </v>
          </cell>
          <cell r="E88">
            <v>19098.12999999999</v>
          </cell>
          <cell r="F88">
            <v>0</v>
          </cell>
          <cell r="G88">
            <v>40719.46</v>
          </cell>
          <cell r="H88">
            <v>-23113.59</v>
          </cell>
          <cell r="I88">
            <v>36703.999999999985</v>
          </cell>
        </row>
        <row r="89">
          <cell r="A89" t="str">
            <v>Deferred Rev Pay - Fuel</v>
          </cell>
          <cell r="B89"/>
          <cell r="C89" t="str">
            <v>0242890</v>
          </cell>
          <cell r="D89" t="str">
            <v>Deferred Revenue Payable - Fuel</v>
          </cell>
          <cell r="E89">
            <v>-337195.72</v>
          </cell>
          <cell r="F89"/>
          <cell r="G89">
            <v>337195.72</v>
          </cell>
          <cell r="H89">
            <v>0</v>
          </cell>
          <cell r="I89">
            <v>0</v>
          </cell>
        </row>
        <row r="90">
          <cell r="B90"/>
          <cell r="C90"/>
          <cell r="E90"/>
          <cell r="F90"/>
          <cell r="G90"/>
          <cell r="H90"/>
          <cell r="I90"/>
        </row>
        <row r="91">
          <cell r="B91"/>
          <cell r="C91"/>
          <cell r="D91"/>
          <cell r="E91">
            <v>-209640.31999999983</v>
          </cell>
          <cell r="F91">
            <v>0</v>
          </cell>
          <cell r="G91">
            <v>-4295648.7700000005</v>
          </cell>
          <cell r="H91">
            <v>-182174.6</v>
          </cell>
          <cell r="I91">
            <v>-4687463.6900000004</v>
          </cell>
        </row>
        <row r="92">
          <cell r="B92" t="str">
            <v>Regulatory Liability - Current</v>
          </cell>
          <cell r="C92"/>
          <cell r="D92"/>
          <cell r="E92"/>
          <cell r="F92"/>
          <cell r="G92"/>
          <cell r="H92"/>
          <cell r="I92"/>
        </row>
        <row r="93">
          <cell r="A93" t="str">
            <v>Current Regulatory Liabilities</v>
          </cell>
          <cell r="B93"/>
          <cell r="C93" t="str">
            <v>0254988</v>
          </cell>
          <cell r="D93" t="str">
            <v>Current Portion of Regulatory Liabilities</v>
          </cell>
          <cell r="E93">
            <v>0</v>
          </cell>
          <cell r="F93">
            <v>0</v>
          </cell>
          <cell r="G93">
            <v>0</v>
          </cell>
          <cell r="H93">
            <v>0</v>
          </cell>
          <cell r="I93">
            <v>0</v>
          </cell>
        </row>
        <row r="94">
          <cell r="A94" t="str">
            <v>Current Portion of Reg Liabilities</v>
          </cell>
          <cell r="B94"/>
          <cell r="C94" t="str">
            <v>0242988</v>
          </cell>
          <cell r="D94" t="str">
            <v>Current Portion of Regulatory Liabilities</v>
          </cell>
          <cell r="E94">
            <v>0</v>
          </cell>
          <cell r="F94">
            <v>0</v>
          </cell>
          <cell r="G94">
            <v>0</v>
          </cell>
          <cell r="H94">
            <v>0</v>
          </cell>
          <cell r="I94">
            <v>0</v>
          </cell>
        </row>
        <row r="95">
          <cell r="B95"/>
          <cell r="C95"/>
          <cell r="E95"/>
          <cell r="F95"/>
          <cell r="G95"/>
          <cell r="H95"/>
          <cell r="I95"/>
        </row>
        <row r="96">
          <cell r="B96"/>
          <cell r="C96"/>
          <cell r="E96">
            <v>0</v>
          </cell>
          <cell r="F96">
            <v>0</v>
          </cell>
          <cell r="G96">
            <v>0</v>
          </cell>
          <cell r="H96">
            <v>0</v>
          </cell>
          <cell r="I96">
            <v>0</v>
          </cell>
        </row>
        <row r="97">
          <cell r="B97"/>
          <cell r="C97"/>
          <cell r="D97"/>
          <cell r="E97"/>
          <cell r="F97"/>
          <cell r="G97"/>
          <cell r="H97"/>
          <cell r="I97"/>
        </row>
        <row r="98">
          <cell r="A98"/>
          <cell r="B98" t="str">
            <v>Regulatory Liability - Pension</v>
          </cell>
          <cell r="C98"/>
          <cell r="D98"/>
          <cell r="E98"/>
          <cell r="F98"/>
          <cell r="G98" t="str">
            <v>.</v>
          </cell>
          <cell r="H98"/>
          <cell r="I98"/>
        </row>
        <row r="99">
          <cell r="A99" t="str">
            <v>Pension Deferred Credits - OPEB Amort cash</v>
          </cell>
          <cell r="B99"/>
          <cell r="C99" t="str">
            <v>0253690</v>
          </cell>
          <cell r="D99" t="str">
            <v>Pension Deferred Credits - OPEB</v>
          </cell>
          <cell r="E99">
            <v>-2864885.63</v>
          </cell>
          <cell r="F99">
            <v>0</v>
          </cell>
          <cell r="G99">
            <v>24065</v>
          </cell>
          <cell r="H99">
            <v>0</v>
          </cell>
          <cell r="I99">
            <v>-2840820.63</v>
          </cell>
        </row>
        <row r="100">
          <cell r="B100"/>
          <cell r="C100"/>
          <cell r="D100"/>
          <cell r="E100"/>
          <cell r="F100"/>
          <cell r="G100"/>
          <cell r="H100"/>
          <cell r="I100"/>
        </row>
        <row r="101">
          <cell r="B101" t="str">
            <v>Other Deferred Credits</v>
          </cell>
          <cell r="C101"/>
          <cell r="E101"/>
          <cell r="F101"/>
          <cell r="G101"/>
          <cell r="H101"/>
          <cell r="I101"/>
        </row>
        <row r="102">
          <cell r="A102" t="str">
            <v>Deferred Regulatory Liability    not cash</v>
          </cell>
          <cell r="B102"/>
          <cell r="C102" t="str">
            <v>0254101</v>
          </cell>
          <cell r="D102" t="str">
            <v xml:space="preserve">Deferred Regulatory Liability    </v>
          </cell>
          <cell r="E102">
            <v>-26965.799999999988</v>
          </cell>
          <cell r="F102">
            <v>0</v>
          </cell>
          <cell r="G102">
            <v>26966</v>
          </cell>
          <cell r="H102">
            <v>0</v>
          </cell>
          <cell r="I102">
            <v>0.20000000001164153</v>
          </cell>
        </row>
        <row r="103">
          <cell r="A103" t="str">
            <v>Deferred DSM Costs - Amort not cash</v>
          </cell>
          <cell r="B103"/>
          <cell r="C103" t="str">
            <v>0254401</v>
          </cell>
          <cell r="D103" t="str">
            <v xml:space="preserve">Deferred DSM Costs </v>
          </cell>
          <cell r="E103">
            <v>0.33000000007450581</v>
          </cell>
          <cell r="F103">
            <v>0</v>
          </cell>
          <cell r="G103">
            <v>0</v>
          </cell>
          <cell r="H103">
            <v>0</v>
          </cell>
          <cell r="I103">
            <v>0.33000000007450581</v>
          </cell>
        </row>
        <row r="104">
          <cell r="A104" t="str">
            <v>Reg Liab - Native EA Swaps       not cash</v>
          </cell>
          <cell r="B104"/>
          <cell r="C104" t="str">
            <v>0254210</v>
          </cell>
          <cell r="D104" t="str">
            <v xml:space="preserve">Regulatory Liability Emission Allowance Swaps       </v>
          </cell>
          <cell r="E104">
            <v>-55255.170000000013</v>
          </cell>
          <cell r="F104">
            <v>0</v>
          </cell>
          <cell r="G104">
            <v>4723.0200000000004</v>
          </cell>
          <cell r="H104">
            <v>0</v>
          </cell>
          <cell r="I104">
            <v>-50532.150000000009</v>
          </cell>
        </row>
        <row r="105">
          <cell r="B105"/>
          <cell r="C105"/>
          <cell r="D105"/>
          <cell r="E105"/>
          <cell r="F105"/>
          <cell r="G105"/>
          <cell r="H105"/>
          <cell r="I105"/>
        </row>
        <row r="106">
          <cell r="B106"/>
          <cell r="C106"/>
          <cell r="E106">
            <v>-82220.639999999927</v>
          </cell>
          <cell r="F106">
            <v>0</v>
          </cell>
          <cell r="G106">
            <v>31689.02</v>
          </cell>
          <cell r="H106">
            <v>0</v>
          </cell>
          <cell r="I106">
            <v>-50531.619999999923</v>
          </cell>
        </row>
        <row r="107">
          <cell r="B107" t="str">
            <v>Removal Costs - Regulatory Liabilities</v>
          </cell>
          <cell r="C107"/>
          <cell r="E107"/>
          <cell r="F107"/>
          <cell r="G107"/>
          <cell r="H107"/>
          <cell r="I107"/>
        </row>
        <row r="108">
          <cell r="A108" t="str">
            <v>Gas Accumulated Provision for Depreciation COR - not cash</v>
          </cell>
          <cell r="B108"/>
          <cell r="C108" t="str">
            <v>0108301</v>
          </cell>
          <cell r="D108" t="str">
            <v>Gas Accumulated Provision for Depreciation COR</v>
          </cell>
          <cell r="E108">
            <v>-16052615.860000003</v>
          </cell>
          <cell r="F108">
            <v>0</v>
          </cell>
          <cell r="G108">
            <v>-33771.089999999997</v>
          </cell>
          <cell r="H108">
            <v>0</v>
          </cell>
          <cell r="I108">
            <v>-16086386.950000003</v>
          </cell>
        </row>
        <row r="109">
          <cell r="A109" t="str">
            <v xml:space="preserve">Electric Accumulated Provision for Depreciation COR - not cash </v>
          </cell>
          <cell r="B109"/>
          <cell r="C109" t="str">
            <v>0108301</v>
          </cell>
          <cell r="D109" t="str">
            <v>Electric Accumulated Provision for Depreciation COR</v>
          </cell>
          <cell r="E109">
            <v>-47163945.350000001</v>
          </cell>
          <cell r="F109">
            <v>0</v>
          </cell>
          <cell r="G109">
            <v>-315046.71999999997</v>
          </cell>
          <cell r="H109">
            <v>0</v>
          </cell>
          <cell r="I109">
            <v>-47478992.07</v>
          </cell>
        </row>
        <row r="110">
          <cell r="A110" t="str">
            <v>Retirement Work in Progress - not cash</v>
          </cell>
          <cell r="B110"/>
          <cell r="C110" t="str">
            <v>0108620</v>
          </cell>
          <cell r="D110" t="str">
            <v>Retirement Work in Progress</v>
          </cell>
          <cell r="E110">
            <v>-7186691.7700000005</v>
          </cell>
          <cell r="F110">
            <v>0</v>
          </cell>
          <cell r="G110">
            <v>183926.04</v>
          </cell>
          <cell r="H110">
            <v>0</v>
          </cell>
          <cell r="I110">
            <v>-7002765.7300000004</v>
          </cell>
        </row>
        <row r="111">
          <cell r="A111" t="str">
            <v>ARO other regulatory assets - not cash</v>
          </cell>
          <cell r="B111"/>
          <cell r="C111" t="str">
            <v>0182402</v>
          </cell>
          <cell r="D111" t="str">
            <v>ARO Other Regulatory Assets</v>
          </cell>
          <cell r="E111">
            <v>747356.45</v>
          </cell>
          <cell r="F111">
            <v>0</v>
          </cell>
          <cell r="G111">
            <v>4264.79</v>
          </cell>
          <cell r="H111">
            <v>0</v>
          </cell>
          <cell r="I111">
            <v>751621.24</v>
          </cell>
        </row>
        <row r="112">
          <cell r="A112" t="str">
            <v>Gas ARO other regulatory assets - not cash</v>
          </cell>
          <cell r="B112"/>
          <cell r="C112" t="str">
            <v>0182403</v>
          </cell>
          <cell r="D112" t="str">
            <v>Gas ARO Other Regulatory Assets</v>
          </cell>
          <cell r="E112">
            <v>3787561.080000001</v>
          </cell>
          <cell r="F112">
            <v>0</v>
          </cell>
          <cell r="G112">
            <v>22028.82</v>
          </cell>
          <cell r="H112">
            <v>0</v>
          </cell>
          <cell r="I112">
            <v>3809589.9000000008</v>
          </cell>
        </row>
        <row r="113">
          <cell r="A113" t="str">
            <v>Common Accumulated Provision for Depreciation COR - not cash</v>
          </cell>
          <cell r="B113"/>
          <cell r="C113" t="str">
            <v>0108151</v>
          </cell>
          <cell r="D113" t="str">
            <v>Common Accumulated Provision for Depreciation COR</v>
          </cell>
          <cell r="E113">
            <v>-5754.5499999999956</v>
          </cell>
          <cell r="F113">
            <v>0</v>
          </cell>
          <cell r="G113">
            <v>-5341.9</v>
          </cell>
          <cell r="H113">
            <v>0</v>
          </cell>
          <cell r="I113">
            <v>-11096.449999999995</v>
          </cell>
        </row>
        <row r="114">
          <cell r="B114"/>
          <cell r="C114"/>
          <cell r="E114"/>
          <cell r="F114"/>
          <cell r="G114"/>
          <cell r="H114"/>
          <cell r="I114"/>
        </row>
        <row r="115">
          <cell r="B115"/>
          <cell r="C115"/>
          <cell r="E115">
            <v>-65874090</v>
          </cell>
          <cell r="F115">
            <v>0</v>
          </cell>
          <cell r="G115">
            <v>-143940.05999999991</v>
          </cell>
          <cell r="H115">
            <v>0</v>
          </cell>
          <cell r="I115">
            <v>-66018030.06000001</v>
          </cell>
        </row>
        <row r="116">
          <cell r="B116"/>
          <cell r="C116"/>
          <cell r="D116"/>
          <cell r="E116"/>
          <cell r="F116"/>
          <cell r="G116"/>
          <cell r="H116"/>
          <cell r="I116"/>
        </row>
        <row r="117">
          <cell r="A117" t="str">
            <v xml:space="preserve">TOTAL REGULATORY LIABILITIES </v>
          </cell>
          <cell r="B117"/>
          <cell r="C117" t="str">
            <v xml:space="preserve">TOTAL REGULATORY LIABILITIES </v>
          </cell>
          <cell r="D117"/>
          <cell r="E117">
            <v>-69030836.590000004</v>
          </cell>
          <cell r="F117">
            <v>0</v>
          </cell>
          <cell r="G117">
            <v>-4383834.8100000005</v>
          </cell>
          <cell r="H117">
            <v>-182174.6</v>
          </cell>
          <cell r="I117">
            <v>-73596846.000000015</v>
          </cell>
        </row>
        <row r="118">
          <cell r="A118"/>
          <cell r="B118"/>
          <cell r="C118"/>
          <cell r="D118"/>
          <cell r="E118"/>
          <cell r="F118"/>
          <cell r="G118"/>
          <cell r="H118"/>
          <cell r="I118"/>
        </row>
        <row r="119">
          <cell r="A119" t="str">
            <v>TOTAL REG ASSETS AND REG LIABILITIES</v>
          </cell>
          <cell r="B119"/>
          <cell r="C119"/>
          <cell r="D119" t="str">
            <v>TOTAL REGULATORY ASSETS AND LIABILITIES</v>
          </cell>
          <cell r="E119">
            <v>-15591654.390000001</v>
          </cell>
          <cell r="F119">
            <v>0</v>
          </cell>
          <cell r="G119">
            <v>1346336.3499999996</v>
          </cell>
          <cell r="H119">
            <v>-204378.07</v>
          </cell>
          <cell r="I119">
            <v>-14449696.110000014</v>
          </cell>
        </row>
        <row r="120">
          <cell r="A120"/>
          <cell r="B120"/>
          <cell r="C120"/>
          <cell r="D120"/>
          <cell r="E120"/>
          <cell r="F120"/>
          <cell r="G120"/>
          <cell r="H120"/>
          <cell r="I120"/>
        </row>
        <row r="121">
          <cell r="A121" t="str">
            <v>Less sum of non-cash items</v>
          </cell>
          <cell r="B121"/>
          <cell r="C121"/>
          <cell r="D121" t="str">
            <v>Less sum of non-cash items</v>
          </cell>
          <cell r="E121"/>
          <cell r="F121"/>
          <cell r="G121">
            <v>-96913.590000000084</v>
          </cell>
          <cell r="H121">
            <v>22203.47</v>
          </cell>
          <cell r="I121"/>
        </row>
        <row r="122">
          <cell r="A122"/>
          <cell r="B122"/>
          <cell r="C122"/>
          <cell r="D122"/>
          <cell r="E122"/>
          <cell r="F122"/>
          <cell r="G122"/>
          <cell r="H122"/>
          <cell r="I122"/>
        </row>
        <row r="123">
          <cell r="A123" t="str">
            <v>Regulatory asset on cash flow statement</v>
          </cell>
          <cell r="B123"/>
          <cell r="C123"/>
          <cell r="D123" t="str">
            <v>Regulatory asset on cash flow statement</v>
          </cell>
          <cell r="E123"/>
          <cell r="F123"/>
          <cell r="G123">
            <v>1249422.7599999995</v>
          </cell>
          <cell r="H123">
            <v>-182174.6</v>
          </cell>
          <cell r="I123"/>
        </row>
        <row r="124">
          <cell r="A124"/>
          <cell r="B124"/>
          <cell r="C124"/>
          <cell r="D124"/>
          <cell r="E124"/>
          <cell r="F124"/>
          <cell r="G124"/>
          <cell r="H124"/>
          <cell r="I124"/>
        </row>
        <row r="125">
          <cell r="A125" t="str">
            <v>Regulatory asset total on cash flow statement</v>
          </cell>
          <cell r="B125"/>
          <cell r="C125"/>
          <cell r="D125" t="str">
            <v>Regulatory asset total on cash flow statement</v>
          </cell>
          <cell r="E125"/>
          <cell r="F125"/>
          <cell r="G125">
            <v>1067248.1599999995</v>
          </cell>
          <cell r="H125"/>
          <cell r="I125"/>
        </row>
        <row r="126">
          <cell r="B126"/>
          <cell r="C126"/>
          <cell r="E126"/>
          <cell r="F126"/>
          <cell r="G126"/>
          <cell r="H126"/>
          <cell r="I126"/>
        </row>
        <row r="127">
          <cell r="A127" t="str">
            <v>By F/S Line</v>
          </cell>
          <cell r="B127"/>
          <cell r="C127"/>
          <cell r="D127" t="str">
            <v>By F/S Line</v>
          </cell>
          <cell r="E127"/>
          <cell r="F127"/>
          <cell r="G127"/>
          <cell r="H127"/>
          <cell r="I127"/>
        </row>
        <row r="128">
          <cell r="A128" t="str">
            <v>Regulatory Asset in A/R - Trade</v>
          </cell>
          <cell r="B128"/>
          <cell r="C128"/>
          <cell r="D128" t="str">
            <v>Regulatory Asset in A/R - Trade</v>
          </cell>
          <cell r="E128">
            <v>0</v>
          </cell>
          <cell r="F128">
            <v>0</v>
          </cell>
          <cell r="G128"/>
          <cell r="H128">
            <v>0</v>
          </cell>
          <cell r="I128">
            <v>0</v>
          </cell>
        </row>
        <row r="129">
          <cell r="A129" t="str">
            <v>Reg Asset Receivable Gaap Node 1211</v>
          </cell>
          <cell r="B129"/>
          <cell r="C129"/>
          <cell r="D129" t="str">
            <v>Reg Asset Receivable Gaap Node 1211</v>
          </cell>
          <cell r="E129">
            <v>-6.9849193096160889E-10</v>
          </cell>
          <cell r="F129">
            <v>0</v>
          </cell>
          <cell r="G129"/>
          <cell r="H129"/>
          <cell r="I129">
            <v>5590186.5299999993</v>
          </cell>
        </row>
        <row r="130">
          <cell r="A130" t="str">
            <v>Other Current Assets - Reg Gaap Node 1491</v>
          </cell>
          <cell r="B130"/>
          <cell r="C130"/>
          <cell r="D130" t="str">
            <v>Other Current Assets - Reg Gaap Node 1491</v>
          </cell>
          <cell r="E130">
            <v>2713365.81</v>
          </cell>
          <cell r="F130">
            <v>0</v>
          </cell>
          <cell r="G130"/>
          <cell r="H130"/>
          <cell r="I130">
            <v>2517613.81</v>
          </cell>
        </row>
        <row r="131">
          <cell r="A131" t="str">
            <v>Unamortized Loss on Debt - Gaap Node 1821</v>
          </cell>
          <cell r="B131"/>
          <cell r="C131"/>
          <cell r="D131" t="str">
            <v>Unamortized Loss on Debt - Gaap Node 1821</v>
          </cell>
          <cell r="E131">
            <v>2276531.3500000006</v>
          </cell>
          <cell r="F131">
            <v>0</v>
          </cell>
          <cell r="G131"/>
          <cell r="H131"/>
          <cell r="I131">
            <v>2254327.8800000004</v>
          </cell>
        </row>
        <row r="132">
          <cell r="A132" t="str">
            <v>Amounts due from Customers Income Taxes</v>
          </cell>
          <cell r="B132"/>
          <cell r="C132"/>
          <cell r="D132" t="str">
            <v>Amounts due from Customers Income Taxes</v>
          </cell>
          <cell r="E132">
            <v>1711237</v>
          </cell>
          <cell r="F132">
            <v>0</v>
          </cell>
          <cell r="G132"/>
          <cell r="H132"/>
          <cell r="I132">
            <v>1775515</v>
          </cell>
        </row>
        <row r="133">
          <cell r="A133" t="str">
            <v>Other Deferred Debits - Regulatory Assets Gaap Node 1861</v>
          </cell>
          <cell r="B133"/>
          <cell r="C133"/>
          <cell r="D133" t="str">
            <v>Other Deferred Debits - Regulatory Assets Gaap Node 1861</v>
          </cell>
          <cell r="E133">
            <v>12496325</v>
          </cell>
          <cell r="F133">
            <v>0</v>
          </cell>
          <cell r="G133"/>
          <cell r="H133"/>
          <cell r="I133">
            <v>13057841.629999999</v>
          </cell>
        </row>
        <row r="134">
          <cell r="A134" t="str">
            <v>Regulatory Assets - Pension - Gaap Node1870</v>
          </cell>
          <cell r="B134"/>
          <cell r="C134"/>
          <cell r="D134" t="str">
            <v>Regulatory Assets - Pension - Gaap Node1870</v>
          </cell>
          <cell r="E134">
            <v>34241723.039999999</v>
          </cell>
          <cell r="F134">
            <v>0</v>
          </cell>
          <cell r="G134"/>
          <cell r="H134"/>
          <cell r="I134">
            <v>33951665.039999999</v>
          </cell>
        </row>
        <row r="135">
          <cell r="A135" t="str">
            <v>Regulatory Liabilities in A/P</v>
          </cell>
          <cell r="B135"/>
          <cell r="C135"/>
          <cell r="D135" t="str">
            <v>Regulatory Liabilities in A/P</v>
          </cell>
          <cell r="E135">
            <v>0</v>
          </cell>
          <cell r="F135">
            <v>0</v>
          </cell>
          <cell r="G135"/>
          <cell r="H135"/>
          <cell r="I135">
            <v>0</v>
          </cell>
        </row>
        <row r="136">
          <cell r="A136" t="str">
            <v>Reg Asset Payable - Gaap Node 2103</v>
          </cell>
          <cell r="B136"/>
          <cell r="C136"/>
          <cell r="D136" t="str">
            <v>Reg Asset Payable - Gaap Node 2103</v>
          </cell>
          <cell r="E136">
            <v>-209640.31999999983</v>
          </cell>
          <cell r="F136" t="e">
            <v>#REF!</v>
          </cell>
          <cell r="G136"/>
          <cell r="H136"/>
          <cell r="I136">
            <v>-4687463.6900000004</v>
          </cell>
        </row>
        <row r="137">
          <cell r="A137"/>
          <cell r="B137"/>
          <cell r="C137"/>
          <cell r="D137" t="str">
            <v>Other Current Liabilties - Gaap Node 2365</v>
          </cell>
          <cell r="E137">
            <v>0</v>
          </cell>
          <cell r="F137"/>
          <cell r="G137"/>
          <cell r="H137"/>
          <cell r="I137">
            <v>0</v>
          </cell>
        </row>
        <row r="138">
          <cell r="A138" t="str">
            <v>RegulatoryLiabilities - Pension - Gaap Node 2647</v>
          </cell>
          <cell r="B138"/>
          <cell r="C138"/>
          <cell r="D138" t="str">
            <v>RegulatoryLiabilities - Pension - Gaap Node 2647</v>
          </cell>
          <cell r="E138">
            <v>-2864885.63</v>
          </cell>
          <cell r="F138" t="e">
            <v>#REF!</v>
          </cell>
          <cell r="G138"/>
          <cell r="H138"/>
          <cell r="I138">
            <v>-2840820.63</v>
          </cell>
        </row>
        <row r="139">
          <cell r="A139" t="str">
            <v>Other Deferred Cr - Compensation Liab - Gaap Node 2648</v>
          </cell>
          <cell r="B139"/>
          <cell r="C139"/>
          <cell r="D139" t="str">
            <v>Other Deferred Cr - Compensation Liab - Gaap Node 2648</v>
          </cell>
          <cell r="E139">
            <v>-82220.639999999927</v>
          </cell>
          <cell r="F139" t="e">
            <v>#REF!</v>
          </cell>
          <cell r="G139"/>
          <cell r="H139"/>
          <cell r="I139">
            <v>-50531.619999999923</v>
          </cell>
        </row>
        <row r="140">
          <cell r="A140" t="str">
            <v>Regulatory Liabilities - Removal Costs Gaap Node 2652</v>
          </cell>
          <cell r="B140"/>
          <cell r="C140"/>
          <cell r="D140" t="str">
            <v>Regulatory Liabilities - Removal Costs Gaap Node 2652</v>
          </cell>
          <cell r="E140">
            <v>-65874090</v>
          </cell>
          <cell r="F140">
            <v>0</v>
          </cell>
          <cell r="G140"/>
          <cell r="H140"/>
          <cell r="I140">
            <v>-66018030.06000001</v>
          </cell>
        </row>
        <row r="141">
          <cell r="A141"/>
          <cell r="B141"/>
          <cell r="C141"/>
          <cell r="D141"/>
          <cell r="E141"/>
          <cell r="F141"/>
          <cell r="G141"/>
          <cell r="H141"/>
          <cell r="I141"/>
        </row>
        <row r="142">
          <cell r="A142" t="str">
            <v>Total</v>
          </cell>
          <cell r="B142"/>
          <cell r="C142"/>
          <cell r="D142" t="str">
            <v>Total</v>
          </cell>
          <cell r="E142">
            <v>-15591654.390000001</v>
          </cell>
          <cell r="F142" t="e">
            <v>#REF!</v>
          </cell>
          <cell r="G142"/>
          <cell r="H142"/>
          <cell r="I142">
            <v>-14449696.110000007</v>
          </cell>
        </row>
        <row r="143">
          <cell r="B143"/>
          <cell r="C143"/>
          <cell r="F143"/>
          <cell r="G143"/>
          <cell r="H143"/>
          <cell r="I143"/>
        </row>
        <row r="144">
          <cell r="B144"/>
          <cell r="C144"/>
          <cell r="E144">
            <v>0</v>
          </cell>
          <cell r="F144"/>
          <cell r="G144"/>
          <cell r="H144"/>
          <cell r="I144">
            <v>0</v>
          </cell>
        </row>
        <row r="145">
          <cell r="B145"/>
          <cell r="C145"/>
          <cell r="F145"/>
          <cell r="G145"/>
          <cell r="H145"/>
          <cell r="I145"/>
        </row>
        <row r="146">
          <cell r="B146"/>
          <cell r="C146"/>
          <cell r="F146"/>
          <cell r="G146"/>
          <cell r="H146"/>
          <cell r="I146"/>
        </row>
        <row r="147">
          <cell r="B147"/>
          <cell r="C147"/>
          <cell r="F147"/>
          <cell r="G147"/>
          <cell r="H147"/>
          <cell r="I147"/>
        </row>
        <row r="148">
          <cell r="A148" t="str">
            <v>Cash</v>
          </cell>
          <cell r="B148"/>
          <cell r="C148"/>
          <cell r="D148" t="str">
            <v>Cash</v>
          </cell>
          <cell r="F148"/>
          <cell r="G148">
            <v>-45115</v>
          </cell>
          <cell r="H148">
            <v>0</v>
          </cell>
          <cell r="I148"/>
        </row>
        <row r="149">
          <cell r="A149" t="str">
            <v>A/R</v>
          </cell>
          <cell r="B149"/>
          <cell r="C149"/>
          <cell r="D149" t="str">
            <v>A/R</v>
          </cell>
          <cell r="F149"/>
          <cell r="G149">
            <v>5590186.5300000003</v>
          </cell>
          <cell r="H149">
            <v>0</v>
          </cell>
          <cell r="I149"/>
        </row>
        <row r="150">
          <cell r="A150" t="str">
            <v>A/P</v>
          </cell>
          <cell r="B150"/>
          <cell r="C150"/>
          <cell r="D150" t="str">
            <v>A/P</v>
          </cell>
          <cell r="F150"/>
          <cell r="G150">
            <v>-4295648.7700000005</v>
          </cell>
          <cell r="H150">
            <v>-182174.6</v>
          </cell>
          <cell r="I150"/>
        </row>
        <row r="151">
          <cell r="B151"/>
          <cell r="C151"/>
          <cell r="F151"/>
          <cell r="G151"/>
          <cell r="H151"/>
          <cell r="I151"/>
        </row>
        <row r="152">
          <cell r="B152"/>
          <cell r="C152"/>
          <cell r="F152"/>
          <cell r="G152">
            <v>0</v>
          </cell>
          <cell r="H152">
            <v>0</v>
          </cell>
          <cell r="I152"/>
        </row>
        <row r="153">
          <cell r="B153"/>
          <cell r="C153"/>
          <cell r="F153"/>
          <cell r="H153">
            <v>1067248.1600000001</v>
          </cell>
          <cell r="I153"/>
        </row>
        <row r="154">
          <cell r="B154"/>
          <cell r="C154"/>
          <cell r="F154"/>
          <cell r="G154"/>
          <cell r="H154">
            <v>6.1118043959140778E-10</v>
          </cell>
          <cell r="I154"/>
        </row>
        <row r="155">
          <cell r="B155"/>
          <cell r="C155"/>
          <cell r="F155"/>
          <cell r="G155"/>
          <cell r="H155"/>
          <cell r="I155"/>
        </row>
        <row r="156">
          <cell r="B156"/>
          <cell r="C156"/>
          <cell r="F156"/>
          <cell r="G156"/>
          <cell r="H156"/>
          <cell r="I156"/>
        </row>
        <row r="157">
          <cell r="A157" t="str">
            <v>Recon to D&amp;T Q1 Reg Asset Rollforward</v>
          </cell>
          <cell r="B157"/>
          <cell r="C157"/>
          <cell r="D157" t="str">
            <v>Recon to D&amp;T Q1 Reg Asset Rollforward</v>
          </cell>
          <cell r="E157" t="str">
            <v>Total</v>
          </cell>
          <cell r="F157" t="str">
            <v>Assets</v>
          </cell>
          <cell r="G157" t="str">
            <v>Liabilitlies</v>
          </cell>
          <cell r="H157"/>
          <cell r="I157"/>
        </row>
        <row r="158">
          <cell r="A158" t="str">
            <v>Ending Balance 3/31/2009 Submitted Rollforward</v>
          </cell>
          <cell r="B158"/>
          <cell r="C158"/>
          <cell r="D158" t="str">
            <v>Ending Balance 3/31/2009 Submitted Rollforward</v>
          </cell>
          <cell r="E158">
            <v>19066028.010000002</v>
          </cell>
          <cell r="F158">
            <v>62319564.710000008</v>
          </cell>
          <cell r="G158">
            <v>-43253536.700000003</v>
          </cell>
          <cell r="H158"/>
          <cell r="I158"/>
        </row>
        <row r="159">
          <cell r="A159" t="str">
            <v>Modifications:</v>
          </cell>
          <cell r="B159"/>
          <cell r="C159"/>
          <cell r="D159" t="str">
            <v>Modifications:</v>
          </cell>
          <cell r="F159"/>
          <cell r="G159"/>
          <cell r="H159"/>
          <cell r="I159"/>
        </row>
        <row r="160">
          <cell r="A160" t="str">
            <v>Late Tax entry not captured - 0182320</v>
          </cell>
          <cell r="B160"/>
          <cell r="C160"/>
          <cell r="D160" t="str">
            <v>Late Tax entry not captured - 0182320</v>
          </cell>
          <cell r="E160">
            <v>905563</v>
          </cell>
          <cell r="F160">
            <v>905563</v>
          </cell>
          <cell r="G160"/>
          <cell r="H160"/>
          <cell r="I160"/>
        </row>
        <row r="161">
          <cell r="A161" t="str">
            <v>Late Tax entry not captured - 0254101</v>
          </cell>
          <cell r="B161"/>
          <cell r="C161"/>
          <cell r="D161" t="str">
            <v>Late Tax entry not captured - 0254101</v>
          </cell>
          <cell r="E161">
            <v>-905563</v>
          </cell>
          <cell r="G161">
            <v>-905563</v>
          </cell>
          <cell r="H161"/>
          <cell r="I161"/>
        </row>
        <row r="162">
          <cell r="B162"/>
          <cell r="C162"/>
          <cell r="F162"/>
          <cell r="G162"/>
          <cell r="H162"/>
          <cell r="I162"/>
        </row>
        <row r="163">
          <cell r="B163"/>
          <cell r="C163"/>
          <cell r="E163"/>
          <cell r="F163"/>
          <cell r="G163"/>
          <cell r="H163"/>
          <cell r="I163"/>
        </row>
        <row r="164">
          <cell r="B164"/>
          <cell r="C164"/>
          <cell r="E164">
            <v>19066028.010000002</v>
          </cell>
          <cell r="F164">
            <v>63225127.710000008</v>
          </cell>
          <cell r="G164">
            <v>-44159099.700000003</v>
          </cell>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C235"/>
          <cell r="F235"/>
          <cell r="G235"/>
          <cell r="H235"/>
          <cell r="I235"/>
        </row>
        <row r="236">
          <cell r="C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 Amort Schedule"/>
      <sheetName val="B - PP Summary"/>
      <sheetName val="C - Account Balance"/>
      <sheetName val="B - PP Summary_OLD"/>
      <sheetName val="PP Export - Ret Unit "/>
      <sheetName val="PP Export - Asset ID"/>
      <sheetName val="PP Export"/>
      <sheetName val="C1 - DEK Final Page"/>
      <sheetName val="C2 - Final Page Revised"/>
      <sheetName val="D - Depr Group"/>
      <sheetName val="D - DEK Order- Accrual"/>
      <sheetName val="E - Journal Entries"/>
    </sheetNames>
    <sheetDataSet>
      <sheetData sheetId="0" refreshError="1"/>
      <sheetData sheetId="1">
        <row r="51">
          <cell r="F51">
            <v>1160000</v>
          </cell>
        </row>
      </sheetData>
      <sheetData sheetId="2">
        <row r="14">
          <cell r="I14">
            <v>4449828.8999999994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_D2.17 "/>
      <sheetName val="1. Amortization schedules"/>
      <sheetName val="A. WEBI query"/>
      <sheetName val="B. June JE 400AM703"/>
    </sheetNames>
    <sheetDataSet>
      <sheetData sheetId="0">
        <row r="52">
          <cell r="S52">
            <v>2887115</v>
          </cell>
        </row>
        <row r="54">
          <cell r="U54">
            <v>356726</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 B-4.1"/>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1.1"/>
      <sheetName val="SCH_J1.2"/>
      <sheetName val="SCH_J2 - Base"/>
      <sheetName val="SCH_J2 - Forecast"/>
      <sheetName val="SCH_J3 - Base"/>
      <sheetName val="SCH_J3 - Forecast"/>
      <sheetName val="SCH_J4"/>
      <sheetName val="SCH K"/>
      <sheetName val="RB vs Cap FP 16(6)(f)"/>
      <sheetName val="RB vs Cap BP Staff-DR-01-015"/>
      <sheetName val="Change Tracking"/>
      <sheetName val="Revised Recon"/>
      <sheetName val="RB vs Cap FP 16(6)(f) (2)"/>
    </sheetNames>
    <sheetDataSet>
      <sheetData sheetId="0">
        <row r="5">
          <cell r="B5" t="str">
            <v>DUKE ENERGY KENTUCKY, INC.</v>
          </cell>
        </row>
        <row r="6">
          <cell r="G6" t="str">
            <v>S. E. LAWLER</v>
          </cell>
        </row>
        <row r="7">
          <cell r="B7" t="str">
            <v>FOR THE TWELVE MONTHS ENDED NOVEMBER 30, 2017</v>
          </cell>
          <cell r="G7" t="str">
            <v>J. E. ZIOLKOWSKI</v>
          </cell>
        </row>
        <row r="8">
          <cell r="B8" t="str">
            <v>FOR THE TWELVE MONTHS ENDED MARCH 31, 2019</v>
          </cell>
          <cell r="G8" t="str">
            <v>L. M. BELLUCCI</v>
          </cell>
        </row>
        <row r="9">
          <cell r="G9" t="str">
            <v>J. L. SULLIVAN</v>
          </cell>
        </row>
        <row r="10">
          <cell r="B10" t="str">
            <v>12 MONTHS ENDED NOVEMBER 30, 2017</v>
          </cell>
        </row>
        <row r="11">
          <cell r="B11" t="str">
            <v>12 MONTHS ENDED MARCH 31, 2019</v>
          </cell>
          <cell r="G11" t="str">
            <v>R. H. PRATT / D. L. DOSS</v>
          </cell>
        </row>
        <row r="12">
          <cell r="B12" t="str">
            <v>DATA: "X" BASE PERIOD   FORECASTED PERIOD</v>
          </cell>
        </row>
        <row r="14">
          <cell r="B14" t="str">
            <v>DATA: "X" BASE PERIOD  "X" FORECASTED PERIOD</v>
          </cell>
          <cell r="G14" t="str">
            <v>M. W. ARNOLD</v>
          </cell>
        </row>
        <row r="15">
          <cell r="G15" t="str">
            <v>R. H. PRATT</v>
          </cell>
        </row>
        <row r="16">
          <cell r="G16" t="str">
            <v>D. L. DOSS</v>
          </cell>
        </row>
        <row r="17">
          <cell r="B17" t="str">
            <v>MARCH 31, 2019</v>
          </cell>
        </row>
        <row r="22">
          <cell r="C22">
            <v>7.5000000000000002E-4</v>
          </cell>
        </row>
        <row r="23">
          <cell r="C23">
            <v>1.9959999999999999E-3</v>
          </cell>
        </row>
        <row r="24">
          <cell r="C24">
            <v>0.06</v>
          </cell>
        </row>
        <row r="25">
          <cell r="C25">
            <v>0.35</v>
          </cell>
        </row>
        <row r="31">
          <cell r="C31">
            <v>2.9117000000000001E-2</v>
          </cell>
        </row>
        <row r="32">
          <cell r="C32">
            <v>2.6758000000000001E-2</v>
          </cell>
        </row>
      </sheetData>
      <sheetData sheetId="1"/>
      <sheetData sheetId="2"/>
      <sheetData sheetId="3">
        <row r="11">
          <cell r="A11">
            <v>403002</v>
          </cell>
          <cell r="B11" t="str">
            <v>Depr-Expense</v>
          </cell>
          <cell r="C11" t="str">
            <v>DEPR</v>
          </cell>
          <cell r="D11">
            <v>403</v>
          </cell>
          <cell r="E11">
            <v>34057862</v>
          </cell>
          <cell r="F11">
            <v>2537047</v>
          </cell>
          <cell r="G11">
            <v>2524945</v>
          </cell>
          <cell r="H11">
            <v>2519867</v>
          </cell>
          <cell r="I11">
            <v>2508876</v>
          </cell>
          <cell r="J11">
            <v>2512947</v>
          </cell>
          <cell r="K11">
            <v>2514502</v>
          </cell>
          <cell r="L11">
            <v>3124053</v>
          </cell>
          <cell r="M11">
            <v>3173848</v>
          </cell>
          <cell r="N11">
            <v>3137956</v>
          </cell>
          <cell r="O11">
            <v>3122944</v>
          </cell>
          <cell r="P11">
            <v>3182896</v>
          </cell>
          <cell r="Q11">
            <v>3197981</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DEPR</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1318068</v>
          </cell>
          <cell r="F14">
            <v>-122995</v>
          </cell>
          <cell r="G14">
            <v>185846</v>
          </cell>
          <cell r="H14">
            <v>184652</v>
          </cell>
          <cell r="I14">
            <v>186401</v>
          </cell>
          <cell r="J14">
            <v>187333</v>
          </cell>
          <cell r="K14">
            <v>187661</v>
          </cell>
          <cell r="L14">
            <v>82841</v>
          </cell>
          <cell r="M14">
            <v>84651</v>
          </cell>
          <cell r="N14">
            <v>84651</v>
          </cell>
          <cell r="O14">
            <v>84651</v>
          </cell>
          <cell r="P14">
            <v>86188</v>
          </cell>
          <cell r="Q14">
            <v>86188</v>
          </cell>
        </row>
        <row r="15">
          <cell r="A15">
            <v>407354</v>
          </cell>
          <cell r="B15" t="str">
            <v>DSM Deferral - Electric</v>
          </cell>
          <cell r="C15" t="str">
            <v>OTH</v>
          </cell>
          <cell r="D15">
            <v>407</v>
          </cell>
          <cell r="E15">
            <v>-2035889</v>
          </cell>
          <cell r="F15">
            <v>-73896</v>
          </cell>
          <cell r="G15">
            <v>281236</v>
          </cell>
          <cell r="H15">
            <v>-75145</v>
          </cell>
          <cell r="I15">
            <v>-442920</v>
          </cell>
          <cell r="J15">
            <v>-1079095</v>
          </cell>
          <cell r="K15">
            <v>-676669</v>
          </cell>
          <cell r="L15">
            <v>5100</v>
          </cell>
          <cell r="M15">
            <v>5100</v>
          </cell>
          <cell r="N15">
            <v>5100</v>
          </cell>
          <cell r="O15">
            <v>5100</v>
          </cell>
          <cell r="P15">
            <v>5100</v>
          </cell>
          <cell r="Q15">
            <v>5100</v>
          </cell>
        </row>
        <row r="16">
          <cell r="A16">
            <v>407407</v>
          </cell>
          <cell r="B16" t="str">
            <v>Carrying Charges</v>
          </cell>
          <cell r="C16" t="str">
            <v>OTH</v>
          </cell>
          <cell r="D16">
            <v>407</v>
          </cell>
          <cell r="E16">
            <v>-727216</v>
          </cell>
          <cell r="F16">
            <v>-111055</v>
          </cell>
          <cell r="G16">
            <v>-115015</v>
          </cell>
          <cell r="H16">
            <v>-118681</v>
          </cell>
          <cell r="I16">
            <v>-123359</v>
          </cell>
          <cell r="J16">
            <v>-126528</v>
          </cell>
          <cell r="K16">
            <v>-132578</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9450</v>
          </cell>
          <cell r="F18">
            <v>0</v>
          </cell>
          <cell r="G18">
            <v>1890</v>
          </cell>
          <cell r="H18">
            <v>1890</v>
          </cell>
          <cell r="I18">
            <v>1890</v>
          </cell>
          <cell r="J18">
            <v>1890</v>
          </cell>
          <cell r="K18">
            <v>1890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8626257</v>
          </cell>
          <cell r="F20">
            <v>614919</v>
          </cell>
          <cell r="G20">
            <v>725968</v>
          </cell>
          <cell r="H20">
            <v>732101</v>
          </cell>
          <cell r="I20">
            <v>732101</v>
          </cell>
          <cell r="J20">
            <v>732101</v>
          </cell>
          <cell r="K20">
            <v>732101</v>
          </cell>
          <cell r="L20">
            <v>726161</v>
          </cell>
          <cell r="M20">
            <v>726161</v>
          </cell>
          <cell r="N20">
            <v>726161</v>
          </cell>
          <cell r="O20">
            <v>726161</v>
          </cell>
          <cell r="P20">
            <v>726161</v>
          </cell>
          <cell r="Q20">
            <v>726161</v>
          </cell>
        </row>
        <row r="21">
          <cell r="A21">
            <v>408150</v>
          </cell>
          <cell r="B21" t="str">
            <v>State Unemployment Tax</v>
          </cell>
          <cell r="C21" t="str">
            <v>OTHTX</v>
          </cell>
          <cell r="D21">
            <v>408</v>
          </cell>
          <cell r="E21">
            <v>9430</v>
          </cell>
          <cell r="F21">
            <v>338</v>
          </cell>
          <cell r="G21">
            <v>11666</v>
          </cell>
          <cell r="H21">
            <v>2265</v>
          </cell>
          <cell r="I21">
            <v>-5033</v>
          </cell>
          <cell r="J21">
            <v>118</v>
          </cell>
          <cell r="K21">
            <v>76</v>
          </cell>
          <cell r="L21">
            <v>0</v>
          </cell>
          <cell r="M21">
            <v>0</v>
          </cell>
          <cell r="N21">
            <v>0</v>
          </cell>
          <cell r="O21">
            <v>0</v>
          </cell>
          <cell r="P21">
            <v>0</v>
          </cell>
          <cell r="Q21">
            <v>0</v>
          </cell>
        </row>
        <row r="22">
          <cell r="A22">
            <v>408151</v>
          </cell>
          <cell r="B22" t="str">
            <v>Federal Unemployment Tax</v>
          </cell>
          <cell r="C22" t="str">
            <v>OTHTX</v>
          </cell>
          <cell r="D22">
            <v>408</v>
          </cell>
          <cell r="E22">
            <v>4849</v>
          </cell>
          <cell r="F22">
            <v>154</v>
          </cell>
          <cell r="G22">
            <v>4078</v>
          </cell>
          <cell r="H22">
            <v>-530</v>
          </cell>
          <cell r="I22">
            <v>-757</v>
          </cell>
          <cell r="J22">
            <v>948</v>
          </cell>
          <cell r="K22">
            <v>956</v>
          </cell>
          <cell r="L22">
            <v>0</v>
          </cell>
          <cell r="M22">
            <v>0</v>
          </cell>
          <cell r="N22">
            <v>0</v>
          </cell>
          <cell r="O22">
            <v>0</v>
          </cell>
          <cell r="P22">
            <v>0</v>
          </cell>
          <cell r="Q22">
            <v>0</v>
          </cell>
        </row>
        <row r="23">
          <cell r="A23">
            <v>408152</v>
          </cell>
          <cell r="B23" t="str">
            <v>Employer FICA Tax</v>
          </cell>
          <cell r="C23" t="str">
            <v>OTHTX</v>
          </cell>
          <cell r="D23">
            <v>408</v>
          </cell>
          <cell r="E23">
            <v>483711</v>
          </cell>
          <cell r="F23">
            <v>75800</v>
          </cell>
          <cell r="G23">
            <v>82942</v>
          </cell>
          <cell r="H23">
            <v>70849</v>
          </cell>
          <cell r="I23">
            <v>96625</v>
          </cell>
          <cell r="J23">
            <v>72094</v>
          </cell>
          <cell r="K23">
            <v>85401</v>
          </cell>
          <cell r="L23">
            <v>0</v>
          </cell>
          <cell r="M23">
            <v>0</v>
          </cell>
          <cell r="N23">
            <v>0</v>
          </cell>
          <cell r="O23">
            <v>0</v>
          </cell>
          <cell r="P23">
            <v>0</v>
          </cell>
          <cell r="Q23">
            <v>0</v>
          </cell>
        </row>
        <row r="24">
          <cell r="A24">
            <v>408153</v>
          </cell>
          <cell r="B24" t="str">
            <v>Employer Local Tax</v>
          </cell>
          <cell r="C24" t="str">
            <v>OTHTX</v>
          </cell>
          <cell r="D24">
            <v>408</v>
          </cell>
          <cell r="E24">
            <v>3</v>
          </cell>
          <cell r="F24">
            <v>0</v>
          </cell>
          <cell r="G24">
            <v>0</v>
          </cell>
          <cell r="H24">
            <v>3</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55</v>
          </cell>
          <cell r="F25">
            <v>0</v>
          </cell>
          <cell r="G25">
            <v>26</v>
          </cell>
          <cell r="H25">
            <v>0</v>
          </cell>
          <cell r="I25">
            <v>0</v>
          </cell>
          <cell r="J25">
            <v>29</v>
          </cell>
          <cell r="K25">
            <v>0</v>
          </cell>
          <cell r="L25">
            <v>0</v>
          </cell>
          <cell r="M25">
            <v>0</v>
          </cell>
          <cell r="N25">
            <v>0</v>
          </cell>
          <cell r="O25">
            <v>0</v>
          </cell>
          <cell r="P25">
            <v>0</v>
          </cell>
          <cell r="Q25">
            <v>0</v>
          </cell>
        </row>
        <row r="26">
          <cell r="A26">
            <v>408470</v>
          </cell>
          <cell r="B26" t="str">
            <v>Franchise Tax</v>
          </cell>
          <cell r="C26" t="str">
            <v>OTHTX</v>
          </cell>
          <cell r="D26">
            <v>408</v>
          </cell>
          <cell r="E26">
            <v>29850</v>
          </cell>
          <cell r="F26">
            <v>24171</v>
          </cell>
          <cell r="G26">
            <v>0</v>
          </cell>
          <cell r="H26">
            <v>0</v>
          </cell>
          <cell r="I26">
            <v>3407</v>
          </cell>
          <cell r="J26">
            <v>0</v>
          </cell>
          <cell r="K26">
            <v>2272</v>
          </cell>
          <cell r="L26">
            <v>0</v>
          </cell>
          <cell r="M26">
            <v>0</v>
          </cell>
          <cell r="N26">
            <v>0</v>
          </cell>
          <cell r="O26">
            <v>0</v>
          </cell>
          <cell r="P26">
            <v>0</v>
          </cell>
          <cell r="Q26">
            <v>0</v>
          </cell>
        </row>
        <row r="27">
          <cell r="A27">
            <v>408700</v>
          </cell>
          <cell r="B27" t="str">
            <v>Fed Social Security Tax-Elec</v>
          </cell>
          <cell r="C27" t="str">
            <v>OTHTX</v>
          </cell>
          <cell r="D27">
            <v>408</v>
          </cell>
          <cell r="E27">
            <v>-10000</v>
          </cell>
          <cell r="F27">
            <v>5000</v>
          </cell>
          <cell r="G27">
            <v>0</v>
          </cell>
          <cell r="H27">
            <v>0</v>
          </cell>
          <cell r="I27">
            <v>-15000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4</v>
          </cell>
          <cell r="F28">
            <v>0</v>
          </cell>
          <cell r="G28">
            <v>3</v>
          </cell>
          <cell r="H28">
            <v>0</v>
          </cell>
          <cell r="I28">
            <v>1</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-192</v>
          </cell>
          <cell r="F29">
            <v>4</v>
          </cell>
          <cell r="G29">
            <v>0</v>
          </cell>
          <cell r="H29">
            <v>-1</v>
          </cell>
          <cell r="I29">
            <v>0</v>
          </cell>
          <cell r="J29">
            <v>-195</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1522040</v>
          </cell>
          <cell r="F30">
            <v>148212</v>
          </cell>
          <cell r="G30">
            <v>159781</v>
          </cell>
          <cell r="H30">
            <v>83928</v>
          </cell>
          <cell r="I30">
            <v>-68933</v>
          </cell>
          <cell r="J30">
            <v>82143</v>
          </cell>
          <cell r="K30">
            <v>80643</v>
          </cell>
          <cell r="L30">
            <v>168235</v>
          </cell>
          <cell r="M30">
            <v>167983</v>
          </cell>
          <cell r="N30">
            <v>166305</v>
          </cell>
          <cell r="O30">
            <v>192529</v>
          </cell>
          <cell r="P30">
            <v>173511</v>
          </cell>
          <cell r="Q30">
            <v>167703</v>
          </cell>
        </row>
        <row r="31">
          <cell r="A31">
            <v>409102</v>
          </cell>
          <cell r="B31" t="str">
            <v>SIT Exp-Utility</v>
          </cell>
          <cell r="C31" t="str">
            <v>FIT</v>
          </cell>
          <cell r="D31">
            <v>409</v>
          </cell>
          <cell r="E31">
            <v>-634892</v>
          </cell>
          <cell r="F31">
            <v>-52908</v>
          </cell>
          <cell r="G31">
            <v>-52908</v>
          </cell>
          <cell r="H31">
            <v>-52908</v>
          </cell>
          <cell r="I31">
            <v>-52908</v>
          </cell>
          <cell r="J31">
            <v>-52908</v>
          </cell>
          <cell r="K31">
            <v>-52908</v>
          </cell>
          <cell r="L31">
            <v>-52908</v>
          </cell>
          <cell r="M31">
            <v>-52908</v>
          </cell>
          <cell r="N31">
            <v>-52908</v>
          </cell>
          <cell r="O31">
            <v>-52908</v>
          </cell>
          <cell r="P31">
            <v>-52908</v>
          </cell>
          <cell r="Q31">
            <v>-52904</v>
          </cell>
        </row>
        <row r="32">
          <cell r="A32">
            <v>409104</v>
          </cell>
          <cell r="B32" t="str">
            <v>Current State Income Tax - PY</v>
          </cell>
          <cell r="C32" t="str">
            <v>FIT</v>
          </cell>
          <cell r="D32">
            <v>409</v>
          </cell>
          <cell r="E32">
            <v>-546785</v>
          </cell>
          <cell r="F32">
            <v>-546785</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-19738129</v>
          </cell>
          <cell r="F33">
            <v>-1644844</v>
          </cell>
          <cell r="G33">
            <v>-1644844</v>
          </cell>
          <cell r="H33">
            <v>-1644844</v>
          </cell>
          <cell r="I33">
            <v>-1644844</v>
          </cell>
          <cell r="J33">
            <v>-1644844</v>
          </cell>
          <cell r="K33">
            <v>-1644844</v>
          </cell>
          <cell r="L33">
            <v>-1644844</v>
          </cell>
          <cell r="M33">
            <v>-1644844</v>
          </cell>
          <cell r="N33">
            <v>-1644844</v>
          </cell>
          <cell r="O33">
            <v>-1644844</v>
          </cell>
          <cell r="P33">
            <v>-1644844</v>
          </cell>
          <cell r="Q33">
            <v>-1644845</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-197047</v>
          </cell>
          <cell r="F35">
            <v>-197047</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562990</v>
          </cell>
          <cell r="F37">
            <v>562990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34892043</v>
          </cell>
          <cell r="F38">
            <v>2907670</v>
          </cell>
          <cell r="G38">
            <v>2907670</v>
          </cell>
          <cell r="H38">
            <v>2907670</v>
          </cell>
          <cell r="I38">
            <v>2907670</v>
          </cell>
          <cell r="J38">
            <v>2907670</v>
          </cell>
          <cell r="K38">
            <v>2907670</v>
          </cell>
          <cell r="L38">
            <v>2907670</v>
          </cell>
          <cell r="M38">
            <v>2907670</v>
          </cell>
          <cell r="N38">
            <v>2907670</v>
          </cell>
          <cell r="O38">
            <v>2907670</v>
          </cell>
          <cell r="P38">
            <v>2907670</v>
          </cell>
          <cell r="Q38">
            <v>2907673</v>
          </cell>
        </row>
        <row r="39">
          <cell r="A39">
            <v>410102</v>
          </cell>
          <cell r="B39" t="str">
            <v>DSIT: Utility: Current Year</v>
          </cell>
          <cell r="C39" t="str">
            <v>FIT</v>
          </cell>
          <cell r="D39">
            <v>410</v>
          </cell>
          <cell r="E39">
            <v>3190453</v>
          </cell>
          <cell r="F39">
            <v>265871</v>
          </cell>
          <cell r="G39">
            <v>265871</v>
          </cell>
          <cell r="H39">
            <v>265871</v>
          </cell>
          <cell r="I39">
            <v>265871</v>
          </cell>
          <cell r="J39">
            <v>265871</v>
          </cell>
          <cell r="K39">
            <v>265871</v>
          </cell>
          <cell r="L39">
            <v>265871</v>
          </cell>
          <cell r="M39">
            <v>265871</v>
          </cell>
          <cell r="N39">
            <v>265871</v>
          </cell>
          <cell r="O39">
            <v>265871</v>
          </cell>
          <cell r="P39">
            <v>265871</v>
          </cell>
          <cell r="Q39">
            <v>265872</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-11950</v>
          </cell>
          <cell r="F48">
            <v>-1786</v>
          </cell>
          <cell r="G48">
            <v>-924</v>
          </cell>
          <cell r="H48">
            <v>-924</v>
          </cell>
          <cell r="I48">
            <v>-924</v>
          </cell>
          <cell r="J48">
            <v>-924</v>
          </cell>
          <cell r="K48">
            <v>-924</v>
          </cell>
          <cell r="L48">
            <v>-924</v>
          </cell>
          <cell r="M48">
            <v>-924</v>
          </cell>
          <cell r="N48">
            <v>-924</v>
          </cell>
          <cell r="O48">
            <v>-924</v>
          </cell>
          <cell r="P48">
            <v>-924</v>
          </cell>
          <cell r="Q48">
            <v>-924</v>
          </cell>
        </row>
        <row r="49">
          <cell r="A49">
            <v>426510</v>
          </cell>
          <cell r="B49" t="str">
            <v>Other</v>
          </cell>
          <cell r="C49" t="str">
            <v>CO</v>
          </cell>
          <cell r="D49">
            <v>426</v>
          </cell>
          <cell r="E49">
            <v>-1109897</v>
          </cell>
          <cell r="F49">
            <v>-1047271</v>
          </cell>
          <cell r="G49">
            <v>0</v>
          </cell>
          <cell r="H49">
            <v>0</v>
          </cell>
          <cell r="I49">
            <v>71623</v>
          </cell>
          <cell r="J49">
            <v>-22433</v>
          </cell>
          <cell r="K49">
            <v>0</v>
          </cell>
          <cell r="L49">
            <v>58301</v>
          </cell>
          <cell r="M49">
            <v>-15084</v>
          </cell>
          <cell r="N49">
            <v>6751</v>
          </cell>
          <cell r="O49">
            <v>16356</v>
          </cell>
          <cell r="P49">
            <v>-82565</v>
          </cell>
          <cell r="Q49">
            <v>-95575</v>
          </cell>
        </row>
        <row r="50">
          <cell r="A50">
            <v>426891</v>
          </cell>
          <cell r="B50" t="str">
            <v>IC Sale of AR Fees VIE</v>
          </cell>
          <cell r="C50" t="str">
            <v>CO</v>
          </cell>
          <cell r="D50">
            <v>426</v>
          </cell>
          <cell r="E50">
            <v>310306</v>
          </cell>
          <cell r="F50">
            <v>32204</v>
          </cell>
          <cell r="G50">
            <v>39962</v>
          </cell>
          <cell r="H50">
            <v>42164</v>
          </cell>
          <cell r="I50">
            <v>38315</v>
          </cell>
          <cell r="J50">
            <v>40189</v>
          </cell>
          <cell r="K50">
            <v>36773</v>
          </cell>
          <cell r="L50">
            <v>25607</v>
          </cell>
          <cell r="M50">
            <v>27842</v>
          </cell>
          <cell r="N50">
            <v>27250</v>
          </cell>
          <cell r="O50">
            <v>0</v>
          </cell>
          <cell r="P50">
            <v>0</v>
          </cell>
          <cell r="Q50">
            <v>0</v>
          </cell>
        </row>
        <row r="51">
          <cell r="A51">
            <v>440000</v>
          </cell>
          <cell r="B51" t="str">
            <v>Residential</v>
          </cell>
          <cell r="C51" t="str">
            <v>REV</v>
          </cell>
          <cell r="D51">
            <v>440</v>
          </cell>
          <cell r="E51">
            <v>120707262</v>
          </cell>
          <cell r="F51">
            <v>10764634</v>
          </cell>
          <cell r="G51">
            <v>12874646</v>
          </cell>
          <cell r="H51">
            <v>10127950</v>
          </cell>
          <cell r="I51">
            <v>9085273</v>
          </cell>
          <cell r="J51">
            <v>7915095</v>
          </cell>
          <cell r="K51">
            <v>7508314</v>
          </cell>
          <cell r="L51">
            <v>9469175</v>
          </cell>
          <cell r="M51">
            <v>12395394</v>
          </cell>
          <cell r="N51">
            <v>12702058</v>
          </cell>
          <cell r="O51">
            <v>11569355</v>
          </cell>
          <cell r="P51">
            <v>8185453</v>
          </cell>
          <cell r="Q51">
            <v>8109915</v>
          </cell>
        </row>
        <row r="52">
          <cell r="A52">
            <v>440990</v>
          </cell>
          <cell r="B52" t="str">
            <v>Residential Unbilled Rev</v>
          </cell>
          <cell r="C52" t="str">
            <v>REV</v>
          </cell>
          <cell r="D52">
            <v>440</v>
          </cell>
          <cell r="E52">
            <v>-2397730</v>
          </cell>
          <cell r="F52">
            <v>1212394</v>
          </cell>
          <cell r="G52">
            <v>-1263731</v>
          </cell>
          <cell r="H52">
            <v>-836672</v>
          </cell>
          <cell r="I52">
            <v>-528078</v>
          </cell>
          <cell r="J52">
            <v>-339258</v>
          </cell>
          <cell r="K52">
            <v>784453</v>
          </cell>
          <cell r="L52">
            <v>1101729</v>
          </cell>
          <cell r="M52">
            <v>234596</v>
          </cell>
          <cell r="N52">
            <v>-851777</v>
          </cell>
          <cell r="O52">
            <v>-2926539</v>
          </cell>
          <cell r="P52">
            <v>-67129</v>
          </cell>
          <cell r="Q52">
            <v>1082282</v>
          </cell>
        </row>
        <row r="53">
          <cell r="A53">
            <v>442100</v>
          </cell>
          <cell r="B53" t="str">
            <v>General Service</v>
          </cell>
          <cell r="C53" t="str">
            <v>REV</v>
          </cell>
          <cell r="D53">
            <v>442</v>
          </cell>
          <cell r="E53">
            <v>109529344</v>
          </cell>
          <cell r="F53">
            <v>9044777</v>
          </cell>
          <cell r="G53">
            <v>9229396</v>
          </cell>
          <cell r="H53">
            <v>8637290</v>
          </cell>
          <cell r="I53">
            <v>8398799</v>
          </cell>
          <cell r="J53">
            <v>8187325</v>
          </cell>
          <cell r="K53">
            <v>8137893</v>
          </cell>
          <cell r="L53">
            <v>9474717</v>
          </cell>
          <cell r="M53">
            <v>10323797</v>
          </cell>
          <cell r="N53">
            <v>10314310</v>
          </cell>
          <cell r="O53">
            <v>10200665</v>
          </cell>
          <cell r="P53">
            <v>8945849</v>
          </cell>
          <cell r="Q53">
            <v>8634526</v>
          </cell>
        </row>
        <row r="54">
          <cell r="A54">
            <v>442190</v>
          </cell>
          <cell r="B54" t="str">
            <v>General Service Unbilled Rev</v>
          </cell>
          <cell r="C54" t="str">
            <v>REV</v>
          </cell>
          <cell r="D54">
            <v>442</v>
          </cell>
          <cell r="E54">
            <v>123655</v>
          </cell>
          <cell r="F54">
            <v>-134486</v>
          </cell>
          <cell r="G54">
            <v>-235686</v>
          </cell>
          <cell r="H54">
            <v>-289852</v>
          </cell>
          <cell r="I54">
            <v>106074</v>
          </cell>
          <cell r="J54">
            <v>-21272</v>
          </cell>
          <cell r="K54">
            <v>223617</v>
          </cell>
          <cell r="L54">
            <v>588408</v>
          </cell>
          <cell r="M54">
            <v>375156</v>
          </cell>
          <cell r="N54">
            <v>-108433</v>
          </cell>
          <cell r="O54">
            <v>-370491</v>
          </cell>
          <cell r="P54">
            <v>201645</v>
          </cell>
          <cell r="Q54">
            <v>-211025</v>
          </cell>
        </row>
        <row r="55">
          <cell r="A55">
            <v>442200</v>
          </cell>
          <cell r="B55" t="str">
            <v>Industrial Service</v>
          </cell>
          <cell r="C55" t="str">
            <v>REV</v>
          </cell>
          <cell r="D55">
            <v>442</v>
          </cell>
          <cell r="E55">
            <v>51583879</v>
          </cell>
          <cell r="F55">
            <v>4183045</v>
          </cell>
          <cell r="G55">
            <v>3985183</v>
          </cell>
          <cell r="H55">
            <v>4020096</v>
          </cell>
          <cell r="I55">
            <v>3928177</v>
          </cell>
          <cell r="J55">
            <v>3887686</v>
          </cell>
          <cell r="K55">
            <v>3929156</v>
          </cell>
          <cell r="L55">
            <v>4612828</v>
          </cell>
          <cell r="M55">
            <v>4698988</v>
          </cell>
          <cell r="N55">
            <v>4686098</v>
          </cell>
          <cell r="O55">
            <v>4682103</v>
          </cell>
          <cell r="P55">
            <v>4527381</v>
          </cell>
          <cell r="Q55">
            <v>4443138</v>
          </cell>
        </row>
        <row r="56">
          <cell r="A56">
            <v>442290</v>
          </cell>
          <cell r="B56" t="str">
            <v>Industrial Svc Unbilled Rev</v>
          </cell>
          <cell r="C56" t="str">
            <v>REV</v>
          </cell>
          <cell r="D56">
            <v>442</v>
          </cell>
          <cell r="E56">
            <v>-8065</v>
          </cell>
          <cell r="F56">
            <v>-153749</v>
          </cell>
          <cell r="G56">
            <v>15961</v>
          </cell>
          <cell r="H56">
            <v>-218848</v>
          </cell>
          <cell r="I56">
            <v>136596</v>
          </cell>
          <cell r="J56">
            <v>-102759</v>
          </cell>
          <cell r="K56">
            <v>162141</v>
          </cell>
          <cell r="L56">
            <v>94679</v>
          </cell>
          <cell r="M56">
            <v>9994</v>
          </cell>
          <cell r="N56">
            <v>15835</v>
          </cell>
          <cell r="O56">
            <v>70916</v>
          </cell>
          <cell r="P56">
            <v>-20930</v>
          </cell>
          <cell r="Q56">
            <v>-17901</v>
          </cell>
        </row>
        <row r="57">
          <cell r="A57">
            <v>444000</v>
          </cell>
          <cell r="B57" t="str">
            <v>Public St &amp; Highway Lighting</v>
          </cell>
          <cell r="C57" t="str">
            <v>REV</v>
          </cell>
          <cell r="D57">
            <v>444</v>
          </cell>
          <cell r="E57">
            <v>1597984</v>
          </cell>
          <cell r="F57">
            <v>136237</v>
          </cell>
          <cell r="G57">
            <v>116540</v>
          </cell>
          <cell r="H57">
            <v>135023</v>
          </cell>
          <cell r="I57">
            <v>131291</v>
          </cell>
          <cell r="J57">
            <v>130149</v>
          </cell>
          <cell r="K57">
            <v>127100</v>
          </cell>
          <cell r="L57">
            <v>133952</v>
          </cell>
          <cell r="M57">
            <v>137708</v>
          </cell>
          <cell r="N57">
            <v>137324</v>
          </cell>
          <cell r="O57">
            <v>138581</v>
          </cell>
          <cell r="P57">
            <v>136305</v>
          </cell>
          <cell r="Q57">
            <v>137774</v>
          </cell>
        </row>
        <row r="58">
          <cell r="A58">
            <v>445000</v>
          </cell>
          <cell r="B58" t="str">
            <v>Other Sales to Public Auth</v>
          </cell>
          <cell r="C58" t="str">
            <v>REV</v>
          </cell>
          <cell r="D58">
            <v>445</v>
          </cell>
          <cell r="E58">
            <v>20713691</v>
          </cell>
          <cell r="F58">
            <v>1709352</v>
          </cell>
          <cell r="G58">
            <v>1715247</v>
          </cell>
          <cell r="H58">
            <v>1574174</v>
          </cell>
          <cell r="I58">
            <v>1646049</v>
          </cell>
          <cell r="J58">
            <v>1517430</v>
          </cell>
          <cell r="K58">
            <v>1560495</v>
          </cell>
          <cell r="L58">
            <v>1770066</v>
          </cell>
          <cell r="M58">
            <v>1834370</v>
          </cell>
          <cell r="N58">
            <v>1901140</v>
          </cell>
          <cell r="O58">
            <v>2009173</v>
          </cell>
          <cell r="P58">
            <v>1793742</v>
          </cell>
          <cell r="Q58">
            <v>1682453</v>
          </cell>
        </row>
        <row r="59">
          <cell r="A59">
            <v>445090</v>
          </cell>
          <cell r="B59" t="str">
            <v>OPA Unbilled</v>
          </cell>
          <cell r="C59" t="str">
            <v>REV</v>
          </cell>
          <cell r="D59">
            <v>445</v>
          </cell>
          <cell r="E59">
            <v>-32783</v>
          </cell>
          <cell r="F59">
            <v>-61084</v>
          </cell>
          <cell r="G59">
            <v>-10057</v>
          </cell>
          <cell r="H59">
            <v>-114799</v>
          </cell>
          <cell r="I59">
            <v>44432</v>
          </cell>
          <cell r="J59">
            <v>-50026</v>
          </cell>
          <cell r="K59">
            <v>63810</v>
          </cell>
          <cell r="L59">
            <v>108023</v>
          </cell>
          <cell r="M59">
            <v>65849</v>
          </cell>
          <cell r="N59">
            <v>49795</v>
          </cell>
          <cell r="O59">
            <v>-89899</v>
          </cell>
          <cell r="P59">
            <v>24909</v>
          </cell>
          <cell r="Q59">
            <v>-63736</v>
          </cell>
        </row>
        <row r="60">
          <cell r="A60">
            <v>447150</v>
          </cell>
          <cell r="B60" t="str">
            <v>Sales For Resale - Outside</v>
          </cell>
          <cell r="C60" t="str">
            <v>REV</v>
          </cell>
          <cell r="D60">
            <v>447</v>
          </cell>
          <cell r="E60">
            <v>17932492</v>
          </cell>
          <cell r="F60">
            <v>2931217</v>
          </cell>
          <cell r="G60">
            <v>1775211</v>
          </cell>
          <cell r="H60">
            <v>1608680</v>
          </cell>
          <cell r="I60">
            <v>3515082</v>
          </cell>
          <cell r="J60">
            <v>2495303</v>
          </cell>
          <cell r="K60">
            <v>1297999</v>
          </cell>
          <cell r="L60">
            <v>672000</v>
          </cell>
          <cell r="M60">
            <v>835000</v>
          </cell>
          <cell r="N60">
            <v>716000</v>
          </cell>
          <cell r="O60">
            <v>619000</v>
          </cell>
          <cell r="P60">
            <v>898000</v>
          </cell>
          <cell r="Q60">
            <v>569000</v>
          </cell>
        </row>
        <row r="61">
          <cell r="A61">
            <v>448000</v>
          </cell>
          <cell r="B61" t="str">
            <v>Interdepartmental Sales-Elec</v>
          </cell>
          <cell r="C61" t="str">
            <v>REV</v>
          </cell>
          <cell r="D61">
            <v>448</v>
          </cell>
          <cell r="E61">
            <v>52074</v>
          </cell>
          <cell r="F61">
            <v>2467</v>
          </cell>
          <cell r="G61">
            <v>9022</v>
          </cell>
          <cell r="H61">
            <v>11880</v>
          </cell>
          <cell r="I61">
            <v>33871</v>
          </cell>
          <cell r="J61">
            <v>-26351</v>
          </cell>
          <cell r="K61">
            <v>2070</v>
          </cell>
          <cell r="L61">
            <v>2989</v>
          </cell>
          <cell r="M61">
            <v>4290</v>
          </cell>
          <cell r="N61">
            <v>3891</v>
          </cell>
          <cell r="O61">
            <v>1790</v>
          </cell>
          <cell r="P61">
            <v>1935</v>
          </cell>
          <cell r="Q61">
            <v>4220</v>
          </cell>
        </row>
        <row r="62">
          <cell r="A62">
            <v>449100</v>
          </cell>
          <cell r="B62" t="str">
            <v>Provisions For Rate Refunds</v>
          </cell>
          <cell r="C62" t="str">
            <v>REV</v>
          </cell>
          <cell r="D62">
            <v>449</v>
          </cell>
          <cell r="E62">
            <v>573260</v>
          </cell>
          <cell r="F62">
            <v>-379172</v>
          </cell>
          <cell r="G62">
            <v>93347</v>
          </cell>
          <cell r="H62">
            <v>225359</v>
          </cell>
          <cell r="I62">
            <v>-308596</v>
          </cell>
          <cell r="J62">
            <v>257601</v>
          </cell>
          <cell r="K62">
            <v>684721</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284441</v>
          </cell>
          <cell r="F64">
            <v>26203</v>
          </cell>
          <cell r="G64">
            <v>19479</v>
          </cell>
          <cell r="H64">
            <v>18855</v>
          </cell>
          <cell r="I64">
            <v>18420</v>
          </cell>
          <cell r="J64">
            <v>23169</v>
          </cell>
          <cell r="K64">
            <v>29563</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114457</v>
          </cell>
          <cell r="F65">
            <v>85000</v>
          </cell>
          <cell r="G65">
            <v>9819</v>
          </cell>
          <cell r="H65">
            <v>9819</v>
          </cell>
          <cell r="I65">
            <v>9819</v>
          </cell>
          <cell r="J65">
            <v>0</v>
          </cell>
          <cell r="K65">
            <v>0</v>
          </cell>
          <cell r="L65">
            <v>0</v>
          </cell>
          <cell r="M65">
            <v>0</v>
          </cell>
          <cell r="N65">
            <v>0</v>
          </cell>
          <cell r="O65">
            <v>0</v>
          </cell>
          <cell r="P65">
            <v>0</v>
          </cell>
          <cell r="Q65">
            <v>0</v>
          </cell>
        </row>
        <row r="66">
          <cell r="A66">
            <v>454200</v>
          </cell>
          <cell r="B66" t="str">
            <v>Pole &amp; Line Attachments</v>
          </cell>
          <cell r="C66" t="str">
            <v>REV</v>
          </cell>
          <cell r="D66">
            <v>454</v>
          </cell>
          <cell r="E66">
            <v>117775</v>
          </cell>
          <cell r="F66">
            <v>0</v>
          </cell>
          <cell r="G66">
            <v>32539</v>
          </cell>
          <cell r="H66">
            <v>0</v>
          </cell>
          <cell r="I66">
            <v>36</v>
          </cell>
          <cell r="J66">
            <v>85</v>
          </cell>
          <cell r="K66">
            <v>113</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1155</v>
          </cell>
          <cell r="F67">
            <v>231</v>
          </cell>
          <cell r="G67">
            <v>231</v>
          </cell>
          <cell r="H67">
            <v>231</v>
          </cell>
          <cell r="I67">
            <v>0</v>
          </cell>
          <cell r="J67">
            <v>231</v>
          </cell>
          <cell r="K67">
            <v>231</v>
          </cell>
          <cell r="L67">
            <v>0</v>
          </cell>
          <cell r="M67">
            <v>0</v>
          </cell>
          <cell r="N67">
            <v>0</v>
          </cell>
          <cell r="O67">
            <v>0</v>
          </cell>
          <cell r="P67">
            <v>0</v>
          </cell>
          <cell r="Q67">
            <v>0</v>
          </cell>
        </row>
        <row r="68">
          <cell r="A68">
            <v>454400</v>
          </cell>
          <cell r="B68" t="str">
            <v>Other Electric Rents</v>
          </cell>
          <cell r="C68" t="str">
            <v>REV</v>
          </cell>
          <cell r="D68">
            <v>454</v>
          </cell>
          <cell r="E68">
            <v>930344</v>
          </cell>
          <cell r="F68">
            <v>32503</v>
          </cell>
          <cell r="G68">
            <v>80504</v>
          </cell>
          <cell r="H68">
            <v>66175</v>
          </cell>
          <cell r="I68">
            <v>73505</v>
          </cell>
          <cell r="J68">
            <v>73073</v>
          </cell>
          <cell r="K68">
            <v>75582</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32503</v>
          </cell>
          <cell r="G69">
            <v>80504</v>
          </cell>
          <cell r="H69">
            <v>66175</v>
          </cell>
          <cell r="I69">
            <v>73505</v>
          </cell>
          <cell r="J69">
            <v>73073</v>
          </cell>
          <cell r="K69">
            <v>75582</v>
          </cell>
          <cell r="L69">
            <v>0</v>
          </cell>
          <cell r="M69">
            <v>0</v>
          </cell>
          <cell r="N69">
            <v>0</v>
          </cell>
          <cell r="O69">
            <v>0</v>
          </cell>
          <cell r="P69">
            <v>0</v>
          </cell>
          <cell r="Q69">
            <v>0</v>
          </cell>
        </row>
        <row r="70">
          <cell r="A70">
            <v>456025</v>
          </cell>
          <cell r="B70" t="str">
            <v>RSG Rev - MISO Make Whole</v>
          </cell>
          <cell r="C70" t="str">
            <v>REV</v>
          </cell>
          <cell r="D70">
            <v>456</v>
          </cell>
          <cell r="E70">
            <v>534671</v>
          </cell>
          <cell r="F70">
            <v>66722</v>
          </cell>
          <cell r="G70">
            <v>172028</v>
          </cell>
          <cell r="H70">
            <v>20831</v>
          </cell>
          <cell r="I70">
            <v>222875</v>
          </cell>
          <cell r="J70">
            <v>20</v>
          </cell>
          <cell r="K70">
            <v>52195</v>
          </cell>
          <cell r="L70">
            <v>0</v>
          </cell>
          <cell r="M70">
            <v>0</v>
          </cell>
          <cell r="N70">
            <v>0</v>
          </cell>
          <cell r="O70">
            <v>0</v>
          </cell>
          <cell r="P70">
            <v>0</v>
          </cell>
          <cell r="Q70">
            <v>0</v>
          </cell>
        </row>
        <row r="71">
          <cell r="A71">
            <v>456040</v>
          </cell>
          <cell r="B71" t="str">
            <v>Sales Use Tax Coll Fee</v>
          </cell>
          <cell r="C71" t="str">
            <v>REV</v>
          </cell>
          <cell r="D71">
            <v>456</v>
          </cell>
          <cell r="E71">
            <v>300</v>
          </cell>
          <cell r="F71">
            <v>50</v>
          </cell>
          <cell r="G71">
            <v>50</v>
          </cell>
          <cell r="H71">
            <v>50</v>
          </cell>
          <cell r="I71">
            <v>50</v>
          </cell>
          <cell r="J71">
            <v>50</v>
          </cell>
          <cell r="K71">
            <v>50</v>
          </cell>
          <cell r="L71">
            <v>0</v>
          </cell>
          <cell r="M71">
            <v>0</v>
          </cell>
          <cell r="N71">
            <v>0</v>
          </cell>
          <cell r="O71">
            <v>0</v>
          </cell>
          <cell r="P71">
            <v>0</v>
          </cell>
          <cell r="Q71">
            <v>0</v>
          </cell>
        </row>
        <row r="72">
          <cell r="A72">
            <v>456110</v>
          </cell>
          <cell r="B72" t="str">
            <v>Transmission Charge PTP</v>
          </cell>
          <cell r="C72" t="str">
            <v>REV</v>
          </cell>
          <cell r="D72">
            <v>456</v>
          </cell>
          <cell r="E72">
            <v>102595</v>
          </cell>
          <cell r="F72">
            <v>5041</v>
          </cell>
          <cell r="G72">
            <v>5369</v>
          </cell>
          <cell r="H72">
            <v>6684</v>
          </cell>
          <cell r="I72">
            <v>4763</v>
          </cell>
          <cell r="J72">
            <v>3621</v>
          </cell>
          <cell r="K72">
            <v>4619</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1802840</v>
          </cell>
          <cell r="F73">
            <v>304346</v>
          </cell>
          <cell r="G73">
            <v>60201</v>
          </cell>
          <cell r="H73">
            <v>-3379</v>
          </cell>
          <cell r="I73">
            <v>-552</v>
          </cell>
          <cell r="J73">
            <v>-43274</v>
          </cell>
          <cell r="K73">
            <v>121038</v>
          </cell>
          <cell r="L73">
            <v>227410</v>
          </cell>
          <cell r="M73">
            <v>227410</v>
          </cell>
          <cell r="N73">
            <v>227410</v>
          </cell>
          <cell r="O73">
            <v>227410</v>
          </cell>
          <cell r="P73">
            <v>227410</v>
          </cell>
          <cell r="Q73">
            <v>227410</v>
          </cell>
        </row>
        <row r="74">
          <cell r="A74">
            <v>456610</v>
          </cell>
          <cell r="B74" t="str">
            <v>Other Electric Revenues</v>
          </cell>
          <cell r="C74" t="str">
            <v>REV</v>
          </cell>
          <cell r="D74">
            <v>456</v>
          </cell>
          <cell r="E74">
            <v>15633</v>
          </cell>
          <cell r="F74">
            <v>0</v>
          </cell>
          <cell r="G74">
            <v>15633</v>
          </cell>
          <cell r="H74">
            <v>0</v>
          </cell>
          <cell r="I74">
            <v>0</v>
          </cell>
          <cell r="J74">
            <v>0</v>
          </cell>
          <cell r="K74">
            <v>0</v>
          </cell>
          <cell r="L74">
            <v>0</v>
          </cell>
          <cell r="M74">
            <v>0</v>
          </cell>
          <cell r="N74">
            <v>0</v>
          </cell>
          <cell r="O74">
            <v>0</v>
          </cell>
          <cell r="P74">
            <v>0</v>
          </cell>
          <cell r="Q74">
            <v>0</v>
          </cell>
        </row>
        <row r="75">
          <cell r="A75">
            <v>456970</v>
          </cell>
          <cell r="B75" t="str">
            <v>Wheel Transmission Rev - ED</v>
          </cell>
          <cell r="C75" t="str">
            <v>REV</v>
          </cell>
          <cell r="D75">
            <v>456</v>
          </cell>
          <cell r="E75">
            <v>42241</v>
          </cell>
          <cell r="F75">
            <v>4447</v>
          </cell>
          <cell r="G75">
            <v>5764</v>
          </cell>
          <cell r="H75">
            <v>5591</v>
          </cell>
          <cell r="I75">
            <v>4961</v>
          </cell>
          <cell r="J75">
            <v>5195</v>
          </cell>
          <cell r="K75">
            <v>4031</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94013</v>
          </cell>
          <cell r="F77">
            <v>0</v>
          </cell>
          <cell r="G77">
            <v>0</v>
          </cell>
          <cell r="H77">
            <v>65634</v>
          </cell>
          <cell r="I77">
            <v>13302</v>
          </cell>
          <cell r="J77">
            <v>-1</v>
          </cell>
          <cell r="K77">
            <v>15078</v>
          </cell>
          <cell r="L77">
            <v>0</v>
          </cell>
          <cell r="M77">
            <v>0</v>
          </cell>
          <cell r="N77">
            <v>0</v>
          </cell>
          <cell r="O77">
            <v>0</v>
          </cell>
          <cell r="P77">
            <v>0</v>
          </cell>
          <cell r="Q77">
            <v>0</v>
          </cell>
        </row>
        <row r="78">
          <cell r="A78">
            <v>457204</v>
          </cell>
          <cell r="B78" t="str">
            <v>PJM Reactive Rev</v>
          </cell>
          <cell r="C78" t="str">
            <v>REV</v>
          </cell>
          <cell r="D78">
            <v>457</v>
          </cell>
          <cell r="E78">
            <v>2036810</v>
          </cell>
          <cell r="F78">
            <v>1100470</v>
          </cell>
          <cell r="G78">
            <v>24057</v>
          </cell>
          <cell r="H78">
            <v>-45057</v>
          </cell>
          <cell r="I78">
            <v>622802</v>
          </cell>
          <cell r="J78">
            <v>177769</v>
          </cell>
          <cell r="K78">
            <v>156769</v>
          </cell>
          <cell r="L78">
            <v>0</v>
          </cell>
          <cell r="M78">
            <v>0</v>
          </cell>
          <cell r="N78">
            <v>0</v>
          </cell>
          <cell r="O78">
            <v>0</v>
          </cell>
          <cell r="P78">
            <v>0</v>
          </cell>
          <cell r="Q78">
            <v>0</v>
          </cell>
        </row>
        <row r="79">
          <cell r="A79">
            <v>500000</v>
          </cell>
          <cell r="B79" t="str">
            <v>Suprvsn and Engrg - Steam Oper</v>
          </cell>
          <cell r="C79" t="str">
            <v>PO</v>
          </cell>
          <cell r="D79">
            <v>500</v>
          </cell>
          <cell r="E79">
            <v>2208619</v>
          </cell>
          <cell r="F79">
            <v>358766</v>
          </cell>
          <cell r="G79">
            <v>216246</v>
          </cell>
          <cell r="H79">
            <v>312104</v>
          </cell>
          <cell r="I79">
            <v>154115</v>
          </cell>
          <cell r="J79">
            <v>309876</v>
          </cell>
          <cell r="K79">
            <v>256734</v>
          </cell>
          <cell r="L79">
            <v>98265</v>
          </cell>
          <cell r="M79">
            <v>97670</v>
          </cell>
          <cell r="N79">
            <v>100798</v>
          </cell>
          <cell r="O79">
            <v>105976</v>
          </cell>
          <cell r="P79">
            <v>98780</v>
          </cell>
          <cell r="Q79">
            <v>99289</v>
          </cell>
        </row>
        <row r="80">
          <cell r="A80">
            <v>501110</v>
          </cell>
          <cell r="B80" t="str">
            <v>Coal Consumed-Fossil Steam</v>
          </cell>
          <cell r="C80" t="str">
            <v>Fuel</v>
          </cell>
          <cell r="D80">
            <v>501</v>
          </cell>
          <cell r="E80">
            <v>86980552</v>
          </cell>
          <cell r="F80">
            <v>6189750</v>
          </cell>
          <cell r="G80">
            <v>9352399</v>
          </cell>
          <cell r="H80">
            <v>7368099</v>
          </cell>
          <cell r="I80">
            <v>9054528</v>
          </cell>
          <cell r="J80">
            <v>7688931</v>
          </cell>
          <cell r="K80">
            <v>6127845</v>
          </cell>
          <cell r="L80">
            <v>6782000</v>
          </cell>
          <cell r="M80">
            <v>7394000</v>
          </cell>
          <cell r="N80">
            <v>7443000</v>
          </cell>
          <cell r="O80">
            <v>6486000</v>
          </cell>
          <cell r="P80">
            <v>6642000</v>
          </cell>
          <cell r="Q80">
            <v>6452000</v>
          </cell>
        </row>
        <row r="81">
          <cell r="A81">
            <v>501150</v>
          </cell>
          <cell r="B81" t="str">
            <v>Coal &amp; Other Fuel Handling</v>
          </cell>
          <cell r="C81" t="str">
            <v>PO</v>
          </cell>
          <cell r="D81">
            <v>501</v>
          </cell>
          <cell r="E81">
            <v>1860149</v>
          </cell>
          <cell r="F81">
            <v>478191</v>
          </cell>
          <cell r="G81">
            <v>64236</v>
          </cell>
          <cell r="H81">
            <v>115658</v>
          </cell>
          <cell r="I81">
            <v>108966</v>
          </cell>
          <cell r="J81">
            <v>131337</v>
          </cell>
          <cell r="K81">
            <v>113379</v>
          </cell>
          <cell r="L81">
            <v>138863</v>
          </cell>
          <cell r="M81">
            <v>138291</v>
          </cell>
          <cell r="N81">
            <v>138442</v>
          </cell>
          <cell r="O81">
            <v>156236</v>
          </cell>
          <cell r="P81">
            <v>138199</v>
          </cell>
          <cell r="Q81">
            <v>138351</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1480799</v>
          </cell>
          <cell r="F83">
            <v>188048</v>
          </cell>
          <cell r="G83">
            <v>14255</v>
          </cell>
          <cell r="H83">
            <v>22671</v>
          </cell>
          <cell r="I83">
            <v>31111</v>
          </cell>
          <cell r="J83">
            <v>19429</v>
          </cell>
          <cell r="K83">
            <v>32435</v>
          </cell>
          <cell r="L83">
            <v>195475</v>
          </cell>
          <cell r="M83">
            <v>195475</v>
          </cell>
          <cell r="N83">
            <v>195475</v>
          </cell>
          <cell r="O83">
            <v>195475</v>
          </cell>
          <cell r="P83">
            <v>195475</v>
          </cell>
          <cell r="Q83">
            <v>195475</v>
          </cell>
        </row>
        <row r="84">
          <cell r="A84">
            <v>501310</v>
          </cell>
          <cell r="B84" t="str">
            <v>Oil Consumed-Fossil Steam</v>
          </cell>
          <cell r="C84" t="str">
            <v>Fuel</v>
          </cell>
          <cell r="D84">
            <v>501</v>
          </cell>
          <cell r="E84">
            <v>696452</v>
          </cell>
          <cell r="F84">
            <v>223682</v>
          </cell>
          <cell r="G84">
            <v>275115</v>
          </cell>
          <cell r="H84">
            <v>116257</v>
          </cell>
          <cell r="I84">
            <v>48065</v>
          </cell>
          <cell r="J84">
            <v>-120684</v>
          </cell>
          <cell r="K84">
            <v>154017</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4035000</v>
          </cell>
          <cell r="F86">
            <v>0</v>
          </cell>
          <cell r="G86">
            <v>0</v>
          </cell>
          <cell r="H86">
            <v>0</v>
          </cell>
          <cell r="I86">
            <v>0</v>
          </cell>
          <cell r="J86">
            <v>0</v>
          </cell>
          <cell r="K86">
            <v>0</v>
          </cell>
          <cell r="L86">
            <v>567000</v>
          </cell>
          <cell r="M86">
            <v>659000</v>
          </cell>
          <cell r="N86">
            <v>729000</v>
          </cell>
          <cell r="O86">
            <v>676000</v>
          </cell>
          <cell r="P86">
            <v>909000</v>
          </cell>
          <cell r="Q86">
            <v>495000</v>
          </cell>
        </row>
        <row r="87">
          <cell r="A87">
            <v>502040</v>
          </cell>
          <cell r="B87" t="str">
            <v>COST OF LIME</v>
          </cell>
          <cell r="C87" t="str">
            <v>PO</v>
          </cell>
          <cell r="D87">
            <v>502</v>
          </cell>
          <cell r="E87">
            <v>4363604</v>
          </cell>
          <cell r="F87">
            <v>565241</v>
          </cell>
          <cell r="G87">
            <v>899842</v>
          </cell>
          <cell r="H87">
            <v>657316</v>
          </cell>
          <cell r="I87">
            <v>956771</v>
          </cell>
          <cell r="J87">
            <v>558101</v>
          </cell>
          <cell r="K87">
            <v>526570</v>
          </cell>
          <cell r="L87">
            <v>-37902</v>
          </cell>
          <cell r="M87">
            <v>272981</v>
          </cell>
          <cell r="N87">
            <v>315881</v>
          </cell>
          <cell r="O87">
            <v>-257220</v>
          </cell>
          <cell r="P87">
            <v>-355321</v>
          </cell>
          <cell r="Q87">
            <v>261344</v>
          </cell>
        </row>
        <row r="88">
          <cell r="A88">
            <v>502070</v>
          </cell>
          <cell r="B88" t="str">
            <v>Gypsum - Qualifying</v>
          </cell>
          <cell r="C88" t="str">
            <v>PO</v>
          </cell>
          <cell r="D88">
            <v>502</v>
          </cell>
          <cell r="E88">
            <v>25000</v>
          </cell>
          <cell r="F88">
            <v>0</v>
          </cell>
          <cell r="G88">
            <v>0</v>
          </cell>
          <cell r="H88">
            <v>0</v>
          </cell>
          <cell r="I88">
            <v>0</v>
          </cell>
          <cell r="J88">
            <v>0</v>
          </cell>
          <cell r="K88">
            <v>0</v>
          </cell>
          <cell r="L88">
            <v>5000</v>
          </cell>
          <cell r="M88">
            <v>5000</v>
          </cell>
          <cell r="N88">
            <v>5000</v>
          </cell>
          <cell r="O88">
            <v>5000</v>
          </cell>
          <cell r="P88">
            <v>5000</v>
          </cell>
          <cell r="Q88">
            <v>0</v>
          </cell>
        </row>
        <row r="89">
          <cell r="A89">
            <v>502100</v>
          </cell>
          <cell r="B89" t="str">
            <v>Fossil Steam Exp-Other</v>
          </cell>
          <cell r="C89" t="str">
            <v>PO</v>
          </cell>
          <cell r="D89">
            <v>502</v>
          </cell>
          <cell r="E89">
            <v>6908901</v>
          </cell>
          <cell r="F89">
            <v>276235</v>
          </cell>
          <cell r="G89">
            <v>335629</v>
          </cell>
          <cell r="H89">
            <v>260804</v>
          </cell>
          <cell r="I89">
            <v>340468</v>
          </cell>
          <cell r="J89">
            <v>300401</v>
          </cell>
          <cell r="K89">
            <v>346998</v>
          </cell>
          <cell r="L89">
            <v>798151</v>
          </cell>
          <cell r="M89">
            <v>905744</v>
          </cell>
          <cell r="N89">
            <v>921656</v>
          </cell>
          <cell r="O89">
            <v>829768</v>
          </cell>
          <cell r="P89">
            <v>693175</v>
          </cell>
          <cell r="Q89">
            <v>899872</v>
          </cell>
        </row>
        <row r="90">
          <cell r="A90">
            <v>505000</v>
          </cell>
          <cell r="B90" t="str">
            <v>Electric Expenses-Steam Oper</v>
          </cell>
          <cell r="C90" t="str">
            <v>PO</v>
          </cell>
          <cell r="D90">
            <v>505</v>
          </cell>
          <cell r="E90">
            <v>688681</v>
          </cell>
          <cell r="F90">
            <v>59590</v>
          </cell>
          <cell r="G90">
            <v>76168</v>
          </cell>
          <cell r="H90">
            <v>57068</v>
          </cell>
          <cell r="I90">
            <v>81114</v>
          </cell>
          <cell r="J90">
            <v>59996</v>
          </cell>
          <cell r="K90">
            <v>66195</v>
          </cell>
          <cell r="L90">
            <v>44824</v>
          </cell>
          <cell r="M90">
            <v>44823</v>
          </cell>
          <cell r="N90">
            <v>44961</v>
          </cell>
          <cell r="O90">
            <v>64325</v>
          </cell>
          <cell r="P90">
            <v>44739</v>
          </cell>
          <cell r="Q90">
            <v>44878</v>
          </cell>
        </row>
        <row r="91">
          <cell r="A91">
            <v>506000</v>
          </cell>
          <cell r="B91" t="str">
            <v>Misc Fossil Power Expenses</v>
          </cell>
          <cell r="C91" t="str">
            <v>PO</v>
          </cell>
          <cell r="D91">
            <v>506</v>
          </cell>
          <cell r="E91">
            <v>1837781</v>
          </cell>
          <cell r="F91">
            <v>441290</v>
          </cell>
          <cell r="G91">
            <v>75530</v>
          </cell>
          <cell r="H91">
            <v>143951</v>
          </cell>
          <cell r="I91">
            <v>137200</v>
          </cell>
          <cell r="J91">
            <v>142327</v>
          </cell>
          <cell r="K91">
            <v>107698</v>
          </cell>
          <cell r="L91">
            <v>114575</v>
          </cell>
          <cell r="M91">
            <v>166005</v>
          </cell>
          <cell r="N91">
            <v>108638</v>
          </cell>
          <cell r="O91">
            <v>124526</v>
          </cell>
          <cell r="P91">
            <v>164940</v>
          </cell>
          <cell r="Q91">
            <v>111101</v>
          </cell>
        </row>
        <row r="92">
          <cell r="A92">
            <v>509030</v>
          </cell>
          <cell r="B92" t="str">
            <v>SO2 Emission Expense</v>
          </cell>
          <cell r="C92" t="str">
            <v>EA</v>
          </cell>
          <cell r="D92">
            <v>509</v>
          </cell>
          <cell r="E92">
            <v>817</v>
          </cell>
          <cell r="F92">
            <v>68</v>
          </cell>
          <cell r="G92">
            <v>53</v>
          </cell>
          <cell r="H92">
            <v>49</v>
          </cell>
          <cell r="I92">
            <v>38</v>
          </cell>
          <cell r="J92">
            <v>49</v>
          </cell>
          <cell r="K92">
            <v>45</v>
          </cell>
          <cell r="L92">
            <v>84</v>
          </cell>
          <cell r="M92">
            <v>89</v>
          </cell>
          <cell r="N92">
            <v>94</v>
          </cell>
          <cell r="O92">
            <v>82</v>
          </cell>
          <cell r="P92">
            <v>84</v>
          </cell>
          <cell r="Q92">
            <v>82</v>
          </cell>
        </row>
        <row r="93">
          <cell r="A93">
            <v>509210</v>
          </cell>
          <cell r="B93" t="str">
            <v>Seasonal NOx Emission Expense</v>
          </cell>
          <cell r="C93" t="str">
            <v>EA</v>
          </cell>
          <cell r="D93">
            <v>509</v>
          </cell>
          <cell r="E93">
            <v>9856</v>
          </cell>
          <cell r="F93">
            <v>-54</v>
          </cell>
          <cell r="G93">
            <v>0</v>
          </cell>
          <cell r="H93">
            <v>-11</v>
          </cell>
          <cell r="I93">
            <v>11</v>
          </cell>
          <cell r="J93">
            <v>0</v>
          </cell>
          <cell r="K93">
            <v>0</v>
          </cell>
          <cell r="L93">
            <v>2374</v>
          </cell>
          <cell r="M93">
            <v>2561</v>
          </cell>
          <cell r="N93">
            <v>2670</v>
          </cell>
          <cell r="O93">
            <v>2305</v>
          </cell>
          <cell r="P93">
            <v>0</v>
          </cell>
          <cell r="Q93">
            <v>0</v>
          </cell>
        </row>
        <row r="94">
          <cell r="A94">
            <v>509212</v>
          </cell>
          <cell r="B94" t="str">
            <v>Annual NOx Emission Expense</v>
          </cell>
          <cell r="C94" t="str">
            <v>EA</v>
          </cell>
          <cell r="D94">
            <v>509</v>
          </cell>
          <cell r="E94">
            <v>7890</v>
          </cell>
          <cell r="F94">
            <v>2678</v>
          </cell>
          <cell r="G94">
            <v>2315</v>
          </cell>
          <cell r="H94">
            <v>1028</v>
          </cell>
          <cell r="I94">
            <v>703</v>
          </cell>
          <cell r="J94">
            <v>629</v>
          </cell>
          <cell r="K94">
            <v>537</v>
          </cell>
          <cell r="L94">
            <v>0</v>
          </cell>
          <cell r="M94">
            <v>0</v>
          </cell>
          <cell r="N94">
            <v>0</v>
          </cell>
          <cell r="O94">
            <v>0</v>
          </cell>
          <cell r="P94">
            <v>0</v>
          </cell>
          <cell r="Q94">
            <v>0</v>
          </cell>
        </row>
        <row r="95">
          <cell r="A95">
            <v>510000</v>
          </cell>
          <cell r="B95" t="str">
            <v>Suprvsn and Engrng-Steam Maint</v>
          </cell>
          <cell r="C95" t="str">
            <v>PM</v>
          </cell>
          <cell r="D95">
            <v>510</v>
          </cell>
          <cell r="E95">
            <v>2019409</v>
          </cell>
          <cell r="F95">
            <v>171031</v>
          </cell>
          <cell r="G95">
            <v>157470</v>
          </cell>
          <cell r="H95">
            <v>153293</v>
          </cell>
          <cell r="I95">
            <v>134684</v>
          </cell>
          <cell r="J95">
            <v>139015</v>
          </cell>
          <cell r="K95">
            <v>158412</v>
          </cell>
          <cell r="L95">
            <v>183461</v>
          </cell>
          <cell r="M95">
            <v>183458</v>
          </cell>
          <cell r="N95">
            <v>183972</v>
          </cell>
          <cell r="O95">
            <v>181829</v>
          </cell>
          <cell r="P95">
            <v>189123</v>
          </cell>
          <cell r="Q95">
            <v>183661</v>
          </cell>
        </row>
        <row r="96">
          <cell r="A96">
            <v>510100</v>
          </cell>
          <cell r="B96" t="str">
            <v>Suprvsn &amp; Engrng-Steam Maint R</v>
          </cell>
          <cell r="C96" t="str">
            <v>PM</v>
          </cell>
          <cell r="D96">
            <v>510</v>
          </cell>
          <cell r="E96">
            <v>40154</v>
          </cell>
          <cell r="F96">
            <v>4239</v>
          </cell>
          <cell r="G96">
            <v>1368</v>
          </cell>
          <cell r="H96">
            <v>2830</v>
          </cell>
          <cell r="I96">
            <v>3110</v>
          </cell>
          <cell r="J96">
            <v>2208</v>
          </cell>
          <cell r="K96">
            <v>3046</v>
          </cell>
          <cell r="L96">
            <v>3891</v>
          </cell>
          <cell r="M96">
            <v>3892</v>
          </cell>
          <cell r="N96">
            <v>3893</v>
          </cell>
          <cell r="O96">
            <v>3892</v>
          </cell>
          <cell r="P96">
            <v>3893</v>
          </cell>
          <cell r="Q96">
            <v>3892</v>
          </cell>
        </row>
        <row r="97">
          <cell r="A97">
            <v>511000</v>
          </cell>
          <cell r="B97" t="str">
            <v>Maint of Structures-Steam</v>
          </cell>
          <cell r="C97" t="str">
            <v>PM</v>
          </cell>
          <cell r="D97">
            <v>511</v>
          </cell>
          <cell r="E97">
            <v>3490323</v>
          </cell>
          <cell r="F97">
            <v>284649</v>
          </cell>
          <cell r="G97">
            <v>281469</v>
          </cell>
          <cell r="H97">
            <v>275899</v>
          </cell>
          <cell r="I97">
            <v>530210</v>
          </cell>
          <cell r="J97">
            <v>319727</v>
          </cell>
          <cell r="K97">
            <v>348412</v>
          </cell>
          <cell r="L97">
            <v>237200</v>
          </cell>
          <cell r="M97">
            <v>237232</v>
          </cell>
          <cell r="N97">
            <v>237396</v>
          </cell>
          <cell r="O97">
            <v>263003</v>
          </cell>
          <cell r="P97">
            <v>237086</v>
          </cell>
          <cell r="Q97">
            <v>238040</v>
          </cell>
        </row>
        <row r="98">
          <cell r="A98">
            <v>512100</v>
          </cell>
          <cell r="B98" t="str">
            <v>Maint of Boiler Plant-Other</v>
          </cell>
          <cell r="C98" t="str">
            <v>PM</v>
          </cell>
          <cell r="D98">
            <v>512</v>
          </cell>
          <cell r="E98">
            <v>5517662</v>
          </cell>
          <cell r="F98">
            <v>483448</v>
          </cell>
          <cell r="G98">
            <v>509567</v>
          </cell>
          <cell r="H98">
            <v>469542</v>
          </cell>
          <cell r="I98">
            <v>626293</v>
          </cell>
          <cell r="J98">
            <v>389447</v>
          </cell>
          <cell r="K98">
            <v>615609</v>
          </cell>
          <cell r="L98">
            <v>447765</v>
          </cell>
          <cell r="M98">
            <v>377771</v>
          </cell>
          <cell r="N98">
            <v>378005</v>
          </cell>
          <cell r="O98">
            <v>414776</v>
          </cell>
          <cell r="P98">
            <v>397582</v>
          </cell>
          <cell r="Q98">
            <v>407857</v>
          </cell>
        </row>
        <row r="99">
          <cell r="A99">
            <v>513100</v>
          </cell>
          <cell r="B99" t="str">
            <v>Maint of Electric Plant-Other</v>
          </cell>
          <cell r="C99" t="str">
            <v>PM</v>
          </cell>
          <cell r="D99">
            <v>513</v>
          </cell>
          <cell r="E99">
            <v>820620</v>
          </cell>
          <cell r="F99">
            <v>69752</v>
          </cell>
          <cell r="G99">
            <v>161743</v>
          </cell>
          <cell r="H99">
            <v>77787</v>
          </cell>
          <cell r="I99">
            <v>8025</v>
          </cell>
          <cell r="J99">
            <v>14451</v>
          </cell>
          <cell r="K99">
            <v>372294</v>
          </cell>
          <cell r="L99">
            <v>16477</v>
          </cell>
          <cell r="M99">
            <v>16489</v>
          </cell>
          <cell r="N99">
            <v>16451</v>
          </cell>
          <cell r="O99">
            <v>16428</v>
          </cell>
          <cell r="P99">
            <v>17824</v>
          </cell>
          <cell r="Q99">
            <v>32899</v>
          </cell>
        </row>
        <row r="100">
          <cell r="A100">
            <v>514000</v>
          </cell>
          <cell r="B100" t="str">
            <v>Maintenance - Misc Steam Plant</v>
          </cell>
          <cell r="C100" t="str">
            <v>PM</v>
          </cell>
          <cell r="D100">
            <v>514</v>
          </cell>
          <cell r="E100">
            <v>1947895</v>
          </cell>
          <cell r="F100">
            <v>235239</v>
          </cell>
          <cell r="G100">
            <v>85988</v>
          </cell>
          <cell r="H100">
            <v>228980</v>
          </cell>
          <cell r="I100">
            <v>132808</v>
          </cell>
          <cell r="J100">
            <v>174130</v>
          </cell>
          <cell r="K100">
            <v>927328</v>
          </cell>
          <cell r="L100">
            <v>25609</v>
          </cell>
          <cell r="M100">
            <v>25611</v>
          </cell>
          <cell r="N100">
            <v>25671</v>
          </cell>
          <cell r="O100">
            <v>35338</v>
          </cell>
          <cell r="P100">
            <v>25560</v>
          </cell>
          <cell r="Q100">
            <v>25633</v>
          </cell>
        </row>
        <row r="101">
          <cell r="A101">
            <v>514300</v>
          </cell>
          <cell r="B101" t="str">
            <v>Maintenance - Misc Steam Plant</v>
          </cell>
          <cell r="C101" t="str">
            <v>PM</v>
          </cell>
          <cell r="D101">
            <v>514</v>
          </cell>
          <cell r="E101">
            <v>272</v>
          </cell>
          <cell r="F101">
            <v>19</v>
          </cell>
          <cell r="G101">
            <v>46</v>
          </cell>
          <cell r="H101">
            <v>45</v>
          </cell>
          <cell r="I101">
            <v>57</v>
          </cell>
          <cell r="J101">
            <v>58</v>
          </cell>
          <cell r="K101">
            <v>47</v>
          </cell>
          <cell r="L101">
            <v>0</v>
          </cell>
          <cell r="M101">
            <v>0</v>
          </cell>
          <cell r="N101">
            <v>0</v>
          </cell>
          <cell r="O101">
            <v>0</v>
          </cell>
          <cell r="P101">
            <v>0</v>
          </cell>
          <cell r="Q101">
            <v>0</v>
          </cell>
        </row>
        <row r="102">
          <cell r="A102">
            <v>546000</v>
          </cell>
          <cell r="B102" t="str">
            <v>Suprvsn and Enginring-CT Oper</v>
          </cell>
          <cell r="C102" t="str">
            <v>PO</v>
          </cell>
          <cell r="D102">
            <v>546</v>
          </cell>
          <cell r="E102">
            <v>348132</v>
          </cell>
          <cell r="F102">
            <v>24593</v>
          </cell>
          <cell r="G102">
            <v>31995</v>
          </cell>
          <cell r="H102">
            <v>33079</v>
          </cell>
          <cell r="I102">
            <v>36570</v>
          </cell>
          <cell r="J102">
            <v>35102</v>
          </cell>
          <cell r="K102">
            <v>30953</v>
          </cell>
          <cell r="L102">
            <v>25705</v>
          </cell>
          <cell r="M102">
            <v>25710</v>
          </cell>
          <cell r="N102">
            <v>25761</v>
          </cell>
          <cell r="O102">
            <v>27256</v>
          </cell>
          <cell r="P102">
            <v>25681</v>
          </cell>
          <cell r="Q102">
            <v>25727</v>
          </cell>
        </row>
        <row r="103">
          <cell r="A103">
            <v>547100</v>
          </cell>
          <cell r="B103" t="str">
            <v>Natural Gas</v>
          </cell>
          <cell r="C103" t="str">
            <v>Fuel</v>
          </cell>
          <cell r="D103">
            <v>547</v>
          </cell>
          <cell r="E103">
            <v>698262</v>
          </cell>
          <cell r="F103">
            <v>-10659</v>
          </cell>
          <cell r="G103">
            <v>100590</v>
          </cell>
          <cell r="H103">
            <v>108101</v>
          </cell>
          <cell r="I103">
            <v>145050</v>
          </cell>
          <cell r="J103">
            <v>0</v>
          </cell>
          <cell r="K103">
            <v>355180</v>
          </cell>
          <cell r="L103">
            <v>0</v>
          </cell>
          <cell r="M103">
            <v>0</v>
          </cell>
          <cell r="N103">
            <v>0</v>
          </cell>
          <cell r="O103">
            <v>0</v>
          </cell>
          <cell r="P103">
            <v>0</v>
          </cell>
          <cell r="Q103">
            <v>0</v>
          </cell>
        </row>
        <row r="104">
          <cell r="A104">
            <v>547150</v>
          </cell>
          <cell r="B104" t="str">
            <v>Natural Gas Handling-CT</v>
          </cell>
          <cell r="C104" t="str">
            <v>PO</v>
          </cell>
          <cell r="D104">
            <v>547</v>
          </cell>
          <cell r="E104">
            <v>11682</v>
          </cell>
          <cell r="F104">
            <v>745</v>
          </cell>
          <cell r="G104">
            <v>897</v>
          </cell>
          <cell r="H104">
            <v>793</v>
          </cell>
          <cell r="I104">
            <v>876</v>
          </cell>
          <cell r="J104">
            <v>823</v>
          </cell>
          <cell r="K104">
            <v>1740</v>
          </cell>
          <cell r="L104">
            <v>968</v>
          </cell>
          <cell r="M104">
            <v>968</v>
          </cell>
          <cell r="N104">
            <v>968</v>
          </cell>
          <cell r="O104">
            <v>968</v>
          </cell>
          <cell r="P104">
            <v>968</v>
          </cell>
          <cell r="Q104">
            <v>968</v>
          </cell>
        </row>
        <row r="105">
          <cell r="A105">
            <v>547701</v>
          </cell>
          <cell r="B105" t="str">
            <v>Propane Gas</v>
          </cell>
          <cell r="C105" t="str">
            <v>Fuel</v>
          </cell>
          <cell r="D105">
            <v>547</v>
          </cell>
          <cell r="E105">
            <v>1813</v>
          </cell>
          <cell r="F105">
            <v>290</v>
          </cell>
          <cell r="G105">
            <v>457</v>
          </cell>
          <cell r="H105">
            <v>209</v>
          </cell>
          <cell r="I105">
            <v>254</v>
          </cell>
          <cell r="J105">
            <v>277</v>
          </cell>
          <cell r="K105">
            <v>326</v>
          </cell>
          <cell r="L105">
            <v>0</v>
          </cell>
          <cell r="M105">
            <v>0</v>
          </cell>
          <cell r="N105">
            <v>0</v>
          </cell>
          <cell r="O105">
            <v>0</v>
          </cell>
          <cell r="P105">
            <v>0</v>
          </cell>
          <cell r="Q105">
            <v>0</v>
          </cell>
        </row>
        <row r="106">
          <cell r="A106">
            <v>548100</v>
          </cell>
          <cell r="B106" t="str">
            <v>Generation Expenses-Other CT</v>
          </cell>
          <cell r="C106" t="str">
            <v>PO</v>
          </cell>
          <cell r="D106">
            <v>548</v>
          </cell>
          <cell r="E106">
            <v>15102</v>
          </cell>
          <cell r="F106">
            <v>517</v>
          </cell>
          <cell r="G106">
            <v>485</v>
          </cell>
          <cell r="H106">
            <v>237</v>
          </cell>
          <cell r="I106">
            <v>467</v>
          </cell>
          <cell r="J106">
            <v>507</v>
          </cell>
          <cell r="K106">
            <v>1481</v>
          </cell>
          <cell r="L106">
            <v>1972</v>
          </cell>
          <cell r="M106">
            <v>1903</v>
          </cell>
          <cell r="N106">
            <v>1861</v>
          </cell>
          <cell r="O106">
            <v>1971</v>
          </cell>
          <cell r="P106">
            <v>1840</v>
          </cell>
          <cell r="Q106">
            <v>1861</v>
          </cell>
        </row>
        <row r="107">
          <cell r="A107">
            <v>548200</v>
          </cell>
          <cell r="B107" t="str">
            <v>Prime Movers - Generators- CT</v>
          </cell>
          <cell r="C107" t="str">
            <v>PO</v>
          </cell>
          <cell r="D107">
            <v>548</v>
          </cell>
          <cell r="E107">
            <v>322237</v>
          </cell>
          <cell r="F107">
            <v>23156</v>
          </cell>
          <cell r="G107">
            <v>30205</v>
          </cell>
          <cell r="H107">
            <v>22235</v>
          </cell>
          <cell r="I107">
            <v>29867</v>
          </cell>
          <cell r="J107">
            <v>22347</v>
          </cell>
          <cell r="K107">
            <v>24017</v>
          </cell>
          <cell r="L107">
            <v>26278</v>
          </cell>
          <cell r="M107">
            <v>26277</v>
          </cell>
          <cell r="N107">
            <v>26367</v>
          </cell>
          <cell r="O107">
            <v>38952</v>
          </cell>
          <cell r="P107">
            <v>26223</v>
          </cell>
          <cell r="Q107">
            <v>26313</v>
          </cell>
        </row>
        <row r="108">
          <cell r="A108">
            <v>549000</v>
          </cell>
          <cell r="B108" t="str">
            <v>Misc-Power Generation Expenses</v>
          </cell>
          <cell r="C108" t="str">
            <v>PO</v>
          </cell>
          <cell r="D108">
            <v>549</v>
          </cell>
          <cell r="E108">
            <v>867295</v>
          </cell>
          <cell r="F108">
            <v>77739</v>
          </cell>
          <cell r="G108">
            <v>92270</v>
          </cell>
          <cell r="H108">
            <v>64503</v>
          </cell>
          <cell r="I108">
            <v>83156</v>
          </cell>
          <cell r="J108">
            <v>78211</v>
          </cell>
          <cell r="K108">
            <v>77214</v>
          </cell>
          <cell r="L108">
            <v>66335</v>
          </cell>
          <cell r="M108">
            <v>61413</v>
          </cell>
          <cell r="N108">
            <v>61249</v>
          </cell>
          <cell r="O108">
            <v>80557</v>
          </cell>
          <cell r="P108">
            <v>60960</v>
          </cell>
          <cell r="Q108">
            <v>63688</v>
          </cell>
        </row>
        <row r="109">
          <cell r="A109">
            <v>551000</v>
          </cell>
          <cell r="B109" t="str">
            <v>Suprvsn and Enginring-CT Maint</v>
          </cell>
          <cell r="C109" t="str">
            <v>PM</v>
          </cell>
          <cell r="D109">
            <v>551</v>
          </cell>
          <cell r="E109">
            <v>211253</v>
          </cell>
          <cell r="F109">
            <v>4305</v>
          </cell>
          <cell r="G109">
            <v>4695</v>
          </cell>
          <cell r="H109">
            <v>5054</v>
          </cell>
          <cell r="I109">
            <v>6371</v>
          </cell>
          <cell r="J109">
            <v>6426</v>
          </cell>
          <cell r="K109">
            <v>6861</v>
          </cell>
          <cell r="L109">
            <v>28705</v>
          </cell>
          <cell r="M109">
            <v>31409</v>
          </cell>
          <cell r="N109">
            <v>28777</v>
          </cell>
          <cell r="O109">
            <v>28552</v>
          </cell>
          <cell r="P109">
            <v>31365</v>
          </cell>
          <cell r="Q109">
            <v>28733</v>
          </cell>
        </row>
        <row r="110">
          <cell r="A110">
            <v>552000</v>
          </cell>
          <cell r="B110" t="str">
            <v>Maintenance of Structures-CT</v>
          </cell>
          <cell r="C110" t="str">
            <v>PM</v>
          </cell>
          <cell r="D110">
            <v>552</v>
          </cell>
          <cell r="E110">
            <v>368286</v>
          </cell>
          <cell r="F110">
            <v>52452</v>
          </cell>
          <cell r="G110">
            <v>36454</v>
          </cell>
          <cell r="H110">
            <v>10251</v>
          </cell>
          <cell r="I110">
            <v>31361</v>
          </cell>
          <cell r="J110">
            <v>19298</v>
          </cell>
          <cell r="K110">
            <v>6571</v>
          </cell>
          <cell r="L110">
            <v>31984</v>
          </cell>
          <cell r="M110">
            <v>31984</v>
          </cell>
          <cell r="N110">
            <v>31983</v>
          </cell>
          <cell r="O110">
            <v>51982</v>
          </cell>
          <cell r="P110">
            <v>31983</v>
          </cell>
          <cell r="Q110">
            <v>31983</v>
          </cell>
        </row>
        <row r="111">
          <cell r="A111">
            <v>553000</v>
          </cell>
          <cell r="B111" t="str">
            <v>Maint-Gentg and Elect Equip-CT</v>
          </cell>
          <cell r="C111" t="str">
            <v>PM</v>
          </cell>
          <cell r="D111">
            <v>553</v>
          </cell>
          <cell r="E111">
            <v>3654976</v>
          </cell>
          <cell r="F111">
            <v>1180961</v>
          </cell>
          <cell r="G111">
            <v>94694</v>
          </cell>
          <cell r="H111">
            <v>12375</v>
          </cell>
          <cell r="I111">
            <v>233974</v>
          </cell>
          <cell r="J111">
            <v>145592</v>
          </cell>
          <cell r="K111">
            <v>730193</v>
          </cell>
          <cell r="L111">
            <v>15572</v>
          </cell>
          <cell r="M111">
            <v>6521</v>
          </cell>
          <cell r="N111">
            <v>6424</v>
          </cell>
          <cell r="O111">
            <v>102482</v>
          </cell>
          <cell r="P111">
            <v>563067</v>
          </cell>
          <cell r="Q111">
            <v>563121</v>
          </cell>
        </row>
        <row r="112">
          <cell r="A112">
            <v>554000</v>
          </cell>
          <cell r="B112" t="str">
            <v>Misc Power Generation Plant-CT</v>
          </cell>
          <cell r="C112" t="str">
            <v>PM</v>
          </cell>
          <cell r="D112">
            <v>554</v>
          </cell>
          <cell r="E112">
            <v>207250</v>
          </cell>
          <cell r="F112">
            <v>19946</v>
          </cell>
          <cell r="G112">
            <v>18289</v>
          </cell>
          <cell r="H112">
            <v>24117</v>
          </cell>
          <cell r="I112">
            <v>32303</v>
          </cell>
          <cell r="J112">
            <v>23456</v>
          </cell>
          <cell r="K112">
            <v>16619</v>
          </cell>
          <cell r="L112">
            <v>11653</v>
          </cell>
          <cell r="M112">
            <v>11653</v>
          </cell>
          <cell r="N112">
            <v>11671</v>
          </cell>
          <cell r="O112">
            <v>14242</v>
          </cell>
          <cell r="P112">
            <v>11641</v>
          </cell>
          <cell r="Q112">
            <v>11660</v>
          </cell>
        </row>
        <row r="113">
          <cell r="A113">
            <v>555028</v>
          </cell>
          <cell r="B113" t="str">
            <v>Purch Pwr - Non-native - net</v>
          </cell>
          <cell r="C113" t="str">
            <v>PP</v>
          </cell>
          <cell r="D113">
            <v>555</v>
          </cell>
          <cell r="E113">
            <v>136884</v>
          </cell>
          <cell r="F113">
            <v>69722</v>
          </cell>
          <cell r="G113">
            <v>0</v>
          </cell>
          <cell r="H113">
            <v>0</v>
          </cell>
          <cell r="I113">
            <v>67162</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27119216</v>
          </cell>
          <cell r="F115">
            <v>7242320</v>
          </cell>
          <cell r="G115">
            <v>426721</v>
          </cell>
          <cell r="H115">
            <v>848576</v>
          </cell>
          <cell r="I115">
            <v>1411560</v>
          </cell>
          <cell r="J115">
            <v>638754</v>
          </cell>
          <cell r="K115">
            <v>3913284</v>
          </cell>
          <cell r="L115">
            <v>2620511</v>
          </cell>
          <cell r="M115">
            <v>3262156</v>
          </cell>
          <cell r="N115">
            <v>2318156</v>
          </cell>
          <cell r="O115">
            <v>1865511</v>
          </cell>
          <cell r="P115">
            <v>1074156</v>
          </cell>
          <cell r="Q115">
            <v>1497511</v>
          </cell>
        </row>
        <row r="116">
          <cell r="A116">
            <v>556000</v>
          </cell>
          <cell r="B116" t="str">
            <v>System Cnts &amp; Load Dispatching</v>
          </cell>
          <cell r="C116" t="str">
            <v>OPS</v>
          </cell>
          <cell r="D116">
            <v>556</v>
          </cell>
          <cell r="E116">
            <v>814</v>
          </cell>
          <cell r="F116">
            <v>38</v>
          </cell>
          <cell r="G116">
            <v>169</v>
          </cell>
          <cell r="H116">
            <v>29</v>
          </cell>
          <cell r="I116">
            <v>119</v>
          </cell>
          <cell r="J116">
            <v>168</v>
          </cell>
          <cell r="K116">
            <v>147</v>
          </cell>
          <cell r="L116">
            <v>24</v>
          </cell>
          <cell r="M116">
            <v>24</v>
          </cell>
          <cell r="N116">
            <v>24</v>
          </cell>
          <cell r="O116">
            <v>24</v>
          </cell>
          <cell r="P116">
            <v>24</v>
          </cell>
          <cell r="Q116">
            <v>24</v>
          </cell>
        </row>
        <row r="117">
          <cell r="A117">
            <v>557000</v>
          </cell>
          <cell r="B117" t="str">
            <v>Other Expenses-Oper</v>
          </cell>
          <cell r="C117" t="str">
            <v>OPS</v>
          </cell>
          <cell r="D117">
            <v>557</v>
          </cell>
          <cell r="E117">
            <v>11795406</v>
          </cell>
          <cell r="F117">
            <v>969469</v>
          </cell>
          <cell r="G117">
            <v>896361</v>
          </cell>
          <cell r="H117">
            <v>934137</v>
          </cell>
          <cell r="I117">
            <v>1141812</v>
          </cell>
          <cell r="J117">
            <v>1567993</v>
          </cell>
          <cell r="K117">
            <v>1478598</v>
          </cell>
          <cell r="L117">
            <v>788120</v>
          </cell>
          <cell r="M117">
            <v>932400</v>
          </cell>
          <cell r="N117">
            <v>825810</v>
          </cell>
          <cell r="O117">
            <v>772745</v>
          </cell>
          <cell r="P117">
            <v>875246</v>
          </cell>
          <cell r="Q117">
            <v>612715</v>
          </cell>
        </row>
        <row r="118">
          <cell r="A118">
            <v>557450</v>
          </cell>
          <cell r="B118" t="str">
            <v>Commissions/Brokerage Expense</v>
          </cell>
          <cell r="C118" t="str">
            <v>OPS</v>
          </cell>
          <cell r="D118">
            <v>557</v>
          </cell>
          <cell r="E118">
            <v>18029</v>
          </cell>
          <cell r="F118">
            <v>3413</v>
          </cell>
          <cell r="G118">
            <v>3059</v>
          </cell>
          <cell r="H118">
            <v>2775</v>
          </cell>
          <cell r="I118">
            <v>2775</v>
          </cell>
          <cell r="J118">
            <v>3110</v>
          </cell>
          <cell r="K118">
            <v>2897</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-3712734</v>
          </cell>
          <cell r="F119">
            <v>-740995</v>
          </cell>
          <cell r="G119">
            <v>-150770</v>
          </cell>
          <cell r="H119">
            <v>-293962</v>
          </cell>
          <cell r="I119">
            <v>-57271</v>
          </cell>
          <cell r="J119">
            <v>-515826</v>
          </cell>
          <cell r="K119">
            <v>-2760567</v>
          </cell>
          <cell r="L119">
            <v>-196528</v>
          </cell>
          <cell r="M119">
            <v>-226416</v>
          </cell>
          <cell r="N119">
            <v>61472</v>
          </cell>
          <cell r="O119">
            <v>863594</v>
          </cell>
          <cell r="P119">
            <v>244805</v>
          </cell>
          <cell r="Q119">
            <v>59730</v>
          </cell>
        </row>
        <row r="120">
          <cell r="A120">
            <v>560000</v>
          </cell>
          <cell r="B120" t="str">
            <v>Supervsn and Engrng-Trans Oper</v>
          </cell>
          <cell r="C120" t="str">
            <v>TO</v>
          </cell>
          <cell r="D120">
            <v>560</v>
          </cell>
          <cell r="E120">
            <v>46986</v>
          </cell>
          <cell r="F120">
            <v>168</v>
          </cell>
          <cell r="G120">
            <v>156</v>
          </cell>
          <cell r="H120">
            <v>238</v>
          </cell>
          <cell r="I120">
            <v>419</v>
          </cell>
          <cell r="J120">
            <v>197</v>
          </cell>
          <cell r="K120">
            <v>255</v>
          </cell>
          <cell r="L120">
            <v>8571</v>
          </cell>
          <cell r="M120">
            <v>11748</v>
          </cell>
          <cell r="N120">
            <v>6489</v>
          </cell>
          <cell r="O120">
            <v>12183</v>
          </cell>
          <cell r="P120">
            <v>3950</v>
          </cell>
          <cell r="Q120">
            <v>2612</v>
          </cell>
        </row>
        <row r="121">
          <cell r="A121">
            <v>561100</v>
          </cell>
          <cell r="B121" t="str">
            <v>Load Dispatch-Reliability</v>
          </cell>
          <cell r="C121" t="str">
            <v>TO</v>
          </cell>
          <cell r="D121">
            <v>561</v>
          </cell>
          <cell r="E121">
            <v>114339</v>
          </cell>
          <cell r="F121">
            <v>9039</v>
          </cell>
          <cell r="G121">
            <v>8995</v>
          </cell>
          <cell r="H121">
            <v>8554</v>
          </cell>
          <cell r="I121">
            <v>9759</v>
          </cell>
          <cell r="J121">
            <v>9193</v>
          </cell>
          <cell r="K121">
            <v>8993</v>
          </cell>
          <cell r="L121">
            <v>9970</v>
          </cell>
          <cell r="M121">
            <v>9970</v>
          </cell>
          <cell r="N121">
            <v>9952</v>
          </cell>
          <cell r="O121">
            <v>9958</v>
          </cell>
          <cell r="P121">
            <v>9958</v>
          </cell>
          <cell r="Q121">
            <v>9998</v>
          </cell>
        </row>
        <row r="122">
          <cell r="A122">
            <v>561200</v>
          </cell>
          <cell r="B122" t="str">
            <v>Load Dispatch-Mnitor&amp;OprTrnSys</v>
          </cell>
          <cell r="C122" t="str">
            <v>TO</v>
          </cell>
          <cell r="D122">
            <v>561</v>
          </cell>
          <cell r="E122">
            <v>519513</v>
          </cell>
          <cell r="F122">
            <v>42513</v>
          </cell>
          <cell r="G122">
            <v>39986</v>
          </cell>
          <cell r="H122">
            <v>38840</v>
          </cell>
          <cell r="I122">
            <v>46901</v>
          </cell>
          <cell r="J122">
            <v>41676</v>
          </cell>
          <cell r="K122">
            <v>39949</v>
          </cell>
          <cell r="L122">
            <v>44997</v>
          </cell>
          <cell r="M122">
            <v>44998</v>
          </cell>
          <cell r="N122">
            <v>44894</v>
          </cell>
          <cell r="O122">
            <v>44873</v>
          </cell>
          <cell r="P122">
            <v>44874</v>
          </cell>
          <cell r="Q122">
            <v>45012</v>
          </cell>
        </row>
        <row r="123">
          <cell r="A123">
            <v>561300</v>
          </cell>
          <cell r="B123" t="str">
            <v>Load Dispatch - TransSvc&amp;Sch</v>
          </cell>
          <cell r="C123" t="str">
            <v>TO</v>
          </cell>
          <cell r="D123">
            <v>561</v>
          </cell>
          <cell r="E123">
            <v>70326</v>
          </cell>
          <cell r="F123">
            <v>5735</v>
          </cell>
          <cell r="G123">
            <v>5474</v>
          </cell>
          <cell r="H123">
            <v>5235</v>
          </cell>
          <cell r="I123">
            <v>6266</v>
          </cell>
          <cell r="J123">
            <v>5693</v>
          </cell>
          <cell r="K123">
            <v>5483</v>
          </cell>
          <cell r="L123">
            <v>6074</v>
          </cell>
          <cell r="M123">
            <v>6075</v>
          </cell>
          <cell r="N123">
            <v>6066</v>
          </cell>
          <cell r="O123">
            <v>6068</v>
          </cell>
          <cell r="P123">
            <v>6069</v>
          </cell>
          <cell r="Q123">
            <v>6088</v>
          </cell>
        </row>
        <row r="124">
          <cell r="A124">
            <v>561400</v>
          </cell>
          <cell r="B124" t="str">
            <v>Scheduling-Sys Cntrl&amp;Disp Svs</v>
          </cell>
          <cell r="C124" t="str">
            <v>TO</v>
          </cell>
          <cell r="D124">
            <v>561</v>
          </cell>
          <cell r="E124">
            <v>2306765</v>
          </cell>
          <cell r="F124">
            <v>1460340</v>
          </cell>
          <cell r="G124">
            <v>0</v>
          </cell>
          <cell r="H124">
            <v>70841</v>
          </cell>
          <cell r="I124">
            <v>487951</v>
          </cell>
          <cell r="J124">
            <v>145656</v>
          </cell>
          <cell r="K124">
            <v>141977</v>
          </cell>
          <cell r="L124">
            <v>0</v>
          </cell>
          <cell r="M124">
            <v>0</v>
          </cell>
          <cell r="N124">
            <v>0</v>
          </cell>
          <cell r="O124">
            <v>0</v>
          </cell>
          <cell r="P124">
            <v>0</v>
          </cell>
          <cell r="Q124">
            <v>0</v>
          </cell>
        </row>
        <row r="125">
          <cell r="A125">
            <v>561500</v>
          </cell>
          <cell r="B125" t="str">
            <v>ReliabilityPlanning&amp;StdsDev</v>
          </cell>
          <cell r="C125" t="str">
            <v>TO</v>
          </cell>
          <cell r="D125">
            <v>561</v>
          </cell>
          <cell r="E125">
            <v>2714</v>
          </cell>
          <cell r="F125">
            <v>0</v>
          </cell>
          <cell r="G125">
            <v>0</v>
          </cell>
          <cell r="H125">
            <v>456</v>
          </cell>
          <cell r="I125">
            <v>968</v>
          </cell>
          <cell r="J125">
            <v>0</v>
          </cell>
          <cell r="K125">
            <v>0</v>
          </cell>
          <cell r="L125">
            <v>215</v>
          </cell>
          <cell r="M125">
            <v>215</v>
          </cell>
          <cell r="N125">
            <v>215</v>
          </cell>
          <cell r="O125">
            <v>215</v>
          </cell>
          <cell r="P125">
            <v>215</v>
          </cell>
          <cell r="Q125">
            <v>215</v>
          </cell>
        </row>
        <row r="126">
          <cell r="A126">
            <v>561800</v>
          </cell>
          <cell r="B126" t="str">
            <v>ReliabilityPlanning&amp;StdsDev</v>
          </cell>
          <cell r="C126" t="str">
            <v>TO</v>
          </cell>
          <cell r="D126">
            <v>561</v>
          </cell>
          <cell r="E126">
            <v>860353</v>
          </cell>
          <cell r="F126">
            <v>0</v>
          </cell>
          <cell r="G126">
            <v>0</v>
          </cell>
          <cell r="H126">
            <v>0</v>
          </cell>
          <cell r="I126">
            <v>860353</v>
          </cell>
          <cell r="J126">
            <v>0</v>
          </cell>
          <cell r="K126">
            <v>0</v>
          </cell>
          <cell r="L126">
            <v>0</v>
          </cell>
          <cell r="M126">
            <v>0</v>
          </cell>
          <cell r="N126">
            <v>0</v>
          </cell>
          <cell r="O126">
            <v>0</v>
          </cell>
          <cell r="P126">
            <v>0</v>
          </cell>
          <cell r="Q126">
            <v>0</v>
          </cell>
        </row>
        <row r="127">
          <cell r="A127">
            <v>562000</v>
          </cell>
          <cell r="B127" t="str">
            <v>Station Expenses</v>
          </cell>
          <cell r="C127" t="str">
            <v>TO</v>
          </cell>
          <cell r="D127">
            <v>562</v>
          </cell>
          <cell r="E127">
            <v>120170</v>
          </cell>
          <cell r="F127">
            <v>4787</v>
          </cell>
          <cell r="G127">
            <v>18254</v>
          </cell>
          <cell r="H127">
            <v>5039</v>
          </cell>
          <cell r="I127">
            <v>13173</v>
          </cell>
          <cell r="J127">
            <v>17139</v>
          </cell>
          <cell r="K127">
            <v>9059</v>
          </cell>
          <cell r="L127">
            <v>8779</v>
          </cell>
          <cell r="M127">
            <v>8901</v>
          </cell>
          <cell r="N127">
            <v>8491</v>
          </cell>
          <cell r="O127">
            <v>9441</v>
          </cell>
          <cell r="P127">
            <v>8471</v>
          </cell>
          <cell r="Q127">
            <v>8636</v>
          </cell>
        </row>
        <row r="128">
          <cell r="A128">
            <v>563000</v>
          </cell>
          <cell r="B128" t="str">
            <v>Overhead Line Expenses-Trans</v>
          </cell>
          <cell r="C128" t="str">
            <v>TO</v>
          </cell>
          <cell r="D128">
            <v>563</v>
          </cell>
          <cell r="E128">
            <v>49540</v>
          </cell>
          <cell r="F128">
            <v>364</v>
          </cell>
          <cell r="G128">
            <v>27842</v>
          </cell>
          <cell r="H128">
            <v>406</v>
          </cell>
          <cell r="I128">
            <v>732</v>
          </cell>
          <cell r="J128">
            <v>9289</v>
          </cell>
          <cell r="K128">
            <v>50</v>
          </cell>
          <cell r="L128">
            <v>1715</v>
          </cell>
          <cell r="M128">
            <v>1739</v>
          </cell>
          <cell r="N128">
            <v>1656</v>
          </cell>
          <cell r="O128">
            <v>2409</v>
          </cell>
          <cell r="P128">
            <v>1652</v>
          </cell>
          <cell r="Q128">
            <v>1686</v>
          </cell>
        </row>
        <row r="129">
          <cell r="A129">
            <v>565000</v>
          </cell>
          <cell r="B129" t="str">
            <v>Transm of Elec By Others</v>
          </cell>
          <cell r="C129" t="str">
            <v>TO</v>
          </cell>
          <cell r="D129">
            <v>565</v>
          </cell>
          <cell r="E129">
            <v>12940025</v>
          </cell>
          <cell r="F129">
            <v>1378624</v>
          </cell>
          <cell r="G129">
            <v>1410810</v>
          </cell>
          <cell r="H129">
            <v>1203370</v>
          </cell>
          <cell r="I129">
            <v>555301</v>
          </cell>
          <cell r="J129">
            <v>1231399</v>
          </cell>
          <cell r="K129">
            <v>1222093</v>
          </cell>
          <cell r="L129">
            <v>989738</v>
          </cell>
          <cell r="M129">
            <v>989738</v>
          </cell>
          <cell r="N129">
            <v>989738</v>
          </cell>
          <cell r="O129">
            <v>989738</v>
          </cell>
          <cell r="P129">
            <v>989738</v>
          </cell>
          <cell r="Q129">
            <v>989738</v>
          </cell>
        </row>
        <row r="130">
          <cell r="A130">
            <v>566000</v>
          </cell>
          <cell r="B130" t="str">
            <v>Misc Trans Exp-Other</v>
          </cell>
          <cell r="C130" t="str">
            <v>TO</v>
          </cell>
          <cell r="D130">
            <v>566</v>
          </cell>
          <cell r="E130">
            <v>378793</v>
          </cell>
          <cell r="F130">
            <v>17970</v>
          </cell>
          <cell r="G130">
            <v>14313</v>
          </cell>
          <cell r="H130">
            <v>73359</v>
          </cell>
          <cell r="I130">
            <v>16865</v>
          </cell>
          <cell r="J130">
            <v>81773</v>
          </cell>
          <cell r="K130">
            <v>13736</v>
          </cell>
          <cell r="L130">
            <v>9957</v>
          </cell>
          <cell r="M130">
            <v>66864</v>
          </cell>
          <cell r="N130">
            <v>6127</v>
          </cell>
          <cell r="O130">
            <v>6067</v>
          </cell>
          <cell r="P130">
            <v>66505</v>
          </cell>
          <cell r="Q130">
            <v>5257</v>
          </cell>
        </row>
        <row r="131">
          <cell r="A131">
            <v>566100</v>
          </cell>
          <cell r="B131" t="str">
            <v>Misc Trans-Trans Lines Related</v>
          </cell>
          <cell r="C131" t="str">
            <v>TO</v>
          </cell>
          <cell r="D131">
            <v>566</v>
          </cell>
          <cell r="E131">
            <v>589</v>
          </cell>
          <cell r="F131">
            <v>260</v>
          </cell>
          <cell r="G131">
            <v>83</v>
          </cell>
          <cell r="H131">
            <v>60</v>
          </cell>
          <cell r="I131">
            <v>113</v>
          </cell>
          <cell r="J131">
            <v>37</v>
          </cell>
          <cell r="K131">
            <v>36</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2032</v>
          </cell>
          <cell r="F133">
            <v>404</v>
          </cell>
          <cell r="G133">
            <v>65</v>
          </cell>
          <cell r="H133">
            <v>552</v>
          </cell>
          <cell r="I133">
            <v>641</v>
          </cell>
          <cell r="J133">
            <v>1160</v>
          </cell>
          <cell r="K133">
            <v>-790</v>
          </cell>
          <cell r="L133">
            <v>0</v>
          </cell>
          <cell r="M133">
            <v>0</v>
          </cell>
          <cell r="N133">
            <v>0</v>
          </cell>
          <cell r="O133">
            <v>0</v>
          </cell>
          <cell r="P133">
            <v>0</v>
          </cell>
          <cell r="Q133">
            <v>0</v>
          </cell>
        </row>
        <row r="134">
          <cell r="A134">
            <v>569100</v>
          </cell>
          <cell r="B134" t="str">
            <v>Maint of Computer Hardware</v>
          </cell>
          <cell r="C134" t="str">
            <v>TM</v>
          </cell>
          <cell r="D134">
            <v>569</v>
          </cell>
          <cell r="E134">
            <v>183</v>
          </cell>
          <cell r="F134">
            <v>71</v>
          </cell>
          <cell r="G134">
            <v>0</v>
          </cell>
          <cell r="H134">
            <v>89</v>
          </cell>
          <cell r="I134">
            <v>23</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135726</v>
          </cell>
          <cell r="F135">
            <v>8523</v>
          </cell>
          <cell r="G135">
            <v>9869</v>
          </cell>
          <cell r="H135">
            <v>6901</v>
          </cell>
          <cell r="I135">
            <v>12961</v>
          </cell>
          <cell r="J135">
            <v>7920</v>
          </cell>
          <cell r="K135">
            <v>5434</v>
          </cell>
          <cell r="L135">
            <v>13843</v>
          </cell>
          <cell r="M135">
            <v>14972</v>
          </cell>
          <cell r="N135">
            <v>14225</v>
          </cell>
          <cell r="O135">
            <v>12490</v>
          </cell>
          <cell r="P135">
            <v>16402</v>
          </cell>
          <cell r="Q135">
            <v>12186</v>
          </cell>
        </row>
        <row r="136">
          <cell r="A136">
            <v>570100</v>
          </cell>
          <cell r="B136" t="str">
            <v>Maint  Stat Equip-Other- Trans</v>
          </cell>
          <cell r="C136" t="str">
            <v>TM</v>
          </cell>
          <cell r="D136">
            <v>570</v>
          </cell>
          <cell r="E136">
            <v>123479</v>
          </cell>
          <cell r="F136">
            <v>-4600</v>
          </cell>
          <cell r="G136">
            <v>5786</v>
          </cell>
          <cell r="H136">
            <v>9852</v>
          </cell>
          <cell r="I136">
            <v>40202</v>
          </cell>
          <cell r="J136">
            <v>20920</v>
          </cell>
          <cell r="K136">
            <v>14311</v>
          </cell>
          <cell r="L136">
            <v>6140</v>
          </cell>
          <cell r="M136">
            <v>6220</v>
          </cell>
          <cell r="N136">
            <v>5951</v>
          </cell>
          <cell r="O136">
            <v>6713</v>
          </cell>
          <cell r="P136">
            <v>5938</v>
          </cell>
          <cell r="Q136">
            <v>6046</v>
          </cell>
        </row>
        <row r="137">
          <cell r="A137">
            <v>570200</v>
          </cell>
          <cell r="B137" t="str">
            <v>Main-Cir BrkrsTrnsf Mtrs-Trans</v>
          </cell>
          <cell r="C137" t="str">
            <v>TM</v>
          </cell>
          <cell r="D137">
            <v>570</v>
          </cell>
          <cell r="E137">
            <v>124323</v>
          </cell>
          <cell r="F137">
            <v>0</v>
          </cell>
          <cell r="G137">
            <v>0</v>
          </cell>
          <cell r="H137">
            <v>6667</v>
          </cell>
          <cell r="I137">
            <v>2333</v>
          </cell>
          <cell r="J137">
            <v>7457</v>
          </cell>
          <cell r="K137">
            <v>8709</v>
          </cell>
          <cell r="L137">
            <v>16896</v>
          </cell>
          <cell r="M137">
            <v>17132</v>
          </cell>
          <cell r="N137">
            <v>16342</v>
          </cell>
          <cell r="O137">
            <v>15861</v>
          </cell>
          <cell r="P137">
            <v>16305</v>
          </cell>
          <cell r="Q137">
            <v>16621</v>
          </cell>
        </row>
        <row r="138">
          <cell r="A138">
            <v>571000</v>
          </cell>
          <cell r="B138" t="str">
            <v>Maint of Overhead Lines-Trans</v>
          </cell>
          <cell r="C138" t="str">
            <v>TM</v>
          </cell>
          <cell r="D138">
            <v>571</v>
          </cell>
          <cell r="E138">
            <v>299537</v>
          </cell>
          <cell r="F138">
            <v>26170</v>
          </cell>
          <cell r="G138">
            <v>-9309</v>
          </cell>
          <cell r="H138">
            <v>13888</v>
          </cell>
          <cell r="I138">
            <v>30274</v>
          </cell>
          <cell r="J138">
            <v>5874</v>
          </cell>
          <cell r="K138">
            <v>54577</v>
          </cell>
          <cell r="L138">
            <v>28423</v>
          </cell>
          <cell r="M138">
            <v>28924</v>
          </cell>
          <cell r="N138">
            <v>29836</v>
          </cell>
          <cell r="O138">
            <v>35188</v>
          </cell>
          <cell r="P138">
            <v>28747</v>
          </cell>
          <cell r="Q138">
            <v>26945</v>
          </cell>
        </row>
        <row r="139">
          <cell r="A139">
            <v>575700</v>
          </cell>
          <cell r="B139" t="str">
            <v>Market Faciliation-Mntr&amp;Comp</v>
          </cell>
          <cell r="C139" t="str">
            <v>RMO</v>
          </cell>
          <cell r="D139">
            <v>575</v>
          </cell>
          <cell r="E139">
            <v>1637210</v>
          </cell>
          <cell r="F139">
            <v>162974</v>
          </cell>
          <cell r="G139">
            <v>166543</v>
          </cell>
          <cell r="H139">
            <v>139692</v>
          </cell>
          <cell r="I139">
            <v>161428</v>
          </cell>
          <cell r="J139">
            <v>142700</v>
          </cell>
          <cell r="K139">
            <v>32267</v>
          </cell>
          <cell r="L139">
            <v>138601</v>
          </cell>
          <cell r="M139">
            <v>138601</v>
          </cell>
          <cell r="N139">
            <v>138601</v>
          </cell>
          <cell r="O139">
            <v>138601</v>
          </cell>
          <cell r="P139">
            <v>138601</v>
          </cell>
          <cell r="Q139">
            <v>138601</v>
          </cell>
        </row>
        <row r="140">
          <cell r="A140">
            <v>580000</v>
          </cell>
          <cell r="B140" t="str">
            <v>Supervsn and Engring-Dist Oper</v>
          </cell>
          <cell r="C140" t="str">
            <v>DO</v>
          </cell>
          <cell r="D140">
            <v>580</v>
          </cell>
          <cell r="E140">
            <v>192430</v>
          </cell>
          <cell r="F140">
            <v>5448</v>
          </cell>
          <cell r="G140">
            <v>3077</v>
          </cell>
          <cell r="H140">
            <v>3483</v>
          </cell>
          <cell r="I140">
            <v>7342</v>
          </cell>
          <cell r="J140">
            <v>4132</v>
          </cell>
          <cell r="K140">
            <v>3616</v>
          </cell>
          <cell r="L140">
            <v>30512</v>
          </cell>
          <cell r="M140">
            <v>40046</v>
          </cell>
          <cell r="N140">
            <v>24269</v>
          </cell>
          <cell r="O140">
            <v>41541</v>
          </cell>
          <cell r="P140">
            <v>16490</v>
          </cell>
          <cell r="Q140">
            <v>12474</v>
          </cell>
        </row>
        <row r="141">
          <cell r="A141">
            <v>581004</v>
          </cell>
          <cell r="B141" t="str">
            <v>Load Dispatch-Dist of Elec</v>
          </cell>
          <cell r="C141" t="str">
            <v>DO</v>
          </cell>
          <cell r="D141">
            <v>581</v>
          </cell>
          <cell r="E141">
            <v>427471</v>
          </cell>
          <cell r="F141">
            <v>28916</v>
          </cell>
          <cell r="G141">
            <v>34357</v>
          </cell>
          <cell r="H141">
            <v>32154</v>
          </cell>
          <cell r="I141">
            <v>40547</v>
          </cell>
          <cell r="J141">
            <v>32013</v>
          </cell>
          <cell r="K141">
            <v>32253</v>
          </cell>
          <cell r="L141">
            <v>37523</v>
          </cell>
          <cell r="M141">
            <v>37819</v>
          </cell>
          <cell r="N141">
            <v>37516</v>
          </cell>
          <cell r="O141">
            <v>37621</v>
          </cell>
          <cell r="P141">
            <v>38653</v>
          </cell>
          <cell r="Q141">
            <v>38099</v>
          </cell>
        </row>
        <row r="142">
          <cell r="A142">
            <v>582100</v>
          </cell>
          <cell r="B142" t="str">
            <v>Station Expenses-Other-Dist</v>
          </cell>
          <cell r="C142" t="str">
            <v>DO</v>
          </cell>
          <cell r="D142">
            <v>582</v>
          </cell>
          <cell r="E142">
            <v>156850</v>
          </cell>
          <cell r="F142">
            <v>7535</v>
          </cell>
          <cell r="G142">
            <v>20491</v>
          </cell>
          <cell r="H142">
            <v>16776</v>
          </cell>
          <cell r="I142">
            <v>20273</v>
          </cell>
          <cell r="J142">
            <v>17862</v>
          </cell>
          <cell r="K142">
            <v>20178</v>
          </cell>
          <cell r="L142">
            <v>9151</v>
          </cell>
          <cell r="M142">
            <v>9275</v>
          </cell>
          <cell r="N142">
            <v>8859</v>
          </cell>
          <cell r="O142">
            <v>8605</v>
          </cell>
          <cell r="P142">
            <v>8839</v>
          </cell>
          <cell r="Q142">
            <v>9006</v>
          </cell>
        </row>
        <row r="143">
          <cell r="A143">
            <v>583100</v>
          </cell>
          <cell r="B143" t="str">
            <v>Overhead Line Exps-Other-Dist</v>
          </cell>
          <cell r="C143" t="str">
            <v>DO</v>
          </cell>
          <cell r="D143">
            <v>583</v>
          </cell>
          <cell r="E143">
            <v>185512</v>
          </cell>
          <cell r="F143">
            <v>-22821</v>
          </cell>
          <cell r="G143">
            <v>8300</v>
          </cell>
          <cell r="H143">
            <v>2721</v>
          </cell>
          <cell r="I143">
            <v>-6214</v>
          </cell>
          <cell r="J143">
            <v>3375</v>
          </cell>
          <cell r="K143">
            <v>2143</v>
          </cell>
          <cell r="L143">
            <v>55529</v>
          </cell>
          <cell r="M143">
            <v>21357</v>
          </cell>
          <cell r="N143">
            <v>20426</v>
          </cell>
          <cell r="O143">
            <v>57595</v>
          </cell>
          <cell r="P143">
            <v>20471</v>
          </cell>
          <cell r="Q143">
            <v>22630</v>
          </cell>
        </row>
        <row r="144">
          <cell r="A144">
            <v>583200</v>
          </cell>
          <cell r="B144" t="str">
            <v>Transf Set Rem Reset Test-Dist</v>
          </cell>
          <cell r="C144" t="str">
            <v>DO</v>
          </cell>
          <cell r="D144">
            <v>583</v>
          </cell>
          <cell r="E144">
            <v>93910</v>
          </cell>
          <cell r="F144">
            <v>10865</v>
          </cell>
          <cell r="G144">
            <v>8212</v>
          </cell>
          <cell r="H144">
            <v>8864</v>
          </cell>
          <cell r="I144">
            <v>11067</v>
          </cell>
          <cell r="J144">
            <v>6693</v>
          </cell>
          <cell r="K144">
            <v>7528</v>
          </cell>
          <cell r="L144">
            <v>6201</v>
          </cell>
          <cell r="M144">
            <v>6201</v>
          </cell>
          <cell r="N144">
            <v>6201</v>
          </cell>
          <cell r="O144">
            <v>9302</v>
          </cell>
          <cell r="P144">
            <v>6388</v>
          </cell>
          <cell r="Q144">
            <v>6388</v>
          </cell>
        </row>
        <row r="145">
          <cell r="A145">
            <v>584000</v>
          </cell>
          <cell r="B145" t="str">
            <v>Underground Line Expenses-Dist</v>
          </cell>
          <cell r="C145" t="str">
            <v>DO</v>
          </cell>
          <cell r="D145">
            <v>584</v>
          </cell>
          <cell r="E145">
            <v>406624</v>
          </cell>
          <cell r="F145">
            <v>22406</v>
          </cell>
          <cell r="G145">
            <v>37990</v>
          </cell>
          <cell r="H145">
            <v>31451</v>
          </cell>
          <cell r="I145">
            <v>36860</v>
          </cell>
          <cell r="J145">
            <v>55286</v>
          </cell>
          <cell r="K145">
            <v>4848</v>
          </cell>
          <cell r="L145">
            <v>39861</v>
          </cell>
          <cell r="M145">
            <v>56350</v>
          </cell>
          <cell r="N145">
            <v>29571</v>
          </cell>
          <cell r="O145">
            <v>35495</v>
          </cell>
          <cell r="P145">
            <v>28770</v>
          </cell>
          <cell r="Q145">
            <v>27736</v>
          </cell>
        </row>
        <row r="146">
          <cell r="A146">
            <v>586000</v>
          </cell>
          <cell r="B146" t="str">
            <v>Meter Expenses-Dist</v>
          </cell>
          <cell r="C146" t="str">
            <v>DO</v>
          </cell>
          <cell r="D146">
            <v>586</v>
          </cell>
          <cell r="E146">
            <v>427539</v>
          </cell>
          <cell r="F146">
            <v>73202</v>
          </cell>
          <cell r="G146">
            <v>68930</v>
          </cell>
          <cell r="H146">
            <v>61309</v>
          </cell>
          <cell r="I146">
            <v>81633</v>
          </cell>
          <cell r="J146">
            <v>57809</v>
          </cell>
          <cell r="K146">
            <v>58189</v>
          </cell>
          <cell r="L146">
            <v>2633</v>
          </cell>
          <cell r="M146">
            <v>1860</v>
          </cell>
          <cell r="N146">
            <v>5305</v>
          </cell>
          <cell r="O146">
            <v>9143</v>
          </cell>
          <cell r="P146">
            <v>5573</v>
          </cell>
          <cell r="Q146">
            <v>1953</v>
          </cell>
        </row>
        <row r="147">
          <cell r="A147">
            <v>587000</v>
          </cell>
          <cell r="B147" t="str">
            <v>Cust Install Exp-Other Dist</v>
          </cell>
          <cell r="C147" t="str">
            <v>DO</v>
          </cell>
          <cell r="D147">
            <v>587</v>
          </cell>
          <cell r="E147">
            <v>923352</v>
          </cell>
          <cell r="F147">
            <v>85750</v>
          </cell>
          <cell r="G147">
            <v>60557</v>
          </cell>
          <cell r="H147">
            <v>46019</v>
          </cell>
          <cell r="I147">
            <v>8338</v>
          </cell>
          <cell r="J147">
            <v>32222</v>
          </cell>
          <cell r="K147">
            <v>32224</v>
          </cell>
          <cell r="L147">
            <v>95159</v>
          </cell>
          <cell r="M147">
            <v>74419</v>
          </cell>
          <cell r="N147">
            <v>83562</v>
          </cell>
          <cell r="O147">
            <v>113510</v>
          </cell>
          <cell r="P147">
            <v>157416</v>
          </cell>
          <cell r="Q147">
            <v>134176</v>
          </cell>
        </row>
        <row r="148">
          <cell r="A148">
            <v>588100</v>
          </cell>
          <cell r="B148" t="str">
            <v>Misc Distribution Exp-Other</v>
          </cell>
          <cell r="C148" t="str">
            <v>DO</v>
          </cell>
          <cell r="D148">
            <v>588</v>
          </cell>
          <cell r="E148">
            <v>2887739</v>
          </cell>
          <cell r="F148">
            <v>229803</v>
          </cell>
          <cell r="G148">
            <v>136198</v>
          </cell>
          <cell r="H148">
            <v>221862</v>
          </cell>
          <cell r="I148">
            <v>222700</v>
          </cell>
          <cell r="J148">
            <v>425622</v>
          </cell>
          <cell r="K148">
            <v>149967</v>
          </cell>
          <cell r="L148">
            <v>285046</v>
          </cell>
          <cell r="M148">
            <v>232777</v>
          </cell>
          <cell r="N148">
            <v>172491</v>
          </cell>
          <cell r="O148">
            <v>256674</v>
          </cell>
          <cell r="P148">
            <v>351507</v>
          </cell>
          <cell r="Q148">
            <v>203092</v>
          </cell>
        </row>
        <row r="149">
          <cell r="A149">
            <v>589000</v>
          </cell>
          <cell r="B149" t="str">
            <v>Rents-Dist Oper</v>
          </cell>
          <cell r="C149" t="str">
            <v>DO</v>
          </cell>
          <cell r="D149">
            <v>589</v>
          </cell>
          <cell r="E149">
            <v>31480</v>
          </cell>
          <cell r="F149">
            <v>8450</v>
          </cell>
          <cell r="G149">
            <v>3370</v>
          </cell>
          <cell r="H149">
            <v>13192</v>
          </cell>
          <cell r="I149">
            <v>-23685</v>
          </cell>
          <cell r="J149">
            <v>4991</v>
          </cell>
          <cell r="K149">
            <v>6573</v>
          </cell>
          <cell r="L149">
            <v>0</v>
          </cell>
          <cell r="M149">
            <v>0</v>
          </cell>
          <cell r="N149">
            <v>480</v>
          </cell>
          <cell r="O149">
            <v>13920</v>
          </cell>
          <cell r="P149">
            <v>666</v>
          </cell>
          <cell r="Q149">
            <v>3523</v>
          </cell>
        </row>
        <row r="150">
          <cell r="A150">
            <v>591000</v>
          </cell>
          <cell r="B150" t="str">
            <v>Maintenance of Structures-Dist</v>
          </cell>
          <cell r="C150" t="str">
            <v>DM</v>
          </cell>
          <cell r="D150">
            <v>591</v>
          </cell>
          <cell r="E150">
            <v>608</v>
          </cell>
          <cell r="F150">
            <v>466</v>
          </cell>
          <cell r="G150">
            <v>0</v>
          </cell>
          <cell r="H150">
            <v>0</v>
          </cell>
          <cell r="I150">
            <v>142</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183655</v>
          </cell>
          <cell r="F151">
            <v>14114</v>
          </cell>
          <cell r="G151">
            <v>28402</v>
          </cell>
          <cell r="H151">
            <v>15685</v>
          </cell>
          <cell r="I151">
            <v>23778</v>
          </cell>
          <cell r="J151">
            <v>20187</v>
          </cell>
          <cell r="K151">
            <v>30645</v>
          </cell>
          <cell r="L151">
            <v>8035</v>
          </cell>
          <cell r="M151">
            <v>8151</v>
          </cell>
          <cell r="N151">
            <v>7760</v>
          </cell>
          <cell r="O151">
            <v>11260</v>
          </cell>
          <cell r="P151">
            <v>7740</v>
          </cell>
          <cell r="Q151">
            <v>7898</v>
          </cell>
        </row>
        <row r="152">
          <cell r="A152">
            <v>592200</v>
          </cell>
          <cell r="B152" t="str">
            <v>Cir BrkrsTrnsf Mters Rely-Dist</v>
          </cell>
          <cell r="C152" t="str">
            <v>DM</v>
          </cell>
          <cell r="D152">
            <v>592</v>
          </cell>
          <cell r="E152">
            <v>196871</v>
          </cell>
          <cell r="F152">
            <v>0</v>
          </cell>
          <cell r="G152">
            <v>0</v>
          </cell>
          <cell r="H152">
            <v>0</v>
          </cell>
          <cell r="I152">
            <v>8196</v>
          </cell>
          <cell r="J152">
            <v>4333</v>
          </cell>
          <cell r="K152">
            <v>4333</v>
          </cell>
          <cell r="L152">
            <v>30623</v>
          </cell>
          <cell r="M152">
            <v>31019</v>
          </cell>
          <cell r="N152">
            <v>29693</v>
          </cell>
          <cell r="O152">
            <v>28884</v>
          </cell>
          <cell r="P152">
            <v>29630</v>
          </cell>
          <cell r="Q152">
            <v>30160</v>
          </cell>
        </row>
        <row r="153">
          <cell r="A153">
            <v>593000</v>
          </cell>
          <cell r="B153" t="str">
            <v>Maint Overhd Lines-Other-Dist</v>
          </cell>
          <cell r="C153" t="str">
            <v>DM</v>
          </cell>
          <cell r="D153">
            <v>593</v>
          </cell>
          <cell r="E153">
            <v>6708909</v>
          </cell>
          <cell r="F153">
            <v>455910</v>
          </cell>
          <cell r="G153">
            <v>307484</v>
          </cell>
          <cell r="H153">
            <v>247181</v>
          </cell>
          <cell r="I153">
            <v>1747639</v>
          </cell>
          <cell r="J153">
            <v>491939</v>
          </cell>
          <cell r="K153">
            <v>790646</v>
          </cell>
          <cell r="L153">
            <v>432589</v>
          </cell>
          <cell r="M153">
            <v>535150</v>
          </cell>
          <cell r="N153">
            <v>533226</v>
          </cell>
          <cell r="O153">
            <v>487696</v>
          </cell>
          <cell r="P153">
            <v>330075</v>
          </cell>
          <cell r="Q153">
            <v>349374</v>
          </cell>
        </row>
        <row r="154">
          <cell r="A154">
            <v>593100</v>
          </cell>
          <cell r="B154" t="str">
            <v>Right-of-Way Maintenance-Dist</v>
          </cell>
          <cell r="C154" t="str">
            <v>DM</v>
          </cell>
          <cell r="D154">
            <v>593</v>
          </cell>
          <cell r="E154">
            <v>13335</v>
          </cell>
          <cell r="F154">
            <v>0</v>
          </cell>
          <cell r="G154">
            <v>0</v>
          </cell>
          <cell r="H154">
            <v>0</v>
          </cell>
          <cell r="I154">
            <v>0</v>
          </cell>
          <cell r="J154">
            <v>0</v>
          </cell>
          <cell r="K154">
            <v>0</v>
          </cell>
          <cell r="L154">
            <v>5080</v>
          </cell>
          <cell r="M154">
            <v>2413</v>
          </cell>
          <cell r="N154">
            <v>2413</v>
          </cell>
          <cell r="O154">
            <v>1143</v>
          </cell>
          <cell r="P154">
            <v>1143</v>
          </cell>
          <cell r="Q154">
            <v>1143</v>
          </cell>
        </row>
        <row r="155">
          <cell r="A155">
            <v>594000</v>
          </cell>
          <cell r="B155" t="str">
            <v>Maint-Underground Lines-Dist</v>
          </cell>
          <cell r="C155" t="str">
            <v>DM</v>
          </cell>
          <cell r="D155">
            <v>594</v>
          </cell>
          <cell r="E155">
            <v>368544</v>
          </cell>
          <cell r="F155">
            <v>14430</v>
          </cell>
          <cell r="G155">
            <v>17660</v>
          </cell>
          <cell r="H155">
            <v>20898</v>
          </cell>
          <cell r="I155">
            <v>15559</v>
          </cell>
          <cell r="J155">
            <v>16278</v>
          </cell>
          <cell r="K155">
            <v>42785</v>
          </cell>
          <cell r="L155">
            <v>30756</v>
          </cell>
          <cell r="M155">
            <v>45607</v>
          </cell>
          <cell r="N155">
            <v>46271</v>
          </cell>
          <cell r="O155">
            <v>41726</v>
          </cell>
          <cell r="P155">
            <v>39075</v>
          </cell>
          <cell r="Q155">
            <v>37499</v>
          </cell>
        </row>
        <row r="156">
          <cell r="A156">
            <v>595100</v>
          </cell>
          <cell r="B156" t="str">
            <v>Maint Line Transfrs-Other-Dist</v>
          </cell>
          <cell r="C156" t="str">
            <v>DM</v>
          </cell>
          <cell r="D156">
            <v>595</v>
          </cell>
          <cell r="E156">
            <v>239724</v>
          </cell>
          <cell r="F156">
            <v>106</v>
          </cell>
          <cell r="G156">
            <v>778</v>
          </cell>
          <cell r="H156">
            <v>1169</v>
          </cell>
          <cell r="I156">
            <v>626</v>
          </cell>
          <cell r="J156">
            <v>470</v>
          </cell>
          <cell r="K156">
            <v>191336</v>
          </cell>
          <cell r="L156">
            <v>6272</v>
          </cell>
          <cell r="M156">
            <v>4499</v>
          </cell>
          <cell r="N156">
            <v>5701</v>
          </cell>
          <cell r="O156">
            <v>16286</v>
          </cell>
          <cell r="P156">
            <v>6116</v>
          </cell>
          <cell r="Q156">
            <v>6365</v>
          </cell>
        </row>
        <row r="157">
          <cell r="A157">
            <v>596000</v>
          </cell>
          <cell r="B157" t="str">
            <v>Maint-StreetLightng/Signl-Dist</v>
          </cell>
          <cell r="C157" t="str">
            <v>DM</v>
          </cell>
          <cell r="D157">
            <v>596</v>
          </cell>
          <cell r="E157">
            <v>433205</v>
          </cell>
          <cell r="F157">
            <v>69734</v>
          </cell>
          <cell r="G157">
            <v>40106</v>
          </cell>
          <cell r="H157">
            <v>31987</v>
          </cell>
          <cell r="I157">
            <v>27763</v>
          </cell>
          <cell r="J157">
            <v>29229</v>
          </cell>
          <cell r="K157">
            <v>43473</v>
          </cell>
          <cell r="L157">
            <v>19742</v>
          </cell>
          <cell r="M157">
            <v>28736</v>
          </cell>
          <cell r="N157">
            <v>21928</v>
          </cell>
          <cell r="O157">
            <v>14504</v>
          </cell>
          <cell r="P157">
            <v>32322</v>
          </cell>
          <cell r="Q157">
            <v>73681</v>
          </cell>
        </row>
        <row r="158">
          <cell r="A158">
            <v>597000</v>
          </cell>
          <cell r="B158" t="str">
            <v>Maintenance of Meters-Dist</v>
          </cell>
          <cell r="C158" t="str">
            <v>DM</v>
          </cell>
          <cell r="D158">
            <v>597</v>
          </cell>
          <cell r="E158">
            <v>316205</v>
          </cell>
          <cell r="F158">
            <v>25519</v>
          </cell>
          <cell r="G158">
            <v>28348</v>
          </cell>
          <cell r="H158">
            <v>21261</v>
          </cell>
          <cell r="I158">
            <v>33155</v>
          </cell>
          <cell r="J158">
            <v>25637</v>
          </cell>
          <cell r="K158">
            <v>28314</v>
          </cell>
          <cell r="L158">
            <v>24399</v>
          </cell>
          <cell r="M158">
            <v>24399</v>
          </cell>
          <cell r="N158">
            <v>24399</v>
          </cell>
          <cell r="O158">
            <v>31976</v>
          </cell>
          <cell r="P158">
            <v>24399</v>
          </cell>
          <cell r="Q158">
            <v>24399</v>
          </cell>
        </row>
        <row r="159">
          <cell r="A159">
            <v>901000</v>
          </cell>
          <cell r="B159" t="str">
            <v>Supervision-Cust Accts</v>
          </cell>
          <cell r="C159" t="str">
            <v>CO</v>
          </cell>
          <cell r="D159">
            <v>901</v>
          </cell>
          <cell r="E159">
            <v>481439</v>
          </cell>
          <cell r="F159">
            <v>18261</v>
          </cell>
          <cell r="G159">
            <v>22044</v>
          </cell>
          <cell r="H159">
            <v>18728</v>
          </cell>
          <cell r="I159">
            <v>26180</v>
          </cell>
          <cell r="J159">
            <v>23299</v>
          </cell>
          <cell r="K159">
            <v>22578</v>
          </cell>
          <cell r="L159">
            <v>57585</v>
          </cell>
          <cell r="M159">
            <v>57588</v>
          </cell>
          <cell r="N159">
            <v>57588</v>
          </cell>
          <cell r="O159">
            <v>62413</v>
          </cell>
          <cell r="P159">
            <v>57589</v>
          </cell>
          <cell r="Q159">
            <v>57586</v>
          </cell>
        </row>
        <row r="160">
          <cell r="A160">
            <v>902000</v>
          </cell>
          <cell r="B160" t="str">
            <v>Meter Reading Expense</v>
          </cell>
          <cell r="C160" t="str">
            <v>CO</v>
          </cell>
          <cell r="D160">
            <v>902</v>
          </cell>
          <cell r="E160">
            <v>838339</v>
          </cell>
          <cell r="F160">
            <v>65006</v>
          </cell>
          <cell r="G160">
            <v>88441</v>
          </cell>
          <cell r="H160">
            <v>61626</v>
          </cell>
          <cell r="I160">
            <v>95860</v>
          </cell>
          <cell r="J160">
            <v>70904</v>
          </cell>
          <cell r="K160">
            <v>44737</v>
          </cell>
          <cell r="L160">
            <v>65649</v>
          </cell>
          <cell r="M160">
            <v>72688</v>
          </cell>
          <cell r="N160">
            <v>72133</v>
          </cell>
          <cell r="O160">
            <v>73871</v>
          </cell>
          <cell r="P160">
            <v>62230</v>
          </cell>
          <cell r="Q160">
            <v>65194</v>
          </cell>
        </row>
        <row r="161">
          <cell r="A161">
            <v>903000</v>
          </cell>
          <cell r="B161" t="str">
            <v>Cust Records &amp; Collection Exp</v>
          </cell>
          <cell r="C161" t="str">
            <v>CO</v>
          </cell>
          <cell r="D161">
            <v>903</v>
          </cell>
          <cell r="E161">
            <v>2504114</v>
          </cell>
          <cell r="F161">
            <v>159586</v>
          </cell>
          <cell r="G161">
            <v>290243</v>
          </cell>
          <cell r="H161">
            <v>248045</v>
          </cell>
          <cell r="I161">
            <v>338746</v>
          </cell>
          <cell r="J161">
            <v>225033</v>
          </cell>
          <cell r="K161">
            <v>273838</v>
          </cell>
          <cell r="L161">
            <v>162945</v>
          </cell>
          <cell r="M161">
            <v>126194</v>
          </cell>
          <cell r="N161">
            <v>175978</v>
          </cell>
          <cell r="O161">
            <v>151220</v>
          </cell>
          <cell r="P161">
            <v>159721</v>
          </cell>
          <cell r="Q161">
            <v>192565</v>
          </cell>
        </row>
        <row r="162">
          <cell r="A162">
            <v>903100</v>
          </cell>
          <cell r="B162" t="str">
            <v>Cust Contracts &amp; Orders-Local</v>
          </cell>
          <cell r="C162" t="str">
            <v>CO</v>
          </cell>
          <cell r="D162">
            <v>903</v>
          </cell>
          <cell r="E162">
            <v>397790</v>
          </cell>
          <cell r="F162">
            <v>26921</v>
          </cell>
          <cell r="G162">
            <v>22422</v>
          </cell>
          <cell r="H162">
            <v>8014</v>
          </cell>
          <cell r="I162">
            <v>19539</v>
          </cell>
          <cell r="J162">
            <v>13570</v>
          </cell>
          <cell r="K162">
            <v>16216</v>
          </cell>
          <cell r="L162">
            <v>47801</v>
          </cell>
          <cell r="M162">
            <v>48390</v>
          </cell>
          <cell r="N162">
            <v>49675</v>
          </cell>
          <cell r="O162">
            <v>50311</v>
          </cell>
          <cell r="P162">
            <v>48465</v>
          </cell>
          <cell r="Q162">
            <v>46466</v>
          </cell>
        </row>
        <row r="163">
          <cell r="A163">
            <v>903200</v>
          </cell>
          <cell r="B163" t="str">
            <v>Cust Billing &amp; Acct</v>
          </cell>
          <cell r="C163" t="str">
            <v>CO</v>
          </cell>
          <cell r="D163">
            <v>903</v>
          </cell>
          <cell r="E163">
            <v>1011093</v>
          </cell>
          <cell r="F163">
            <v>73103</v>
          </cell>
          <cell r="G163">
            <v>75475</v>
          </cell>
          <cell r="H163">
            <v>193688</v>
          </cell>
          <cell r="I163">
            <v>86893</v>
          </cell>
          <cell r="J163">
            <v>72872</v>
          </cell>
          <cell r="K163">
            <v>71275</v>
          </cell>
          <cell r="L163">
            <v>70986</v>
          </cell>
          <cell r="M163">
            <v>71544</v>
          </cell>
          <cell r="N163">
            <v>72759</v>
          </cell>
          <cell r="O163">
            <v>81291</v>
          </cell>
          <cell r="P163">
            <v>71549</v>
          </cell>
          <cell r="Q163">
            <v>69658</v>
          </cell>
        </row>
        <row r="164">
          <cell r="A164">
            <v>903250</v>
          </cell>
          <cell r="B164" t="str">
            <v>Cust Billing - Common</v>
          </cell>
          <cell r="C164" t="str">
            <v>CO</v>
          </cell>
          <cell r="D164">
            <v>903</v>
          </cell>
          <cell r="E164">
            <v>-357793</v>
          </cell>
          <cell r="F164">
            <v>149909</v>
          </cell>
          <cell r="G164">
            <v>0</v>
          </cell>
          <cell r="H164">
            <v>0</v>
          </cell>
          <cell r="I164">
            <v>0</v>
          </cell>
          <cell r="J164">
            <v>0</v>
          </cell>
          <cell r="K164">
            <v>0</v>
          </cell>
          <cell r="L164">
            <v>-105802</v>
          </cell>
          <cell r="M164">
            <v>-110008</v>
          </cell>
          <cell r="N164">
            <v>-99267</v>
          </cell>
          <cell r="O164">
            <v>-67897</v>
          </cell>
          <cell r="P164">
            <v>-51028</v>
          </cell>
          <cell r="Q164">
            <v>-73700</v>
          </cell>
        </row>
        <row r="165">
          <cell r="A165">
            <v>903300</v>
          </cell>
          <cell r="B165" t="str">
            <v>Cust Collecting-Local</v>
          </cell>
          <cell r="C165" t="str">
            <v>CO</v>
          </cell>
          <cell r="D165">
            <v>903</v>
          </cell>
          <cell r="E165">
            <v>386353</v>
          </cell>
          <cell r="F165">
            <v>22220</v>
          </cell>
          <cell r="G165">
            <v>22388</v>
          </cell>
          <cell r="H165">
            <v>18811</v>
          </cell>
          <cell r="I165">
            <v>22067</v>
          </cell>
          <cell r="J165">
            <v>15674</v>
          </cell>
          <cell r="K165">
            <v>21084</v>
          </cell>
          <cell r="L165">
            <v>42647</v>
          </cell>
          <cell r="M165">
            <v>43018</v>
          </cell>
          <cell r="N165">
            <v>48332</v>
          </cell>
          <cell r="O165">
            <v>45080</v>
          </cell>
          <cell r="P165">
            <v>43022</v>
          </cell>
          <cell r="Q165">
            <v>42010</v>
          </cell>
        </row>
        <row r="166">
          <cell r="A166">
            <v>903400</v>
          </cell>
          <cell r="B166" t="str">
            <v>Cust Receiv &amp; Collect Exp-Edp</v>
          </cell>
          <cell r="C166" t="str">
            <v>CO</v>
          </cell>
          <cell r="D166">
            <v>903</v>
          </cell>
          <cell r="E166">
            <v>66331</v>
          </cell>
          <cell r="F166">
            <v>5728</v>
          </cell>
          <cell r="G166">
            <v>3132</v>
          </cell>
          <cell r="H166">
            <v>2803</v>
          </cell>
          <cell r="I166">
            <v>3012</v>
          </cell>
          <cell r="J166">
            <v>3117</v>
          </cell>
          <cell r="K166">
            <v>3347</v>
          </cell>
          <cell r="L166">
            <v>7312</v>
          </cell>
          <cell r="M166">
            <v>7388</v>
          </cell>
          <cell r="N166">
            <v>7465</v>
          </cell>
          <cell r="O166">
            <v>7668</v>
          </cell>
          <cell r="P166">
            <v>7641</v>
          </cell>
          <cell r="Q166">
            <v>7718</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-236615</v>
          </cell>
          <cell r="F168">
            <v>-166863</v>
          </cell>
          <cell r="G168">
            <v>-17585</v>
          </cell>
          <cell r="H168">
            <v>-14980</v>
          </cell>
          <cell r="I168">
            <v>-14184</v>
          </cell>
          <cell r="J168">
            <v>-11546</v>
          </cell>
          <cell r="K168">
            <v>-11457</v>
          </cell>
          <cell r="L168">
            <v>0</v>
          </cell>
          <cell r="M168">
            <v>0</v>
          </cell>
          <cell r="N168">
            <v>0</v>
          </cell>
          <cell r="O168">
            <v>0</v>
          </cell>
          <cell r="P168">
            <v>0</v>
          </cell>
          <cell r="Q168">
            <v>0</v>
          </cell>
        </row>
        <row r="169">
          <cell r="A169">
            <v>904001</v>
          </cell>
          <cell r="B169" t="str">
            <v>BAD DEBT EXPENSE</v>
          </cell>
          <cell r="C169" t="str">
            <v>CO</v>
          </cell>
          <cell r="D169">
            <v>904</v>
          </cell>
          <cell r="E169">
            <v>-59691</v>
          </cell>
          <cell r="F169">
            <v>-114140</v>
          </cell>
          <cell r="G169">
            <v>9320</v>
          </cell>
          <cell r="H169">
            <v>-12108</v>
          </cell>
          <cell r="I169">
            <v>-2728</v>
          </cell>
          <cell r="J169">
            <v>-289</v>
          </cell>
          <cell r="K169">
            <v>32654</v>
          </cell>
          <cell r="L169">
            <v>4600</v>
          </cell>
          <cell r="M169">
            <v>4600</v>
          </cell>
          <cell r="N169">
            <v>4600</v>
          </cell>
          <cell r="O169">
            <v>4600</v>
          </cell>
          <cell r="P169">
            <v>4600</v>
          </cell>
          <cell r="Q169">
            <v>4600</v>
          </cell>
        </row>
        <row r="170">
          <cell r="A170">
            <v>904003</v>
          </cell>
          <cell r="B170" t="str">
            <v>Cust Acctg-Loss On Sale-A/R</v>
          </cell>
          <cell r="C170" t="str">
            <v>CO</v>
          </cell>
          <cell r="D170">
            <v>904</v>
          </cell>
          <cell r="E170">
            <v>1163597</v>
          </cell>
          <cell r="F170">
            <v>0</v>
          </cell>
          <cell r="G170">
            <v>0</v>
          </cell>
          <cell r="H170">
            <v>0</v>
          </cell>
          <cell r="I170">
            <v>0</v>
          </cell>
          <cell r="J170">
            <v>0</v>
          </cell>
          <cell r="K170">
            <v>0</v>
          </cell>
          <cell r="L170">
            <v>142941</v>
          </cell>
          <cell r="M170">
            <v>228881</v>
          </cell>
          <cell r="N170">
            <v>194090</v>
          </cell>
          <cell r="O170">
            <v>134949</v>
          </cell>
          <cell r="P170">
            <v>211117</v>
          </cell>
          <cell r="Q170">
            <v>251619</v>
          </cell>
        </row>
        <row r="171">
          <cell r="A171">
            <v>904891</v>
          </cell>
          <cell r="B171" t="str">
            <v>IC Loss on Sale of AR VIE</v>
          </cell>
          <cell r="C171" t="str">
            <v>CO</v>
          </cell>
          <cell r="D171">
            <v>904</v>
          </cell>
          <cell r="E171">
            <v>681208</v>
          </cell>
          <cell r="F171">
            <v>681208</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303</v>
          </cell>
          <cell r="F172">
            <v>63</v>
          </cell>
          <cell r="G172">
            <v>32</v>
          </cell>
          <cell r="H172">
            <v>20</v>
          </cell>
          <cell r="I172">
            <v>15</v>
          </cell>
          <cell r="J172">
            <v>125</v>
          </cell>
          <cell r="K172">
            <v>48</v>
          </cell>
          <cell r="L172">
            <v>0</v>
          </cell>
          <cell r="M172">
            <v>0</v>
          </cell>
          <cell r="N172">
            <v>0</v>
          </cell>
          <cell r="O172">
            <v>0</v>
          </cell>
          <cell r="P172">
            <v>0</v>
          </cell>
          <cell r="Q172">
            <v>0</v>
          </cell>
        </row>
        <row r="173">
          <cell r="A173">
            <v>908000</v>
          </cell>
          <cell r="B173" t="str">
            <v>Cust Asst Exp-Conservation Pro</v>
          </cell>
          <cell r="C173" t="str">
            <v>CSI</v>
          </cell>
          <cell r="D173">
            <v>908</v>
          </cell>
          <cell r="E173">
            <v>56329</v>
          </cell>
          <cell r="F173">
            <v>3</v>
          </cell>
          <cell r="G173">
            <v>0</v>
          </cell>
          <cell r="H173">
            <v>1</v>
          </cell>
          <cell r="I173">
            <v>0</v>
          </cell>
          <cell r="J173">
            <v>0</v>
          </cell>
          <cell r="K173">
            <v>3</v>
          </cell>
          <cell r="L173">
            <v>9387</v>
          </cell>
          <cell r="M173">
            <v>9387</v>
          </cell>
          <cell r="N173">
            <v>9387</v>
          </cell>
          <cell r="O173">
            <v>9387</v>
          </cell>
          <cell r="P173">
            <v>9387</v>
          </cell>
          <cell r="Q173">
            <v>9387</v>
          </cell>
        </row>
        <row r="174">
          <cell r="A174">
            <v>909650</v>
          </cell>
          <cell r="B174" t="str">
            <v>Misc Advertising Expenses</v>
          </cell>
          <cell r="C174" t="str">
            <v>CSI</v>
          </cell>
          <cell r="D174">
            <v>909</v>
          </cell>
          <cell r="E174">
            <v>2327</v>
          </cell>
          <cell r="F174">
            <v>643</v>
          </cell>
          <cell r="G174">
            <v>1192</v>
          </cell>
          <cell r="H174">
            <v>0</v>
          </cell>
          <cell r="I174">
            <v>492</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406705</v>
          </cell>
          <cell r="F175">
            <v>33579</v>
          </cell>
          <cell r="G175">
            <v>36653</v>
          </cell>
          <cell r="H175">
            <v>49442</v>
          </cell>
          <cell r="I175">
            <v>25591</v>
          </cell>
          <cell r="J175">
            <v>20316</v>
          </cell>
          <cell r="K175">
            <v>42632</v>
          </cell>
          <cell r="L175">
            <v>35735</v>
          </cell>
          <cell r="M175">
            <v>32446</v>
          </cell>
          <cell r="N175">
            <v>31679</v>
          </cell>
          <cell r="O175">
            <v>35106</v>
          </cell>
          <cell r="P175">
            <v>33012</v>
          </cell>
          <cell r="Q175">
            <v>30514</v>
          </cell>
        </row>
        <row r="176">
          <cell r="A176">
            <v>910100</v>
          </cell>
          <cell r="B176" t="str">
            <v>Exp-Rs Reg Prod/Svces-CstAccts</v>
          </cell>
          <cell r="C176" t="str">
            <v>CSI</v>
          </cell>
          <cell r="D176">
            <v>910</v>
          </cell>
          <cell r="E176">
            <v>432716</v>
          </cell>
          <cell r="F176">
            <v>41563</v>
          </cell>
          <cell r="G176">
            <v>18031</v>
          </cell>
          <cell r="H176">
            <v>15190</v>
          </cell>
          <cell r="I176">
            <v>19453</v>
          </cell>
          <cell r="J176">
            <v>23974</v>
          </cell>
          <cell r="K176">
            <v>32223</v>
          </cell>
          <cell r="L176">
            <v>43991</v>
          </cell>
          <cell r="M176">
            <v>46999</v>
          </cell>
          <cell r="N176">
            <v>41818</v>
          </cell>
          <cell r="O176">
            <v>68159</v>
          </cell>
          <cell r="P176">
            <v>39542</v>
          </cell>
          <cell r="Q176">
            <v>41773</v>
          </cell>
        </row>
        <row r="177">
          <cell r="A177">
            <v>912000</v>
          </cell>
          <cell r="B177" t="str">
            <v>Demonstrating &amp; Selling Exp</v>
          </cell>
          <cell r="C177" t="str">
            <v>SE</v>
          </cell>
          <cell r="D177">
            <v>912</v>
          </cell>
          <cell r="E177">
            <v>908839</v>
          </cell>
          <cell r="F177">
            <v>90487</v>
          </cell>
          <cell r="G177">
            <v>64056</v>
          </cell>
          <cell r="H177">
            <v>64375</v>
          </cell>
          <cell r="I177">
            <v>65375</v>
          </cell>
          <cell r="J177">
            <v>63184</v>
          </cell>
          <cell r="K177">
            <v>42846</v>
          </cell>
          <cell r="L177">
            <v>85515</v>
          </cell>
          <cell r="M177">
            <v>85538</v>
          </cell>
          <cell r="N177">
            <v>85858</v>
          </cell>
          <cell r="O177">
            <v>89541</v>
          </cell>
          <cell r="P177">
            <v>85841</v>
          </cell>
          <cell r="Q177">
            <v>86223</v>
          </cell>
        </row>
        <row r="178">
          <cell r="A178">
            <v>913001</v>
          </cell>
          <cell r="B178" t="str">
            <v>Advertising Expense</v>
          </cell>
          <cell r="C178" t="str">
            <v>SE</v>
          </cell>
          <cell r="D178">
            <v>913</v>
          </cell>
          <cell r="E178">
            <v>37800</v>
          </cell>
          <cell r="F178">
            <v>19556</v>
          </cell>
          <cell r="G178">
            <v>1436</v>
          </cell>
          <cell r="H178">
            <v>1729</v>
          </cell>
          <cell r="I178">
            <v>1779</v>
          </cell>
          <cell r="J178">
            <v>3810</v>
          </cell>
          <cell r="K178">
            <v>8560</v>
          </cell>
          <cell r="L178">
            <v>155</v>
          </cell>
          <cell r="M178">
            <v>155</v>
          </cell>
          <cell r="N178">
            <v>155</v>
          </cell>
          <cell r="O178">
            <v>155</v>
          </cell>
          <cell r="P178">
            <v>155</v>
          </cell>
          <cell r="Q178">
            <v>155</v>
          </cell>
        </row>
        <row r="179">
          <cell r="A179">
            <v>920000</v>
          </cell>
          <cell r="B179" t="str">
            <v>A &amp; G Salaries</v>
          </cell>
          <cell r="C179" t="str">
            <v>AGO</v>
          </cell>
          <cell r="D179">
            <v>920</v>
          </cell>
          <cell r="E179">
            <v>5950412</v>
          </cell>
          <cell r="F179">
            <v>1191335</v>
          </cell>
          <cell r="G179">
            <v>437118</v>
          </cell>
          <cell r="H179">
            <v>439971</v>
          </cell>
          <cell r="I179">
            <v>298770</v>
          </cell>
          <cell r="J179">
            <v>462305</v>
          </cell>
          <cell r="K179">
            <v>486236</v>
          </cell>
          <cell r="L179">
            <v>556109</v>
          </cell>
          <cell r="M179">
            <v>481434</v>
          </cell>
          <cell r="N179">
            <v>481150</v>
          </cell>
          <cell r="O179">
            <v>154052</v>
          </cell>
          <cell r="P179">
            <v>481015</v>
          </cell>
          <cell r="Q179">
            <v>480917</v>
          </cell>
        </row>
        <row r="180">
          <cell r="A180">
            <v>921100</v>
          </cell>
          <cell r="B180" t="str">
            <v>Employee Expenses</v>
          </cell>
          <cell r="C180" t="str">
            <v>AGO</v>
          </cell>
          <cell r="D180">
            <v>921</v>
          </cell>
          <cell r="E180">
            <v>284441</v>
          </cell>
          <cell r="F180">
            <v>-15331</v>
          </cell>
          <cell r="G180">
            <v>44316</v>
          </cell>
          <cell r="H180">
            <v>27264</v>
          </cell>
          <cell r="I180">
            <v>36372</v>
          </cell>
          <cell r="J180">
            <v>27886</v>
          </cell>
          <cell r="K180">
            <v>18289</v>
          </cell>
          <cell r="L180">
            <v>25404</v>
          </cell>
          <cell r="M180">
            <v>23254</v>
          </cell>
          <cell r="N180">
            <v>23445</v>
          </cell>
          <cell r="O180">
            <v>26152</v>
          </cell>
          <cell r="P180">
            <v>23480</v>
          </cell>
          <cell r="Q180">
            <v>23910</v>
          </cell>
        </row>
        <row r="181">
          <cell r="A181">
            <v>921101</v>
          </cell>
          <cell r="B181" t="str">
            <v>Employee Exp - NC</v>
          </cell>
          <cell r="C181" t="str">
            <v>AGO</v>
          </cell>
          <cell r="D181">
            <v>921</v>
          </cell>
          <cell r="E181">
            <v>3</v>
          </cell>
          <cell r="F181">
            <v>3</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13</v>
          </cell>
          <cell r="F182">
            <v>3</v>
          </cell>
          <cell r="G182">
            <v>0</v>
          </cell>
          <cell r="H182">
            <v>5</v>
          </cell>
          <cell r="I182">
            <v>0</v>
          </cell>
          <cell r="J182">
            <v>0</v>
          </cell>
          <cell r="K182">
            <v>5</v>
          </cell>
          <cell r="L182">
            <v>0</v>
          </cell>
          <cell r="M182">
            <v>0</v>
          </cell>
          <cell r="N182">
            <v>0</v>
          </cell>
          <cell r="O182">
            <v>0</v>
          </cell>
          <cell r="P182">
            <v>0</v>
          </cell>
          <cell r="Q182">
            <v>0</v>
          </cell>
        </row>
        <row r="183">
          <cell r="A183">
            <v>921200</v>
          </cell>
          <cell r="B183" t="str">
            <v>Office Expenses</v>
          </cell>
          <cell r="C183" t="str">
            <v>AGO</v>
          </cell>
          <cell r="D183">
            <v>921</v>
          </cell>
          <cell r="E183">
            <v>739731</v>
          </cell>
          <cell r="F183">
            <v>66587</v>
          </cell>
          <cell r="G183">
            <v>39743</v>
          </cell>
          <cell r="H183">
            <v>36019</v>
          </cell>
          <cell r="I183">
            <v>51125</v>
          </cell>
          <cell r="J183">
            <v>50441</v>
          </cell>
          <cell r="K183">
            <v>44215</v>
          </cell>
          <cell r="L183">
            <v>92056</v>
          </cell>
          <cell r="M183">
            <v>66674</v>
          </cell>
          <cell r="N183">
            <v>65572</v>
          </cell>
          <cell r="O183">
            <v>96541</v>
          </cell>
          <cell r="P183">
            <v>65712</v>
          </cell>
          <cell r="Q183">
            <v>65046</v>
          </cell>
        </row>
        <row r="184">
          <cell r="A184">
            <v>921300</v>
          </cell>
          <cell r="B184" t="str">
            <v>Telephone And Telegraph Exp</v>
          </cell>
          <cell r="C184" t="str">
            <v>AGO</v>
          </cell>
          <cell r="D184">
            <v>921</v>
          </cell>
          <cell r="E184">
            <v>3</v>
          </cell>
          <cell r="F184">
            <v>2</v>
          </cell>
          <cell r="G184">
            <v>0</v>
          </cell>
          <cell r="H184">
            <v>0</v>
          </cell>
          <cell r="I184">
            <v>1</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298275</v>
          </cell>
          <cell r="F185">
            <v>119226</v>
          </cell>
          <cell r="G185">
            <v>34640</v>
          </cell>
          <cell r="H185">
            <v>18101</v>
          </cell>
          <cell r="I185">
            <v>18592</v>
          </cell>
          <cell r="J185">
            <v>11479</v>
          </cell>
          <cell r="K185">
            <v>3212</v>
          </cell>
          <cell r="L185">
            <v>34304</v>
          </cell>
          <cell r="M185">
            <v>18887</v>
          </cell>
          <cell r="N185">
            <v>8501</v>
          </cell>
          <cell r="O185">
            <v>9531</v>
          </cell>
          <cell r="P185">
            <v>12795</v>
          </cell>
          <cell r="Q185">
            <v>9007</v>
          </cell>
        </row>
        <row r="186">
          <cell r="A186">
            <v>921540</v>
          </cell>
          <cell r="B186" t="str">
            <v>Computer Rent (Go Only)</v>
          </cell>
          <cell r="C186" t="str">
            <v>AGO</v>
          </cell>
          <cell r="D186">
            <v>921</v>
          </cell>
          <cell r="E186">
            <v>22364</v>
          </cell>
          <cell r="F186">
            <v>2113</v>
          </cell>
          <cell r="G186">
            <v>3630</v>
          </cell>
          <cell r="H186">
            <v>4056</v>
          </cell>
          <cell r="I186">
            <v>3774</v>
          </cell>
          <cell r="J186">
            <v>2931</v>
          </cell>
          <cell r="K186">
            <v>4804</v>
          </cell>
          <cell r="L186">
            <v>44</v>
          </cell>
          <cell r="M186">
            <v>836</v>
          </cell>
          <cell r="N186">
            <v>44</v>
          </cell>
          <cell r="O186">
            <v>44</v>
          </cell>
          <cell r="P186">
            <v>44</v>
          </cell>
          <cell r="Q186">
            <v>44</v>
          </cell>
        </row>
        <row r="187">
          <cell r="A187">
            <v>921600</v>
          </cell>
          <cell r="B187" t="str">
            <v>Other</v>
          </cell>
          <cell r="C187" t="str">
            <v>AGO</v>
          </cell>
          <cell r="D187">
            <v>921</v>
          </cell>
          <cell r="E187">
            <v>294</v>
          </cell>
          <cell r="F187">
            <v>70</v>
          </cell>
          <cell r="G187">
            <v>2</v>
          </cell>
          <cell r="H187">
            <v>24</v>
          </cell>
          <cell r="I187">
            <v>19</v>
          </cell>
          <cell r="J187">
            <v>73</v>
          </cell>
          <cell r="K187">
            <v>106</v>
          </cell>
          <cell r="L187">
            <v>0</v>
          </cell>
          <cell r="M187">
            <v>0</v>
          </cell>
          <cell r="N187">
            <v>0</v>
          </cell>
          <cell r="O187">
            <v>0</v>
          </cell>
          <cell r="P187">
            <v>0</v>
          </cell>
          <cell r="Q187">
            <v>0</v>
          </cell>
        </row>
        <row r="188">
          <cell r="A188">
            <v>921980</v>
          </cell>
          <cell r="B188" t="str">
            <v>Office Supplies &amp; Expenses</v>
          </cell>
          <cell r="C188" t="str">
            <v>AGO</v>
          </cell>
          <cell r="D188">
            <v>921</v>
          </cell>
          <cell r="E188">
            <v>1170266</v>
          </cell>
          <cell r="F188">
            <v>109204</v>
          </cell>
          <cell r="G188">
            <v>81479</v>
          </cell>
          <cell r="H188">
            <v>82939</v>
          </cell>
          <cell r="I188">
            <v>90572</v>
          </cell>
          <cell r="J188">
            <v>83206</v>
          </cell>
          <cell r="K188">
            <v>82607</v>
          </cell>
          <cell r="L188">
            <v>106874</v>
          </cell>
          <cell r="M188">
            <v>106756</v>
          </cell>
          <cell r="N188">
            <v>106723</v>
          </cell>
          <cell r="O188">
            <v>106208</v>
          </cell>
          <cell r="P188">
            <v>106832</v>
          </cell>
          <cell r="Q188">
            <v>106866</v>
          </cell>
        </row>
        <row r="189">
          <cell r="A189">
            <v>922000</v>
          </cell>
          <cell r="B189" t="str">
            <v>Admin Expense Transfer</v>
          </cell>
          <cell r="C189" t="str">
            <v>AGO</v>
          </cell>
          <cell r="D189">
            <v>922</v>
          </cell>
          <cell r="E189">
            <v>23</v>
          </cell>
          <cell r="F189">
            <v>0</v>
          </cell>
          <cell r="G189">
            <v>23</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2142738</v>
          </cell>
          <cell r="F190">
            <v>229444</v>
          </cell>
          <cell r="G190">
            <v>66138</v>
          </cell>
          <cell r="H190">
            <v>150687</v>
          </cell>
          <cell r="I190">
            <v>146760</v>
          </cell>
          <cell r="J190">
            <v>115234</v>
          </cell>
          <cell r="K190">
            <v>126012</v>
          </cell>
          <cell r="L190">
            <v>265705</v>
          </cell>
          <cell r="M190">
            <v>187380</v>
          </cell>
          <cell r="N190">
            <v>199175</v>
          </cell>
          <cell r="O190">
            <v>260078</v>
          </cell>
          <cell r="P190">
            <v>203712</v>
          </cell>
          <cell r="Q190">
            <v>192413</v>
          </cell>
        </row>
        <row r="191">
          <cell r="A191">
            <v>923980</v>
          </cell>
          <cell r="B191" t="str">
            <v>Outside Services Employee &amp;</v>
          </cell>
          <cell r="C191" t="str">
            <v>AGO</v>
          </cell>
          <cell r="D191">
            <v>923</v>
          </cell>
          <cell r="E191">
            <v>-12554</v>
          </cell>
          <cell r="F191">
            <v>-217</v>
          </cell>
          <cell r="G191">
            <v>-1366</v>
          </cell>
          <cell r="H191">
            <v>-1098</v>
          </cell>
          <cell r="I191">
            <v>-3846</v>
          </cell>
          <cell r="J191">
            <v>-1997</v>
          </cell>
          <cell r="K191">
            <v>-4030</v>
          </cell>
          <cell r="L191">
            <v>0</v>
          </cell>
          <cell r="M191">
            <v>0</v>
          </cell>
          <cell r="N191">
            <v>0</v>
          </cell>
          <cell r="O191">
            <v>0</v>
          </cell>
          <cell r="P191">
            <v>0</v>
          </cell>
          <cell r="Q191">
            <v>0</v>
          </cell>
        </row>
        <row r="192">
          <cell r="A192">
            <v>924000</v>
          </cell>
          <cell r="B192" t="str">
            <v>Property Insurance</v>
          </cell>
          <cell r="C192" t="str">
            <v>AGO</v>
          </cell>
          <cell r="D192">
            <v>924</v>
          </cell>
          <cell r="E192">
            <v>2772</v>
          </cell>
          <cell r="F192">
            <v>-466</v>
          </cell>
          <cell r="G192">
            <v>403</v>
          </cell>
          <cell r="H192">
            <v>361</v>
          </cell>
          <cell r="I192">
            <v>-60</v>
          </cell>
          <cell r="J192">
            <v>403</v>
          </cell>
          <cell r="K192">
            <v>-232</v>
          </cell>
          <cell r="L192">
            <v>0</v>
          </cell>
          <cell r="M192">
            <v>2363</v>
          </cell>
          <cell r="N192">
            <v>0</v>
          </cell>
          <cell r="O192">
            <v>0</v>
          </cell>
          <cell r="P192">
            <v>0</v>
          </cell>
          <cell r="Q192">
            <v>0</v>
          </cell>
        </row>
        <row r="193">
          <cell r="A193">
            <v>924050</v>
          </cell>
          <cell r="B193" t="str">
            <v>Inter-Co Prop Ins Exp</v>
          </cell>
          <cell r="C193" t="str">
            <v>AGO</v>
          </cell>
          <cell r="D193">
            <v>924</v>
          </cell>
          <cell r="E193">
            <v>180681</v>
          </cell>
          <cell r="F193">
            <v>15328</v>
          </cell>
          <cell r="G193">
            <v>15781</v>
          </cell>
          <cell r="H193">
            <v>15781</v>
          </cell>
          <cell r="I193">
            <v>15781</v>
          </cell>
          <cell r="J193">
            <v>15781</v>
          </cell>
          <cell r="K193">
            <v>15781</v>
          </cell>
          <cell r="L193">
            <v>14408</v>
          </cell>
          <cell r="M193">
            <v>14408</v>
          </cell>
          <cell r="N193">
            <v>14408</v>
          </cell>
          <cell r="O193">
            <v>14408</v>
          </cell>
          <cell r="P193">
            <v>14408</v>
          </cell>
          <cell r="Q193">
            <v>14408</v>
          </cell>
        </row>
        <row r="194">
          <cell r="A194">
            <v>924980</v>
          </cell>
          <cell r="B194" t="str">
            <v>Property Insurance For Corp.</v>
          </cell>
          <cell r="C194" t="str">
            <v>AGO</v>
          </cell>
          <cell r="D194">
            <v>924</v>
          </cell>
          <cell r="E194">
            <v>171660</v>
          </cell>
          <cell r="F194">
            <v>14213</v>
          </cell>
          <cell r="G194">
            <v>13553</v>
          </cell>
          <cell r="H194">
            <v>13553</v>
          </cell>
          <cell r="I194">
            <v>13553</v>
          </cell>
          <cell r="J194">
            <v>13553</v>
          </cell>
          <cell r="K194">
            <v>13553</v>
          </cell>
          <cell r="L194">
            <v>14947</v>
          </cell>
          <cell r="M194">
            <v>14947</v>
          </cell>
          <cell r="N194">
            <v>14947</v>
          </cell>
          <cell r="O194">
            <v>14947</v>
          </cell>
          <cell r="P194">
            <v>14947</v>
          </cell>
          <cell r="Q194">
            <v>14947</v>
          </cell>
        </row>
        <row r="195">
          <cell r="A195">
            <v>925000</v>
          </cell>
          <cell r="B195" t="str">
            <v>Injuries &amp; Damages</v>
          </cell>
          <cell r="C195" t="str">
            <v>AGO</v>
          </cell>
          <cell r="D195">
            <v>925</v>
          </cell>
          <cell r="E195">
            <v>174915</v>
          </cell>
          <cell r="F195">
            <v>13943</v>
          </cell>
          <cell r="G195">
            <v>15626</v>
          </cell>
          <cell r="H195">
            <v>17260</v>
          </cell>
          <cell r="I195">
            <v>16654</v>
          </cell>
          <cell r="J195">
            <v>15188</v>
          </cell>
          <cell r="K195">
            <v>28342</v>
          </cell>
          <cell r="L195">
            <v>11317</v>
          </cell>
          <cell r="M195">
            <v>11317</v>
          </cell>
          <cell r="N195">
            <v>11317</v>
          </cell>
          <cell r="O195">
            <v>11317</v>
          </cell>
          <cell r="P195">
            <v>11317</v>
          </cell>
          <cell r="Q195">
            <v>11317</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761555</v>
          </cell>
          <cell r="F197">
            <v>54925</v>
          </cell>
          <cell r="G197">
            <v>60266</v>
          </cell>
          <cell r="H197">
            <v>60266</v>
          </cell>
          <cell r="I197">
            <v>60266</v>
          </cell>
          <cell r="J197">
            <v>60266</v>
          </cell>
          <cell r="K197">
            <v>60266</v>
          </cell>
          <cell r="L197">
            <v>67550</v>
          </cell>
          <cell r="M197">
            <v>67550</v>
          </cell>
          <cell r="N197">
            <v>67550</v>
          </cell>
          <cell r="O197">
            <v>67550</v>
          </cell>
          <cell r="P197">
            <v>67550</v>
          </cell>
          <cell r="Q197">
            <v>67550</v>
          </cell>
        </row>
        <row r="198">
          <cell r="A198">
            <v>925200</v>
          </cell>
          <cell r="B198" t="str">
            <v>Injuries And Damages-Other</v>
          </cell>
          <cell r="C198" t="str">
            <v>AGO</v>
          </cell>
          <cell r="D198">
            <v>925</v>
          </cell>
          <cell r="E198">
            <v>4035</v>
          </cell>
          <cell r="F198">
            <v>900</v>
          </cell>
          <cell r="G198">
            <v>669</v>
          </cell>
          <cell r="H198">
            <v>519</v>
          </cell>
          <cell r="I198">
            <v>666</v>
          </cell>
          <cell r="J198">
            <v>630</v>
          </cell>
          <cell r="K198">
            <v>651</v>
          </cell>
          <cell r="L198">
            <v>0</v>
          </cell>
          <cell r="M198">
            <v>0</v>
          </cell>
          <cell r="N198">
            <v>0</v>
          </cell>
          <cell r="O198">
            <v>0</v>
          </cell>
          <cell r="P198">
            <v>0</v>
          </cell>
          <cell r="Q198">
            <v>0</v>
          </cell>
        </row>
        <row r="199">
          <cell r="A199">
            <v>925980</v>
          </cell>
          <cell r="B199" t="str">
            <v>Injuries And Damages For Corp.</v>
          </cell>
          <cell r="C199" t="str">
            <v>AGO</v>
          </cell>
          <cell r="D199">
            <v>925</v>
          </cell>
          <cell r="E199">
            <v>48112</v>
          </cell>
          <cell r="F199">
            <v>1076</v>
          </cell>
          <cell r="G199">
            <v>1054</v>
          </cell>
          <cell r="H199">
            <v>1054</v>
          </cell>
          <cell r="I199">
            <v>1054</v>
          </cell>
          <cell r="J199">
            <v>1054</v>
          </cell>
          <cell r="K199">
            <v>1054</v>
          </cell>
          <cell r="L199">
            <v>5001</v>
          </cell>
          <cell r="M199">
            <v>7645</v>
          </cell>
          <cell r="N199">
            <v>5841</v>
          </cell>
          <cell r="O199">
            <v>5098</v>
          </cell>
          <cell r="P199">
            <v>13803</v>
          </cell>
          <cell r="Q199">
            <v>4378</v>
          </cell>
        </row>
        <row r="200">
          <cell r="A200">
            <v>926000</v>
          </cell>
          <cell r="B200" t="str">
            <v>EMPL PENSIONS AND BENEFITS</v>
          </cell>
          <cell r="C200" t="str">
            <v>AGO</v>
          </cell>
          <cell r="D200">
            <v>926</v>
          </cell>
          <cell r="E200">
            <v>4038807</v>
          </cell>
          <cell r="F200">
            <v>396955</v>
          </cell>
          <cell r="G200">
            <v>284723</v>
          </cell>
          <cell r="H200">
            <v>336818</v>
          </cell>
          <cell r="I200">
            <v>326413</v>
          </cell>
          <cell r="J200">
            <v>551265</v>
          </cell>
          <cell r="K200">
            <v>307970</v>
          </cell>
          <cell r="L200">
            <v>353840</v>
          </cell>
          <cell r="M200">
            <v>323531</v>
          </cell>
          <cell r="N200">
            <v>322813</v>
          </cell>
          <cell r="O200">
            <v>189989</v>
          </cell>
          <cell r="P200">
            <v>322347</v>
          </cell>
          <cell r="Q200">
            <v>322143</v>
          </cell>
        </row>
        <row r="201">
          <cell r="A201">
            <v>926430</v>
          </cell>
          <cell r="B201" t="str">
            <v>Employees'Recreation Expense</v>
          </cell>
          <cell r="C201" t="str">
            <v>AGO</v>
          </cell>
          <cell r="D201">
            <v>926</v>
          </cell>
          <cell r="E201">
            <v>867</v>
          </cell>
          <cell r="F201">
            <v>21</v>
          </cell>
          <cell r="G201">
            <v>0</v>
          </cell>
          <cell r="H201">
            <v>0</v>
          </cell>
          <cell r="I201">
            <v>0</v>
          </cell>
          <cell r="J201">
            <v>0</v>
          </cell>
          <cell r="K201">
            <v>0</v>
          </cell>
          <cell r="L201">
            <v>141</v>
          </cell>
          <cell r="M201">
            <v>141</v>
          </cell>
          <cell r="N201">
            <v>141</v>
          </cell>
          <cell r="O201">
            <v>141</v>
          </cell>
          <cell r="P201">
            <v>141</v>
          </cell>
          <cell r="Q201">
            <v>141</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2247360</v>
          </cell>
          <cell r="F203">
            <v>38101</v>
          </cell>
          <cell r="G203">
            <v>235088</v>
          </cell>
          <cell r="H203">
            <v>190713</v>
          </cell>
          <cell r="I203">
            <v>154761</v>
          </cell>
          <cell r="J203">
            <v>197247</v>
          </cell>
          <cell r="K203">
            <v>164479</v>
          </cell>
          <cell r="L203">
            <v>211482</v>
          </cell>
          <cell r="M203">
            <v>228440</v>
          </cell>
          <cell r="N203">
            <v>172799</v>
          </cell>
          <cell r="O203">
            <v>256533</v>
          </cell>
          <cell r="P203">
            <v>197987</v>
          </cell>
          <cell r="Q203">
            <v>199730</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706932</v>
          </cell>
          <cell r="F205">
            <v>58602</v>
          </cell>
          <cell r="G205">
            <v>58602</v>
          </cell>
          <cell r="H205">
            <v>58602</v>
          </cell>
          <cell r="I205">
            <v>58602</v>
          </cell>
          <cell r="J205">
            <v>58602</v>
          </cell>
          <cell r="K205">
            <v>58602</v>
          </cell>
          <cell r="L205">
            <v>59220</v>
          </cell>
          <cell r="M205">
            <v>59220</v>
          </cell>
          <cell r="N205">
            <v>59220</v>
          </cell>
          <cell r="O205">
            <v>59220</v>
          </cell>
          <cell r="P205">
            <v>59220</v>
          </cell>
          <cell r="Q205">
            <v>59220</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-23231</v>
          </cell>
          <cell r="F207">
            <v>-3281</v>
          </cell>
          <cell r="G207">
            <v>-4416</v>
          </cell>
          <cell r="H207">
            <v>-4247</v>
          </cell>
          <cell r="I207">
            <v>-3825</v>
          </cell>
          <cell r="J207">
            <v>-3815</v>
          </cell>
          <cell r="K207">
            <v>-3647</v>
          </cell>
          <cell r="L207">
            <v>0</v>
          </cell>
          <cell r="M207">
            <v>0</v>
          </cell>
          <cell r="N207">
            <v>0</v>
          </cell>
          <cell r="O207">
            <v>0</v>
          </cell>
          <cell r="P207">
            <v>0</v>
          </cell>
          <cell r="Q207">
            <v>0</v>
          </cell>
        </row>
        <row r="208">
          <cell r="A208">
            <v>929500</v>
          </cell>
          <cell r="B208" t="str">
            <v>Admin Exp Transf</v>
          </cell>
          <cell r="C208" t="str">
            <v>AGO</v>
          </cell>
          <cell r="D208">
            <v>929</v>
          </cell>
          <cell r="E208">
            <v>-394584</v>
          </cell>
          <cell r="F208">
            <v>-31499</v>
          </cell>
          <cell r="G208">
            <v>-26046</v>
          </cell>
          <cell r="H208">
            <v>-29757</v>
          </cell>
          <cell r="I208">
            <v>-59220</v>
          </cell>
          <cell r="J208">
            <v>-33576</v>
          </cell>
          <cell r="K208">
            <v>-37886</v>
          </cell>
          <cell r="L208">
            <v>-27273</v>
          </cell>
          <cell r="M208">
            <v>-27273</v>
          </cell>
          <cell r="N208">
            <v>-27273</v>
          </cell>
          <cell r="O208">
            <v>-40235</v>
          </cell>
          <cell r="P208">
            <v>-27273</v>
          </cell>
          <cell r="Q208">
            <v>-27273</v>
          </cell>
        </row>
        <row r="209">
          <cell r="A209">
            <v>930150</v>
          </cell>
          <cell r="B209" t="str">
            <v>Miscellaneous Advertising Exp</v>
          </cell>
          <cell r="C209" t="str">
            <v>AGO</v>
          </cell>
          <cell r="D209">
            <v>930</v>
          </cell>
          <cell r="E209">
            <v>11346</v>
          </cell>
          <cell r="F209">
            <v>1260</v>
          </cell>
          <cell r="G209">
            <v>1713</v>
          </cell>
          <cell r="H209">
            <v>1850</v>
          </cell>
          <cell r="I209">
            <v>1153</v>
          </cell>
          <cell r="J209">
            <v>2168</v>
          </cell>
          <cell r="K209">
            <v>3202</v>
          </cell>
          <cell r="L209">
            <v>0</v>
          </cell>
          <cell r="M209">
            <v>0</v>
          </cell>
          <cell r="N209">
            <v>0</v>
          </cell>
          <cell r="O209">
            <v>0</v>
          </cell>
          <cell r="P209">
            <v>0</v>
          </cell>
          <cell r="Q209">
            <v>0</v>
          </cell>
        </row>
        <row r="210">
          <cell r="A210">
            <v>930200</v>
          </cell>
          <cell r="B210" t="str">
            <v>Misc General Expenses</v>
          </cell>
          <cell r="C210" t="str">
            <v>AGO</v>
          </cell>
          <cell r="D210">
            <v>930</v>
          </cell>
          <cell r="E210">
            <v>497785</v>
          </cell>
          <cell r="F210">
            <v>26195</v>
          </cell>
          <cell r="G210">
            <v>24148</v>
          </cell>
          <cell r="H210">
            <v>32100</v>
          </cell>
          <cell r="I210">
            <v>43449</v>
          </cell>
          <cell r="J210">
            <v>34388</v>
          </cell>
          <cell r="K210">
            <v>38274</v>
          </cell>
          <cell r="L210">
            <v>48994</v>
          </cell>
          <cell r="M210">
            <v>49625</v>
          </cell>
          <cell r="N210">
            <v>49800</v>
          </cell>
          <cell r="O210">
            <v>52556</v>
          </cell>
          <cell r="P210">
            <v>49221</v>
          </cell>
          <cell r="Q210">
            <v>49035</v>
          </cell>
        </row>
        <row r="211">
          <cell r="A211">
            <v>930210</v>
          </cell>
          <cell r="B211" t="str">
            <v>Industry Association Dues</v>
          </cell>
          <cell r="C211" t="str">
            <v>AGO</v>
          </cell>
          <cell r="D211">
            <v>930</v>
          </cell>
          <cell r="E211">
            <v>40462</v>
          </cell>
          <cell r="F211">
            <v>0</v>
          </cell>
          <cell r="G211">
            <v>47702</v>
          </cell>
          <cell r="H211">
            <v>0</v>
          </cell>
          <cell r="I211">
            <v>-7240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23504</v>
          </cell>
          <cell r="F212">
            <v>-41</v>
          </cell>
          <cell r="G212">
            <v>0</v>
          </cell>
          <cell r="H212">
            <v>0</v>
          </cell>
          <cell r="I212">
            <v>12040</v>
          </cell>
          <cell r="J212">
            <v>5000</v>
          </cell>
          <cell r="K212">
            <v>6505</v>
          </cell>
          <cell r="L212">
            <v>0</v>
          </cell>
          <cell r="M212">
            <v>0</v>
          </cell>
          <cell r="N212">
            <v>0</v>
          </cell>
          <cell r="O212">
            <v>0</v>
          </cell>
          <cell r="P212">
            <v>0</v>
          </cell>
          <cell r="Q212">
            <v>0</v>
          </cell>
        </row>
        <row r="213">
          <cell r="A213">
            <v>930230</v>
          </cell>
          <cell r="B213" t="str">
            <v>Dues To Various Organizations</v>
          </cell>
          <cell r="C213" t="str">
            <v>AGO</v>
          </cell>
          <cell r="D213">
            <v>930</v>
          </cell>
          <cell r="E213">
            <v>31672</v>
          </cell>
          <cell r="F213">
            <v>10399</v>
          </cell>
          <cell r="G213">
            <v>947</v>
          </cell>
          <cell r="H213">
            <v>62</v>
          </cell>
          <cell r="I213">
            <v>958</v>
          </cell>
          <cell r="J213">
            <v>1671</v>
          </cell>
          <cell r="K213">
            <v>35</v>
          </cell>
          <cell r="L213">
            <v>1467</v>
          </cell>
          <cell r="M213">
            <v>1550</v>
          </cell>
          <cell r="N213">
            <v>3004</v>
          </cell>
          <cell r="O213">
            <v>1194</v>
          </cell>
          <cell r="P213">
            <v>4219</v>
          </cell>
          <cell r="Q213">
            <v>6166</v>
          </cell>
        </row>
        <row r="214">
          <cell r="A214">
            <v>930240</v>
          </cell>
          <cell r="B214" t="str">
            <v>Director'S Expenses</v>
          </cell>
          <cell r="C214" t="str">
            <v>AGO</v>
          </cell>
          <cell r="D214">
            <v>930</v>
          </cell>
          <cell r="E214">
            <v>42313</v>
          </cell>
          <cell r="F214">
            <v>6826</v>
          </cell>
          <cell r="G214">
            <v>7167</v>
          </cell>
          <cell r="H214">
            <v>13</v>
          </cell>
          <cell r="I214">
            <v>488</v>
          </cell>
          <cell r="J214">
            <v>5174</v>
          </cell>
          <cell r="K214">
            <v>22645</v>
          </cell>
          <cell r="L214">
            <v>0</v>
          </cell>
          <cell r="M214">
            <v>0</v>
          </cell>
          <cell r="N214">
            <v>0</v>
          </cell>
          <cell r="O214">
            <v>0</v>
          </cell>
          <cell r="P214">
            <v>0</v>
          </cell>
          <cell r="Q214">
            <v>0</v>
          </cell>
        </row>
        <row r="215">
          <cell r="A215">
            <v>930250</v>
          </cell>
          <cell r="B215" t="str">
            <v>Buy\Sell Transf Employee Homes</v>
          </cell>
          <cell r="C215" t="str">
            <v>AGO</v>
          </cell>
          <cell r="D215">
            <v>930</v>
          </cell>
          <cell r="E215">
            <v>16905</v>
          </cell>
          <cell r="F215">
            <v>3347</v>
          </cell>
          <cell r="G215">
            <v>2978</v>
          </cell>
          <cell r="H215">
            <v>-236</v>
          </cell>
          <cell r="I215">
            <v>1125</v>
          </cell>
          <cell r="J215">
            <v>1154</v>
          </cell>
          <cell r="K215">
            <v>1765</v>
          </cell>
          <cell r="L215">
            <v>2784</v>
          </cell>
          <cell r="M215">
            <v>301</v>
          </cell>
          <cell r="N215">
            <v>301</v>
          </cell>
          <cell r="O215">
            <v>2784</v>
          </cell>
          <cell r="P215">
            <v>301</v>
          </cell>
          <cell r="Q215">
            <v>301</v>
          </cell>
        </row>
        <row r="216">
          <cell r="A216">
            <v>930600</v>
          </cell>
          <cell r="B216" t="str">
            <v>Leased Circuit Charges - Other</v>
          </cell>
          <cell r="C216" t="str">
            <v>AGO</v>
          </cell>
          <cell r="D216">
            <v>930</v>
          </cell>
          <cell r="E216">
            <v>27</v>
          </cell>
          <cell r="F216">
            <v>0</v>
          </cell>
          <cell r="G216">
            <v>0</v>
          </cell>
          <cell r="H216">
            <v>12</v>
          </cell>
          <cell r="I216">
            <v>15</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1836</v>
          </cell>
          <cell r="F217">
            <v>501</v>
          </cell>
          <cell r="G217">
            <v>45</v>
          </cell>
          <cell r="H217">
            <v>465</v>
          </cell>
          <cell r="I217">
            <v>71</v>
          </cell>
          <cell r="J217">
            <v>496</v>
          </cell>
          <cell r="K217">
            <v>258</v>
          </cell>
          <cell r="L217">
            <v>0</v>
          </cell>
          <cell r="M217">
            <v>0</v>
          </cell>
          <cell r="N217">
            <v>0</v>
          </cell>
          <cell r="O217">
            <v>0</v>
          </cell>
          <cell r="P217">
            <v>0</v>
          </cell>
          <cell r="Q217">
            <v>0</v>
          </cell>
        </row>
        <row r="218">
          <cell r="A218">
            <v>930940</v>
          </cell>
          <cell r="B218" t="str">
            <v>General Expenses</v>
          </cell>
          <cell r="C218" t="str">
            <v>AGO</v>
          </cell>
          <cell r="D218">
            <v>930</v>
          </cell>
          <cell r="E218">
            <v>1000</v>
          </cell>
          <cell r="F218">
            <v>260</v>
          </cell>
          <cell r="G218">
            <v>86</v>
          </cell>
          <cell r="H218">
            <v>457</v>
          </cell>
          <cell r="I218">
            <v>53</v>
          </cell>
          <cell r="J218">
            <v>43</v>
          </cell>
          <cell r="K218">
            <v>101</v>
          </cell>
          <cell r="L218">
            <v>0</v>
          </cell>
          <cell r="M218">
            <v>0</v>
          </cell>
          <cell r="N218">
            <v>0</v>
          </cell>
          <cell r="O218">
            <v>0</v>
          </cell>
          <cell r="P218">
            <v>0</v>
          </cell>
          <cell r="Q218">
            <v>0</v>
          </cell>
        </row>
        <row r="219">
          <cell r="A219">
            <v>931001</v>
          </cell>
          <cell r="B219" t="str">
            <v>Rents-A&amp;G</v>
          </cell>
          <cell r="C219" t="str">
            <v>AGO</v>
          </cell>
          <cell r="D219">
            <v>931</v>
          </cell>
          <cell r="E219">
            <v>222066</v>
          </cell>
          <cell r="F219">
            <v>18992</v>
          </cell>
          <cell r="G219">
            <v>18418</v>
          </cell>
          <cell r="H219">
            <v>17180</v>
          </cell>
          <cell r="I219">
            <v>18198</v>
          </cell>
          <cell r="J219">
            <v>18562</v>
          </cell>
          <cell r="K219">
            <v>17020</v>
          </cell>
          <cell r="L219">
            <v>18964</v>
          </cell>
          <cell r="M219">
            <v>18849</v>
          </cell>
          <cell r="N219">
            <v>18958</v>
          </cell>
          <cell r="O219">
            <v>18975</v>
          </cell>
          <cell r="P219">
            <v>18975</v>
          </cell>
          <cell r="Q219">
            <v>18975</v>
          </cell>
        </row>
        <row r="220">
          <cell r="A220">
            <v>931008</v>
          </cell>
          <cell r="B220" t="str">
            <v>A&amp;G Rents-IC</v>
          </cell>
          <cell r="C220" t="str">
            <v>AGO</v>
          </cell>
          <cell r="D220">
            <v>931</v>
          </cell>
          <cell r="E220">
            <v>964298</v>
          </cell>
          <cell r="F220">
            <v>83131</v>
          </cell>
          <cell r="G220">
            <v>81259</v>
          </cell>
          <cell r="H220">
            <v>80709</v>
          </cell>
          <cell r="I220">
            <v>88016</v>
          </cell>
          <cell r="J220">
            <v>87304</v>
          </cell>
          <cell r="K220">
            <v>56073</v>
          </cell>
          <cell r="L220">
            <v>81301</v>
          </cell>
          <cell r="M220">
            <v>81301</v>
          </cell>
          <cell r="N220">
            <v>81301</v>
          </cell>
          <cell r="O220">
            <v>81301</v>
          </cell>
          <cell r="P220">
            <v>81301</v>
          </cell>
          <cell r="Q220">
            <v>81301</v>
          </cell>
        </row>
        <row r="221">
          <cell r="A221">
            <v>935100</v>
          </cell>
          <cell r="B221" t="str">
            <v>Maint General Plant-Elec</v>
          </cell>
          <cell r="C221" t="str">
            <v>AGM</v>
          </cell>
          <cell r="D221">
            <v>935</v>
          </cell>
          <cell r="E221">
            <v>37849</v>
          </cell>
          <cell r="F221">
            <v>49</v>
          </cell>
          <cell r="G221">
            <v>1465</v>
          </cell>
          <cell r="H221">
            <v>-541</v>
          </cell>
          <cell r="I221">
            <v>549</v>
          </cell>
          <cell r="J221">
            <v>2011</v>
          </cell>
          <cell r="K221">
            <v>145</v>
          </cell>
          <cell r="L221">
            <v>4280</v>
          </cell>
          <cell r="M221">
            <v>16187</v>
          </cell>
          <cell r="N221">
            <v>3340</v>
          </cell>
          <cell r="O221">
            <v>3684</v>
          </cell>
          <cell r="P221">
            <v>3340</v>
          </cell>
          <cell r="Q221">
            <v>3340</v>
          </cell>
        </row>
        <row r="222">
          <cell r="A222">
            <v>935200</v>
          </cell>
          <cell r="B222" t="str">
            <v>Cust Infor &amp; Computer Control</v>
          </cell>
          <cell r="C222" t="str">
            <v>AGM</v>
          </cell>
          <cell r="D222">
            <v>935</v>
          </cell>
          <cell r="E222">
            <v>14</v>
          </cell>
          <cell r="F222">
            <v>14</v>
          </cell>
          <cell r="G222">
            <v>3</v>
          </cell>
          <cell r="H222">
            <v>0</v>
          </cell>
          <cell r="I222">
            <v>-4</v>
          </cell>
          <cell r="J222">
            <v>0</v>
          </cell>
          <cell r="K222">
            <v>1</v>
          </cell>
          <cell r="L222">
            <v>0</v>
          </cell>
          <cell r="M222">
            <v>0</v>
          </cell>
          <cell r="N222">
            <v>0</v>
          </cell>
          <cell r="O222">
            <v>0</v>
          </cell>
          <cell r="P222">
            <v>0</v>
          </cell>
          <cell r="Q222">
            <v>0</v>
          </cell>
        </row>
      </sheetData>
      <sheetData sheetId="4">
        <row r="1">
          <cell r="A1" t="str">
            <v>Account ID CB</v>
          </cell>
          <cell r="B1" t="str">
            <v>Account Long Descr CB</v>
          </cell>
          <cell r="C1">
            <v>42735</v>
          </cell>
          <cell r="D1">
            <v>42766</v>
          </cell>
          <cell r="E1">
            <v>42794</v>
          </cell>
          <cell r="F1">
            <v>42825</v>
          </cell>
          <cell r="G1">
            <v>42855</v>
          </cell>
          <cell r="H1">
            <v>42886</v>
          </cell>
          <cell r="I1">
            <v>42916</v>
          </cell>
          <cell r="J1">
            <v>42947</v>
          </cell>
          <cell r="K1">
            <v>42978</v>
          </cell>
          <cell r="L1">
            <v>43008</v>
          </cell>
          <cell r="M1">
            <v>43039</v>
          </cell>
          <cell r="N1">
            <v>43069</v>
          </cell>
        </row>
        <row r="2">
          <cell r="A2">
            <v>403002</v>
          </cell>
          <cell r="B2" t="str">
            <v>Depr-Expense</v>
          </cell>
          <cell r="C2">
            <v>2537047</v>
          </cell>
          <cell r="D2">
            <v>2524945</v>
          </cell>
          <cell r="E2">
            <v>2519867</v>
          </cell>
          <cell r="F2">
            <v>2508876</v>
          </cell>
          <cell r="G2">
            <v>2512947</v>
          </cell>
          <cell r="H2">
            <v>2514502</v>
          </cell>
          <cell r="I2">
            <v>3124053</v>
          </cell>
          <cell r="J2">
            <v>3173848</v>
          </cell>
          <cell r="K2">
            <v>3137956</v>
          </cell>
          <cell r="L2">
            <v>3122944</v>
          </cell>
          <cell r="M2">
            <v>3182896</v>
          </cell>
          <cell r="N2">
            <v>3197981</v>
          </cell>
        </row>
        <row r="3">
          <cell r="A3">
            <v>403151</v>
          </cell>
          <cell r="B3" t="str">
            <v>Depreciation Expense - ARO Ash</v>
          </cell>
          <cell r="C3">
            <v>0</v>
          </cell>
          <cell r="D3">
            <v>0</v>
          </cell>
          <cell r="E3">
            <v>0</v>
          </cell>
          <cell r="F3">
            <v>0</v>
          </cell>
          <cell r="I3">
            <v>0</v>
          </cell>
          <cell r="J3">
            <v>0</v>
          </cell>
          <cell r="K3">
            <v>0</v>
          </cell>
          <cell r="L3">
            <v>0</v>
          </cell>
          <cell r="M3">
            <v>0</v>
          </cell>
          <cell r="N3">
            <v>0</v>
          </cell>
        </row>
        <row r="4">
          <cell r="A4">
            <v>404000</v>
          </cell>
          <cell r="B4" t="str">
            <v>Amortization of Deferred Expenses</v>
          </cell>
          <cell r="C4">
            <v>0</v>
          </cell>
          <cell r="D4">
            <v>0</v>
          </cell>
          <cell r="E4">
            <v>0</v>
          </cell>
          <cell r="F4">
            <v>0</v>
          </cell>
          <cell r="G4">
            <v>0</v>
          </cell>
          <cell r="H4">
            <v>0</v>
          </cell>
          <cell r="I4">
            <v>0</v>
          </cell>
          <cell r="J4">
            <v>0</v>
          </cell>
          <cell r="K4">
            <v>0</v>
          </cell>
          <cell r="L4">
            <v>0</v>
          </cell>
          <cell r="M4">
            <v>0</v>
          </cell>
          <cell r="N4">
            <v>0</v>
          </cell>
        </row>
        <row r="5">
          <cell r="A5">
            <v>404200</v>
          </cell>
          <cell r="B5" t="str">
            <v>Amort Of Elec Plt - Software</v>
          </cell>
          <cell r="C5">
            <v>-122995</v>
          </cell>
          <cell r="D5">
            <v>185846</v>
          </cell>
          <cell r="E5">
            <v>184652</v>
          </cell>
          <cell r="F5">
            <v>186401</v>
          </cell>
          <cell r="G5">
            <v>187333</v>
          </cell>
          <cell r="H5">
            <v>187661</v>
          </cell>
          <cell r="I5">
            <v>82841</v>
          </cell>
          <cell r="J5">
            <v>84651</v>
          </cell>
          <cell r="K5">
            <v>84651</v>
          </cell>
          <cell r="L5">
            <v>84651</v>
          </cell>
          <cell r="M5">
            <v>86188</v>
          </cell>
          <cell r="N5">
            <v>86188</v>
          </cell>
        </row>
        <row r="6">
          <cell r="A6">
            <v>407354</v>
          </cell>
          <cell r="B6" t="str">
            <v>DSM Deferral - Electric</v>
          </cell>
          <cell r="C6">
            <v>-73896</v>
          </cell>
          <cell r="D6">
            <v>281236</v>
          </cell>
          <cell r="E6">
            <v>-75145</v>
          </cell>
          <cell r="F6">
            <v>-442920</v>
          </cell>
          <cell r="G6">
            <v>-1079095</v>
          </cell>
          <cell r="H6">
            <v>-676669</v>
          </cell>
          <cell r="I6">
            <v>5100</v>
          </cell>
          <cell r="J6">
            <v>5100</v>
          </cell>
          <cell r="K6">
            <v>5100</v>
          </cell>
          <cell r="L6">
            <v>5100</v>
          </cell>
          <cell r="M6">
            <v>5100</v>
          </cell>
          <cell r="N6">
            <v>5100</v>
          </cell>
        </row>
        <row r="7">
          <cell r="A7">
            <v>407407</v>
          </cell>
          <cell r="B7" t="str">
            <v>Carrying Charges</v>
          </cell>
          <cell r="C7">
            <v>-111055</v>
          </cell>
          <cell r="D7">
            <v>-115015</v>
          </cell>
          <cell r="E7">
            <v>-118681</v>
          </cell>
          <cell r="F7">
            <v>-123359</v>
          </cell>
          <cell r="G7">
            <v>-126528</v>
          </cell>
          <cell r="H7">
            <v>-132578</v>
          </cell>
          <cell r="I7">
            <v>0</v>
          </cell>
          <cell r="J7">
            <v>0</v>
          </cell>
          <cell r="K7">
            <v>0</v>
          </cell>
          <cell r="L7">
            <v>0</v>
          </cell>
          <cell r="M7">
            <v>0</v>
          </cell>
          <cell r="N7">
            <v>0</v>
          </cell>
        </row>
        <row r="8">
          <cell r="A8">
            <v>408040</v>
          </cell>
          <cell r="B8" t="str">
            <v>Taxes Property-Allocated</v>
          </cell>
          <cell r="C8">
            <v>-100479</v>
          </cell>
          <cell r="D8">
            <v>-103069</v>
          </cell>
          <cell r="E8">
            <v>-106234</v>
          </cell>
          <cell r="F8">
            <v>-111055</v>
          </cell>
          <cell r="G8">
            <v>-115015</v>
          </cell>
          <cell r="H8">
            <v>-118681</v>
          </cell>
          <cell r="I8">
            <v>0</v>
          </cell>
          <cell r="J8">
            <v>0</v>
          </cell>
          <cell r="K8">
            <v>0</v>
          </cell>
          <cell r="L8">
            <v>0</v>
          </cell>
          <cell r="M8">
            <v>0</v>
          </cell>
          <cell r="N8">
            <v>0</v>
          </cell>
        </row>
        <row r="9">
          <cell r="A9">
            <v>408050</v>
          </cell>
          <cell r="B9" t="str">
            <v>Municipal License-Electric</v>
          </cell>
          <cell r="D9">
            <v>1890</v>
          </cell>
          <cell r="E9">
            <v>1890</v>
          </cell>
          <cell r="F9">
            <v>1890</v>
          </cell>
          <cell r="G9">
            <v>1890</v>
          </cell>
          <cell r="H9">
            <v>1890</v>
          </cell>
          <cell r="I9">
            <v>0</v>
          </cell>
          <cell r="J9">
            <v>0</v>
          </cell>
          <cell r="K9">
            <v>0</v>
          </cell>
          <cell r="L9">
            <v>0</v>
          </cell>
          <cell r="M9">
            <v>0</v>
          </cell>
          <cell r="N9">
            <v>0</v>
          </cell>
        </row>
        <row r="10">
          <cell r="A10">
            <v>408120</v>
          </cell>
          <cell r="B10" t="str">
            <v>Franchise Tax - Non Electric</v>
          </cell>
          <cell r="C10">
            <v>1924</v>
          </cell>
          <cell r="G10">
            <v>1890</v>
          </cell>
          <cell r="H10">
            <v>1890</v>
          </cell>
          <cell r="I10">
            <v>0</v>
          </cell>
          <cell r="J10">
            <v>0</v>
          </cell>
          <cell r="K10">
            <v>0</v>
          </cell>
          <cell r="L10">
            <v>0</v>
          </cell>
          <cell r="M10">
            <v>0</v>
          </cell>
          <cell r="N10">
            <v>0</v>
          </cell>
        </row>
        <row r="11">
          <cell r="A11">
            <v>408121</v>
          </cell>
          <cell r="B11" t="str">
            <v>Taxes Property-Operating</v>
          </cell>
          <cell r="C11">
            <v>614919</v>
          </cell>
          <cell r="D11">
            <v>725968</v>
          </cell>
          <cell r="E11">
            <v>732101</v>
          </cell>
          <cell r="F11">
            <v>732101</v>
          </cell>
          <cell r="G11">
            <v>732101</v>
          </cell>
          <cell r="H11">
            <v>732101</v>
          </cell>
          <cell r="I11">
            <v>726161</v>
          </cell>
          <cell r="J11">
            <v>726161</v>
          </cell>
          <cell r="K11">
            <v>726161</v>
          </cell>
          <cell r="L11">
            <v>726161</v>
          </cell>
          <cell r="M11">
            <v>726161</v>
          </cell>
          <cell r="N11">
            <v>726161</v>
          </cell>
        </row>
        <row r="12">
          <cell r="A12">
            <v>408150</v>
          </cell>
          <cell r="B12" t="str">
            <v>State Unemployment Tax</v>
          </cell>
          <cell r="C12">
            <v>338</v>
          </cell>
          <cell r="D12">
            <v>11666</v>
          </cell>
          <cell r="E12">
            <v>2265</v>
          </cell>
          <cell r="F12">
            <v>-5033</v>
          </cell>
          <cell r="G12">
            <v>118</v>
          </cell>
          <cell r="H12">
            <v>76</v>
          </cell>
          <cell r="I12">
            <v>0</v>
          </cell>
          <cell r="J12">
            <v>0</v>
          </cell>
          <cell r="K12">
            <v>0</v>
          </cell>
          <cell r="L12">
            <v>0</v>
          </cell>
          <cell r="M12">
            <v>0</v>
          </cell>
          <cell r="N12">
            <v>0</v>
          </cell>
        </row>
        <row r="13">
          <cell r="A13">
            <v>408151</v>
          </cell>
          <cell r="B13" t="str">
            <v>Federal Unemployment Tax</v>
          </cell>
          <cell r="C13">
            <v>154</v>
          </cell>
          <cell r="D13">
            <v>4078</v>
          </cell>
          <cell r="E13">
            <v>-530</v>
          </cell>
          <cell r="F13">
            <v>-757</v>
          </cell>
          <cell r="G13">
            <v>948</v>
          </cell>
          <cell r="H13">
            <v>956</v>
          </cell>
          <cell r="I13">
            <v>0</v>
          </cell>
          <cell r="J13">
            <v>0</v>
          </cell>
          <cell r="K13">
            <v>0</v>
          </cell>
          <cell r="L13">
            <v>0</v>
          </cell>
          <cell r="M13">
            <v>0</v>
          </cell>
          <cell r="N13">
            <v>0</v>
          </cell>
        </row>
        <row r="14">
          <cell r="A14">
            <v>408152</v>
          </cell>
          <cell r="B14" t="str">
            <v>Employer FICA Tax</v>
          </cell>
          <cell r="C14">
            <v>75800</v>
          </cell>
          <cell r="D14">
            <v>82942</v>
          </cell>
          <cell r="E14">
            <v>70849</v>
          </cell>
          <cell r="F14">
            <v>96625</v>
          </cell>
          <cell r="G14">
            <v>72094</v>
          </cell>
          <cell r="H14">
            <v>85401</v>
          </cell>
          <cell r="I14">
            <v>0</v>
          </cell>
          <cell r="J14">
            <v>0</v>
          </cell>
          <cell r="K14">
            <v>0</v>
          </cell>
          <cell r="L14">
            <v>0</v>
          </cell>
          <cell r="M14">
            <v>0</v>
          </cell>
          <cell r="N14">
            <v>0</v>
          </cell>
        </row>
        <row r="15">
          <cell r="A15">
            <v>408153</v>
          </cell>
          <cell r="B15" t="str">
            <v>Employer Local Tax</v>
          </cell>
          <cell r="C15">
            <v>109780</v>
          </cell>
          <cell r="D15">
            <v>87491</v>
          </cell>
          <cell r="E15">
            <v>3</v>
          </cell>
          <cell r="F15">
            <v>75800</v>
          </cell>
          <cell r="G15">
            <v>82942</v>
          </cell>
          <cell r="H15">
            <v>0</v>
          </cell>
          <cell r="I15">
            <v>0</v>
          </cell>
          <cell r="J15">
            <v>0</v>
          </cell>
          <cell r="K15">
            <v>0</v>
          </cell>
          <cell r="L15">
            <v>0</v>
          </cell>
          <cell r="M15">
            <v>0</v>
          </cell>
          <cell r="N15">
            <v>0</v>
          </cell>
        </row>
        <row r="16">
          <cell r="A16">
            <v>408205</v>
          </cell>
          <cell r="B16" t="str">
            <v>Highway Use Tax</v>
          </cell>
          <cell r="C16">
            <v>0</v>
          </cell>
          <cell r="D16">
            <v>26</v>
          </cell>
          <cell r="F16">
            <v>0</v>
          </cell>
          <cell r="G16">
            <v>29</v>
          </cell>
          <cell r="H16">
            <v>3</v>
          </cell>
          <cell r="I16">
            <v>0</v>
          </cell>
          <cell r="J16">
            <v>0</v>
          </cell>
          <cell r="K16">
            <v>0</v>
          </cell>
          <cell r="L16">
            <v>0</v>
          </cell>
          <cell r="M16">
            <v>0</v>
          </cell>
          <cell r="N16">
            <v>0</v>
          </cell>
        </row>
        <row r="17">
          <cell r="A17">
            <v>408470</v>
          </cell>
          <cell r="B17" t="str">
            <v>Franchise Tax</v>
          </cell>
          <cell r="C17">
            <v>24171</v>
          </cell>
          <cell r="D17">
            <v>126</v>
          </cell>
          <cell r="E17">
            <v>778</v>
          </cell>
          <cell r="F17">
            <v>3407</v>
          </cell>
          <cell r="G17">
            <v>26</v>
          </cell>
          <cell r="H17">
            <v>2272</v>
          </cell>
          <cell r="I17">
            <v>0</v>
          </cell>
          <cell r="J17">
            <v>0</v>
          </cell>
          <cell r="K17">
            <v>0</v>
          </cell>
          <cell r="L17">
            <v>0</v>
          </cell>
          <cell r="M17">
            <v>0</v>
          </cell>
          <cell r="N17">
            <v>0</v>
          </cell>
        </row>
        <row r="18">
          <cell r="A18">
            <v>408700</v>
          </cell>
          <cell r="B18" t="str">
            <v>Fed Social Security Tax-Elec</v>
          </cell>
          <cell r="C18">
            <v>5000</v>
          </cell>
          <cell r="E18">
            <v>11266</v>
          </cell>
          <cell r="F18">
            <v>-15000</v>
          </cell>
          <cell r="I18">
            <v>0</v>
          </cell>
          <cell r="J18">
            <v>0</v>
          </cell>
          <cell r="K18">
            <v>0</v>
          </cell>
          <cell r="L18">
            <v>0</v>
          </cell>
          <cell r="M18">
            <v>0</v>
          </cell>
          <cell r="N18">
            <v>0</v>
          </cell>
        </row>
        <row r="19">
          <cell r="A19">
            <v>408800</v>
          </cell>
          <cell r="B19" t="str">
            <v>Federal Highway Use Tax-Elec</v>
          </cell>
          <cell r="C19">
            <v>-17000</v>
          </cell>
          <cell r="D19">
            <v>3</v>
          </cell>
          <cell r="E19">
            <v>7000</v>
          </cell>
          <cell r="F19">
            <v>1</v>
          </cell>
          <cell r="G19">
            <v>0</v>
          </cell>
          <cell r="I19">
            <v>0</v>
          </cell>
          <cell r="J19">
            <v>0</v>
          </cell>
          <cell r="K19">
            <v>0</v>
          </cell>
          <cell r="L19">
            <v>0</v>
          </cell>
          <cell r="M19">
            <v>0</v>
          </cell>
          <cell r="N19">
            <v>0</v>
          </cell>
        </row>
        <row r="20">
          <cell r="A20">
            <v>408851</v>
          </cell>
          <cell r="B20" t="str">
            <v>Sales &amp; Use Tax Exp</v>
          </cell>
          <cell r="C20">
            <v>4</v>
          </cell>
          <cell r="E20">
            <v>-1</v>
          </cell>
          <cell r="F20">
            <v>0</v>
          </cell>
          <cell r="G20">
            <v>-195</v>
          </cell>
          <cell r="H20">
            <v>0</v>
          </cell>
          <cell r="I20">
            <v>0</v>
          </cell>
          <cell r="J20">
            <v>0</v>
          </cell>
          <cell r="K20">
            <v>0</v>
          </cell>
          <cell r="L20">
            <v>0</v>
          </cell>
          <cell r="M20">
            <v>0</v>
          </cell>
          <cell r="N20">
            <v>0</v>
          </cell>
        </row>
        <row r="21">
          <cell r="A21">
            <v>408960</v>
          </cell>
          <cell r="B21" t="str">
            <v>Allocated Payroll Taxes</v>
          </cell>
          <cell r="C21">
            <v>148212</v>
          </cell>
          <cell r="D21">
            <v>159781</v>
          </cell>
          <cell r="E21">
            <v>83928</v>
          </cell>
          <cell r="F21">
            <v>-68933</v>
          </cell>
          <cell r="G21">
            <v>82143</v>
          </cell>
          <cell r="H21">
            <v>80643</v>
          </cell>
          <cell r="I21">
            <v>168235</v>
          </cell>
          <cell r="J21">
            <v>167983</v>
          </cell>
          <cell r="K21">
            <v>166305</v>
          </cell>
          <cell r="L21">
            <v>192529</v>
          </cell>
          <cell r="M21">
            <v>173511</v>
          </cell>
          <cell r="N21">
            <v>167703</v>
          </cell>
        </row>
        <row r="22">
          <cell r="A22">
            <v>409102</v>
          </cell>
          <cell r="B22" t="str">
            <v>Sit Exp-Utility</v>
          </cell>
          <cell r="C22">
            <v>-52908</v>
          </cell>
          <cell r="D22">
            <v>-52908</v>
          </cell>
          <cell r="E22">
            <v>-52908</v>
          </cell>
          <cell r="F22">
            <v>-52908</v>
          </cell>
          <cell r="G22">
            <v>-52908</v>
          </cell>
          <cell r="H22">
            <v>-52908</v>
          </cell>
          <cell r="I22">
            <v>-52908</v>
          </cell>
          <cell r="J22">
            <v>-52908</v>
          </cell>
          <cell r="K22">
            <v>-52908</v>
          </cell>
          <cell r="L22">
            <v>-52908</v>
          </cell>
          <cell r="M22">
            <v>-52908</v>
          </cell>
          <cell r="N22">
            <v>-52904</v>
          </cell>
        </row>
        <row r="23">
          <cell r="A23">
            <v>409104</v>
          </cell>
          <cell r="B23" t="str">
            <v>Current State Income Tax - PY</v>
          </cell>
          <cell r="C23">
            <v>-546785</v>
          </cell>
          <cell r="D23">
            <v>11036</v>
          </cell>
          <cell r="E23">
            <v>-160356</v>
          </cell>
          <cell r="F23">
            <v>-441314</v>
          </cell>
          <cell r="H23">
            <v>-373827</v>
          </cell>
          <cell r="I23">
            <v>0</v>
          </cell>
          <cell r="J23">
            <v>0</v>
          </cell>
          <cell r="K23">
            <v>0</v>
          </cell>
          <cell r="L23">
            <v>0</v>
          </cell>
          <cell r="M23">
            <v>0</v>
          </cell>
          <cell r="N23">
            <v>0</v>
          </cell>
        </row>
        <row r="24">
          <cell r="A24">
            <v>409190</v>
          </cell>
          <cell r="B24" t="str">
            <v>Federal Income Tax-Electric-CY</v>
          </cell>
          <cell r="C24">
            <v>-1644844</v>
          </cell>
          <cell r="D24">
            <v>-1644844</v>
          </cell>
          <cell r="E24">
            <v>-1644844</v>
          </cell>
          <cell r="F24">
            <v>-1644844</v>
          </cell>
          <cell r="G24">
            <v>-1644844</v>
          </cell>
          <cell r="H24">
            <v>-1644844</v>
          </cell>
          <cell r="I24">
            <v>-1644844</v>
          </cell>
          <cell r="J24">
            <v>-1644844</v>
          </cell>
          <cell r="K24">
            <v>-1644844</v>
          </cell>
          <cell r="L24">
            <v>-1644844</v>
          </cell>
          <cell r="M24">
            <v>-1644844</v>
          </cell>
          <cell r="N24">
            <v>-1644845</v>
          </cell>
        </row>
        <row r="25">
          <cell r="A25">
            <v>409191</v>
          </cell>
          <cell r="B25" t="str">
            <v>Fed Income Tax-Electric-PY</v>
          </cell>
          <cell r="C25">
            <v>0</v>
          </cell>
          <cell r="D25">
            <v>-157858</v>
          </cell>
          <cell r="E25">
            <v>-1634431</v>
          </cell>
          <cell r="F25">
            <v>472159</v>
          </cell>
          <cell r="H25">
            <v>-4903344</v>
          </cell>
          <cell r="I25">
            <v>0</v>
          </cell>
          <cell r="J25">
            <v>0</v>
          </cell>
          <cell r="K25">
            <v>0</v>
          </cell>
          <cell r="L25">
            <v>0</v>
          </cell>
          <cell r="M25">
            <v>0</v>
          </cell>
          <cell r="N25">
            <v>0</v>
          </cell>
        </row>
        <row r="26">
          <cell r="A26">
            <v>409194</v>
          </cell>
          <cell r="B26" t="str">
            <v>Current FIT Elec - PY Audit</v>
          </cell>
          <cell r="C26">
            <v>-197047</v>
          </cell>
          <cell r="D26">
            <v>0</v>
          </cell>
          <cell r="E26">
            <v>0</v>
          </cell>
          <cell r="F26">
            <v>0</v>
          </cell>
          <cell r="I26">
            <v>0</v>
          </cell>
          <cell r="J26">
            <v>0</v>
          </cell>
          <cell r="K26">
            <v>0</v>
          </cell>
          <cell r="L26">
            <v>0</v>
          </cell>
          <cell r="M26">
            <v>0</v>
          </cell>
          <cell r="N26">
            <v>0</v>
          </cell>
        </row>
        <row r="27">
          <cell r="A27">
            <v>409195</v>
          </cell>
          <cell r="B27" t="str">
            <v>UTP Tax Expense: Fed Util-PY</v>
          </cell>
          <cell r="C27">
            <v>0</v>
          </cell>
          <cell r="F27">
            <v>-197047</v>
          </cell>
          <cell r="I27">
            <v>0</v>
          </cell>
          <cell r="J27">
            <v>0</v>
          </cell>
          <cell r="K27">
            <v>0</v>
          </cell>
          <cell r="L27">
            <v>0</v>
          </cell>
          <cell r="M27">
            <v>0</v>
          </cell>
          <cell r="N27">
            <v>0</v>
          </cell>
        </row>
        <row r="28">
          <cell r="A28">
            <v>409197</v>
          </cell>
          <cell r="B28" t="str">
            <v>Current State Inc Tax-Util</v>
          </cell>
          <cell r="C28">
            <v>562990</v>
          </cell>
          <cell r="D28">
            <v>0</v>
          </cell>
          <cell r="E28">
            <v>0</v>
          </cell>
          <cell r="F28">
            <v>0</v>
          </cell>
          <cell r="I28">
            <v>0</v>
          </cell>
          <cell r="J28">
            <v>0</v>
          </cell>
          <cell r="K28">
            <v>0</v>
          </cell>
          <cell r="L28">
            <v>0</v>
          </cell>
          <cell r="M28">
            <v>0</v>
          </cell>
          <cell r="N28">
            <v>0</v>
          </cell>
        </row>
        <row r="29">
          <cell r="A29">
            <v>410100</v>
          </cell>
          <cell r="B29" t="str">
            <v>DFIT: Utility: Current Year</v>
          </cell>
          <cell r="C29">
            <v>2907670</v>
          </cell>
          <cell r="D29">
            <v>2907670</v>
          </cell>
          <cell r="E29">
            <v>2907670</v>
          </cell>
          <cell r="F29">
            <v>2907670</v>
          </cell>
          <cell r="G29">
            <v>2907670</v>
          </cell>
          <cell r="H29">
            <v>2907670</v>
          </cell>
          <cell r="I29">
            <v>2907670</v>
          </cell>
          <cell r="J29">
            <v>2907670</v>
          </cell>
          <cell r="K29">
            <v>2907670</v>
          </cell>
          <cell r="L29">
            <v>2907670</v>
          </cell>
          <cell r="M29">
            <v>2907670</v>
          </cell>
          <cell r="N29">
            <v>2907673</v>
          </cell>
        </row>
        <row r="30">
          <cell r="A30">
            <v>410102</v>
          </cell>
          <cell r="B30" t="str">
            <v>DSIT: Utility: Current Year</v>
          </cell>
          <cell r="C30">
            <v>265871</v>
          </cell>
          <cell r="D30">
            <v>265871</v>
          </cell>
          <cell r="E30">
            <v>265871</v>
          </cell>
          <cell r="F30">
            <v>265871</v>
          </cell>
          <cell r="G30">
            <v>265871</v>
          </cell>
          <cell r="H30">
            <v>265871</v>
          </cell>
          <cell r="I30">
            <v>265871</v>
          </cell>
          <cell r="J30">
            <v>265871</v>
          </cell>
          <cell r="K30">
            <v>265871</v>
          </cell>
          <cell r="L30">
            <v>265871</v>
          </cell>
          <cell r="M30">
            <v>265871</v>
          </cell>
          <cell r="N30">
            <v>265872</v>
          </cell>
        </row>
        <row r="31">
          <cell r="A31">
            <v>410105</v>
          </cell>
          <cell r="B31" t="str">
            <v>DFIT: Utility: Prior Year</v>
          </cell>
          <cell r="C31">
            <v>0</v>
          </cell>
          <cell r="D31">
            <v>495261</v>
          </cell>
          <cell r="E31">
            <v>589810</v>
          </cell>
          <cell r="F31">
            <v>0</v>
          </cell>
          <cell r="H31">
            <v>1599600</v>
          </cell>
          <cell r="I31">
            <v>0</v>
          </cell>
          <cell r="J31">
            <v>0</v>
          </cell>
          <cell r="K31">
            <v>0</v>
          </cell>
          <cell r="L31">
            <v>0</v>
          </cell>
          <cell r="M31">
            <v>0</v>
          </cell>
          <cell r="N31">
            <v>0</v>
          </cell>
        </row>
        <row r="32">
          <cell r="A32">
            <v>410106</v>
          </cell>
          <cell r="B32" t="str">
            <v>DSIT: Utility: Prior Year</v>
          </cell>
          <cell r="C32">
            <v>0</v>
          </cell>
          <cell r="D32">
            <v>0</v>
          </cell>
          <cell r="E32">
            <v>0</v>
          </cell>
          <cell r="F32">
            <v>0</v>
          </cell>
          <cell r="I32">
            <v>0</v>
          </cell>
          <cell r="J32">
            <v>0</v>
          </cell>
          <cell r="K32">
            <v>0</v>
          </cell>
          <cell r="L32">
            <v>0</v>
          </cell>
          <cell r="M32">
            <v>0</v>
          </cell>
          <cell r="N32">
            <v>0</v>
          </cell>
        </row>
        <row r="33">
          <cell r="A33">
            <v>411050</v>
          </cell>
          <cell r="B33" t="str">
            <v>Accretion Expense ARO</v>
          </cell>
          <cell r="C33">
            <v>0</v>
          </cell>
          <cell r="D33">
            <v>444330</v>
          </cell>
          <cell r="E33">
            <v>0</v>
          </cell>
          <cell r="F33">
            <v>0</v>
          </cell>
          <cell r="I33">
            <v>0</v>
          </cell>
          <cell r="J33">
            <v>0</v>
          </cell>
          <cell r="K33">
            <v>0</v>
          </cell>
          <cell r="L33">
            <v>0</v>
          </cell>
          <cell r="M33">
            <v>0</v>
          </cell>
          <cell r="N33">
            <v>0</v>
          </cell>
        </row>
        <row r="34">
          <cell r="A34">
            <v>411051</v>
          </cell>
          <cell r="B34" t="str">
            <v>Accretion Expense-ARO Ash Pond</v>
          </cell>
          <cell r="C34">
            <v>0</v>
          </cell>
          <cell r="D34">
            <v>0</v>
          </cell>
          <cell r="E34">
            <v>0</v>
          </cell>
          <cell r="F34">
            <v>0</v>
          </cell>
          <cell r="I34">
            <v>0</v>
          </cell>
          <cell r="J34">
            <v>0</v>
          </cell>
          <cell r="K34">
            <v>0</v>
          </cell>
          <cell r="L34">
            <v>0</v>
          </cell>
          <cell r="M34">
            <v>0</v>
          </cell>
          <cell r="N34">
            <v>0</v>
          </cell>
        </row>
        <row r="35">
          <cell r="A35">
            <v>411100</v>
          </cell>
          <cell r="B35" t="str">
            <v>DFIT: Utility: Curr Year CR</v>
          </cell>
          <cell r="C35">
            <v>0</v>
          </cell>
          <cell r="D35">
            <v>0</v>
          </cell>
          <cell r="E35">
            <v>0</v>
          </cell>
          <cell r="F35">
            <v>0</v>
          </cell>
          <cell r="G35">
            <v>0</v>
          </cell>
          <cell r="H35">
            <v>0</v>
          </cell>
          <cell r="I35">
            <v>0</v>
          </cell>
          <cell r="J35">
            <v>0</v>
          </cell>
          <cell r="K35">
            <v>0</v>
          </cell>
          <cell r="L35">
            <v>0</v>
          </cell>
          <cell r="M35">
            <v>0</v>
          </cell>
          <cell r="N35">
            <v>0</v>
          </cell>
        </row>
        <row r="36">
          <cell r="A36">
            <v>411101</v>
          </cell>
          <cell r="B36" t="str">
            <v>DSIT: Utility: Curr Year CR</v>
          </cell>
          <cell r="C36">
            <v>0</v>
          </cell>
          <cell r="D36">
            <v>0</v>
          </cell>
          <cell r="E36">
            <v>0</v>
          </cell>
          <cell r="F36">
            <v>0</v>
          </cell>
          <cell r="G36">
            <v>0</v>
          </cell>
          <cell r="H36">
            <v>0</v>
          </cell>
          <cell r="I36">
            <v>0</v>
          </cell>
          <cell r="J36">
            <v>0</v>
          </cell>
          <cell r="K36">
            <v>0</v>
          </cell>
          <cell r="L36">
            <v>0</v>
          </cell>
          <cell r="M36">
            <v>0</v>
          </cell>
          <cell r="N36">
            <v>0</v>
          </cell>
        </row>
        <row r="37">
          <cell r="A37">
            <v>411102</v>
          </cell>
          <cell r="B37" t="str">
            <v>DFIT: Utility: Prior Year CR</v>
          </cell>
          <cell r="C37">
            <v>0</v>
          </cell>
          <cell r="D37">
            <v>-363256</v>
          </cell>
          <cell r="E37">
            <v>-783055</v>
          </cell>
          <cell r="F37">
            <v>0</v>
          </cell>
          <cell r="H37">
            <v>-723963</v>
          </cell>
          <cell r="I37">
            <v>0</v>
          </cell>
          <cell r="J37">
            <v>0</v>
          </cell>
          <cell r="K37">
            <v>0</v>
          </cell>
          <cell r="L37">
            <v>0</v>
          </cell>
          <cell r="M37">
            <v>0</v>
          </cell>
          <cell r="N37">
            <v>0</v>
          </cell>
        </row>
        <row r="38">
          <cell r="A38">
            <v>411103</v>
          </cell>
          <cell r="B38" t="str">
            <v>DSIT: Utility: Prior Year CR</v>
          </cell>
          <cell r="C38">
            <v>0</v>
          </cell>
          <cell r="D38">
            <v>-158687</v>
          </cell>
          <cell r="E38">
            <v>0</v>
          </cell>
          <cell r="F38">
            <v>0</v>
          </cell>
          <cell r="I38">
            <v>0</v>
          </cell>
          <cell r="J38">
            <v>0</v>
          </cell>
          <cell r="K38">
            <v>0</v>
          </cell>
          <cell r="L38">
            <v>0</v>
          </cell>
          <cell r="M38">
            <v>0</v>
          </cell>
          <cell r="N38">
            <v>0</v>
          </cell>
        </row>
        <row r="39">
          <cell r="A39">
            <v>411410</v>
          </cell>
          <cell r="B39" t="str">
            <v>Invest Tax Credit Adj-Electric</v>
          </cell>
          <cell r="C39">
            <v>-1786</v>
          </cell>
          <cell r="D39">
            <v>-924</v>
          </cell>
          <cell r="E39">
            <v>-924</v>
          </cell>
          <cell r="F39">
            <v>-924</v>
          </cell>
          <cell r="G39">
            <v>-924</v>
          </cell>
          <cell r="H39">
            <v>-924</v>
          </cell>
          <cell r="I39">
            <v>-924</v>
          </cell>
          <cell r="J39">
            <v>-924</v>
          </cell>
          <cell r="K39">
            <v>-924</v>
          </cell>
          <cell r="L39">
            <v>-924</v>
          </cell>
          <cell r="M39">
            <v>-924</v>
          </cell>
          <cell r="N39">
            <v>-924</v>
          </cell>
        </row>
        <row r="40">
          <cell r="A40">
            <v>426510</v>
          </cell>
          <cell r="B40" t="str">
            <v>Other</v>
          </cell>
          <cell r="C40">
            <v>-1047271</v>
          </cell>
          <cell r="D40">
            <v>0</v>
          </cell>
          <cell r="E40">
            <v>0</v>
          </cell>
          <cell r="F40">
            <v>71623</v>
          </cell>
          <cell r="G40">
            <v>-22433</v>
          </cell>
          <cell r="H40">
            <v>0</v>
          </cell>
          <cell r="I40">
            <v>58301</v>
          </cell>
          <cell r="J40">
            <v>-15084</v>
          </cell>
          <cell r="K40">
            <v>6751</v>
          </cell>
          <cell r="L40">
            <v>16356</v>
          </cell>
          <cell r="M40">
            <v>-82565</v>
          </cell>
          <cell r="N40">
            <v>-95575</v>
          </cell>
        </row>
        <row r="41">
          <cell r="A41">
            <v>426891</v>
          </cell>
          <cell r="B41" t="str">
            <v>IC Sale of AR Fees VIE</v>
          </cell>
          <cell r="C41">
            <v>32204</v>
          </cell>
          <cell r="D41">
            <v>39962</v>
          </cell>
          <cell r="E41">
            <v>42164</v>
          </cell>
          <cell r="F41">
            <v>38315</v>
          </cell>
          <cell r="G41">
            <v>40189</v>
          </cell>
          <cell r="H41">
            <v>36773</v>
          </cell>
          <cell r="I41">
            <v>25607</v>
          </cell>
          <cell r="J41">
            <v>27842</v>
          </cell>
          <cell r="K41">
            <v>27250</v>
          </cell>
          <cell r="L41">
            <v>0</v>
          </cell>
          <cell r="M41">
            <v>0</v>
          </cell>
          <cell r="N41">
            <v>0</v>
          </cell>
        </row>
        <row r="42">
          <cell r="A42">
            <v>440000</v>
          </cell>
          <cell r="B42" t="str">
            <v>Residential</v>
          </cell>
          <cell r="C42">
            <v>10764634</v>
          </cell>
          <cell r="D42">
            <v>12874646</v>
          </cell>
          <cell r="E42">
            <v>10127950</v>
          </cell>
          <cell r="F42">
            <v>9085273</v>
          </cell>
          <cell r="G42">
            <v>7915095</v>
          </cell>
          <cell r="H42">
            <v>7508314</v>
          </cell>
          <cell r="I42">
            <v>9469175</v>
          </cell>
          <cell r="J42">
            <v>12395394</v>
          </cell>
          <cell r="K42">
            <v>12702058</v>
          </cell>
          <cell r="L42">
            <v>11569355</v>
          </cell>
          <cell r="M42">
            <v>8185453</v>
          </cell>
          <cell r="N42">
            <v>8109915</v>
          </cell>
        </row>
        <row r="43">
          <cell r="A43">
            <v>440990</v>
          </cell>
          <cell r="B43" t="str">
            <v>Residential Unbilled Rev</v>
          </cell>
          <cell r="C43">
            <v>1212394</v>
          </cell>
          <cell r="D43">
            <v>-1263731</v>
          </cell>
          <cell r="E43">
            <v>-836672</v>
          </cell>
          <cell r="F43">
            <v>-528078</v>
          </cell>
          <cell r="G43">
            <v>-339258</v>
          </cell>
          <cell r="H43">
            <v>784453</v>
          </cell>
          <cell r="I43">
            <v>1101729</v>
          </cell>
          <cell r="J43">
            <v>234596</v>
          </cell>
          <cell r="K43">
            <v>-851777</v>
          </cell>
          <cell r="L43">
            <v>-2926539</v>
          </cell>
          <cell r="M43">
            <v>-67129</v>
          </cell>
          <cell r="N43">
            <v>1082282</v>
          </cell>
        </row>
        <row r="44">
          <cell r="A44">
            <v>442100</v>
          </cell>
          <cell r="B44" t="str">
            <v>General Service</v>
          </cell>
          <cell r="C44">
            <v>9044777</v>
          </cell>
          <cell r="D44">
            <v>9229396</v>
          </cell>
          <cell r="E44">
            <v>8637290</v>
          </cell>
          <cell r="F44">
            <v>8398799</v>
          </cell>
          <cell r="G44">
            <v>8187325</v>
          </cell>
          <cell r="H44">
            <v>8137893</v>
          </cell>
          <cell r="I44">
            <v>9474717</v>
          </cell>
          <cell r="J44">
            <v>10323797</v>
          </cell>
          <cell r="K44">
            <v>10314310</v>
          </cell>
          <cell r="L44">
            <v>10200665</v>
          </cell>
          <cell r="M44">
            <v>8945849</v>
          </cell>
          <cell r="N44">
            <v>8634526</v>
          </cell>
        </row>
        <row r="45">
          <cell r="A45">
            <v>442190</v>
          </cell>
          <cell r="B45" t="str">
            <v>General Service Unbilled Rev</v>
          </cell>
          <cell r="C45">
            <v>-134486</v>
          </cell>
          <cell r="D45">
            <v>-235686</v>
          </cell>
          <cell r="E45">
            <v>-289852</v>
          </cell>
          <cell r="F45">
            <v>106074</v>
          </cell>
          <cell r="G45">
            <v>-21272</v>
          </cell>
          <cell r="H45">
            <v>223617</v>
          </cell>
          <cell r="I45">
            <v>588408</v>
          </cell>
          <cell r="J45">
            <v>375156</v>
          </cell>
          <cell r="K45">
            <v>-108433</v>
          </cell>
          <cell r="L45">
            <v>-370491</v>
          </cell>
          <cell r="M45">
            <v>201645</v>
          </cell>
          <cell r="N45">
            <v>-211025</v>
          </cell>
        </row>
        <row r="46">
          <cell r="A46">
            <v>442200</v>
          </cell>
          <cell r="B46" t="str">
            <v>Industrial Service</v>
          </cell>
          <cell r="C46">
            <v>4183045</v>
          </cell>
          <cell r="D46">
            <v>3985183</v>
          </cell>
          <cell r="E46">
            <v>4020096</v>
          </cell>
          <cell r="F46">
            <v>3928177</v>
          </cell>
          <cell r="G46">
            <v>3887686</v>
          </cell>
          <cell r="H46">
            <v>3929156</v>
          </cell>
          <cell r="I46">
            <v>4612828</v>
          </cell>
          <cell r="J46">
            <v>4698988</v>
          </cell>
          <cell r="K46">
            <v>4686098</v>
          </cell>
          <cell r="L46">
            <v>4682103</v>
          </cell>
          <cell r="M46">
            <v>4527381</v>
          </cell>
          <cell r="N46">
            <v>4443138</v>
          </cell>
        </row>
        <row r="47">
          <cell r="A47">
            <v>442290</v>
          </cell>
          <cell r="B47" t="str">
            <v>Industrial Svc Unbilled Rev</v>
          </cell>
          <cell r="C47">
            <v>-153749</v>
          </cell>
          <cell r="D47">
            <v>15961</v>
          </cell>
          <cell r="E47">
            <v>-218848</v>
          </cell>
          <cell r="F47">
            <v>136596</v>
          </cell>
          <cell r="G47">
            <v>-102759</v>
          </cell>
          <cell r="H47">
            <v>162141</v>
          </cell>
          <cell r="I47">
            <v>94679</v>
          </cell>
          <cell r="J47">
            <v>9994</v>
          </cell>
          <cell r="K47">
            <v>15835</v>
          </cell>
          <cell r="L47">
            <v>70916</v>
          </cell>
          <cell r="M47">
            <v>-20930</v>
          </cell>
          <cell r="N47">
            <v>-17901</v>
          </cell>
        </row>
        <row r="48">
          <cell r="A48">
            <v>444000</v>
          </cell>
          <cell r="B48" t="str">
            <v>Public St &amp; Highway Lighting</v>
          </cell>
          <cell r="C48">
            <v>136237</v>
          </cell>
          <cell r="D48">
            <v>116540</v>
          </cell>
          <cell r="E48">
            <v>135023</v>
          </cell>
          <cell r="F48">
            <v>131291</v>
          </cell>
          <cell r="G48">
            <v>130149</v>
          </cell>
          <cell r="H48">
            <v>127100</v>
          </cell>
          <cell r="I48">
            <v>133952</v>
          </cell>
          <cell r="J48">
            <v>137708</v>
          </cell>
          <cell r="K48">
            <v>137324</v>
          </cell>
          <cell r="L48">
            <v>138581</v>
          </cell>
          <cell r="M48">
            <v>136305</v>
          </cell>
          <cell r="N48">
            <v>137774</v>
          </cell>
        </row>
        <row r="49">
          <cell r="A49">
            <v>445000</v>
          </cell>
          <cell r="B49" t="str">
            <v>Other Sales to Public Auth</v>
          </cell>
          <cell r="C49">
            <v>1709352</v>
          </cell>
          <cell r="D49">
            <v>1715247</v>
          </cell>
          <cell r="E49">
            <v>1574174</v>
          </cell>
          <cell r="F49">
            <v>1646049</v>
          </cell>
          <cell r="G49">
            <v>1517430</v>
          </cell>
          <cell r="H49">
            <v>1560495</v>
          </cell>
          <cell r="I49">
            <v>1770066</v>
          </cell>
          <cell r="J49">
            <v>1834370</v>
          </cell>
          <cell r="K49">
            <v>1901140</v>
          </cell>
          <cell r="L49">
            <v>2009173</v>
          </cell>
          <cell r="M49">
            <v>1793742</v>
          </cell>
          <cell r="N49">
            <v>1682453</v>
          </cell>
        </row>
        <row r="50">
          <cell r="A50">
            <v>445090</v>
          </cell>
          <cell r="B50" t="str">
            <v>OPA Unbilled</v>
          </cell>
          <cell r="C50">
            <v>-61084</v>
          </cell>
          <cell r="D50">
            <v>-10057</v>
          </cell>
          <cell r="E50">
            <v>-114799</v>
          </cell>
          <cell r="F50">
            <v>44432</v>
          </cell>
          <cell r="G50">
            <v>-50026</v>
          </cell>
          <cell r="H50">
            <v>63810</v>
          </cell>
          <cell r="I50">
            <v>108023</v>
          </cell>
          <cell r="J50">
            <v>65849</v>
          </cell>
          <cell r="K50">
            <v>49795</v>
          </cell>
          <cell r="L50">
            <v>-89899</v>
          </cell>
          <cell r="M50">
            <v>24909</v>
          </cell>
          <cell r="N50">
            <v>-63736</v>
          </cell>
        </row>
        <row r="51">
          <cell r="A51">
            <v>447150</v>
          </cell>
          <cell r="B51" t="str">
            <v>Sales For Resale - Outside</v>
          </cell>
          <cell r="C51">
            <v>2931217</v>
          </cell>
          <cell r="D51">
            <v>1775211</v>
          </cell>
          <cell r="E51">
            <v>1608680</v>
          </cell>
          <cell r="F51">
            <v>3515082</v>
          </cell>
          <cell r="G51">
            <v>2495303</v>
          </cell>
          <cell r="H51">
            <v>1297999</v>
          </cell>
          <cell r="I51">
            <v>672000</v>
          </cell>
          <cell r="J51">
            <v>835000</v>
          </cell>
          <cell r="K51">
            <v>716000</v>
          </cell>
          <cell r="L51">
            <v>619000</v>
          </cell>
          <cell r="M51">
            <v>898000</v>
          </cell>
          <cell r="N51">
            <v>569000</v>
          </cell>
        </row>
        <row r="52">
          <cell r="A52">
            <v>448000</v>
          </cell>
          <cell r="B52" t="str">
            <v>Interdepartmental Sales-Elec</v>
          </cell>
          <cell r="C52">
            <v>2467</v>
          </cell>
          <cell r="D52">
            <v>9022</v>
          </cell>
          <cell r="E52">
            <v>11880</v>
          </cell>
          <cell r="F52">
            <v>33871</v>
          </cell>
          <cell r="G52">
            <v>-26351</v>
          </cell>
          <cell r="H52">
            <v>2070</v>
          </cell>
          <cell r="I52">
            <v>2989</v>
          </cell>
          <cell r="J52">
            <v>4290</v>
          </cell>
          <cell r="K52">
            <v>3891</v>
          </cell>
          <cell r="L52">
            <v>1790</v>
          </cell>
          <cell r="M52">
            <v>1935</v>
          </cell>
          <cell r="N52">
            <v>4220</v>
          </cell>
        </row>
        <row r="53">
          <cell r="A53">
            <v>449100</v>
          </cell>
          <cell r="B53" t="str">
            <v>Provisions For Rate Refunds</v>
          </cell>
          <cell r="C53">
            <v>-379172</v>
          </cell>
          <cell r="D53">
            <v>93347</v>
          </cell>
          <cell r="E53">
            <v>225359</v>
          </cell>
          <cell r="F53">
            <v>-308596</v>
          </cell>
          <cell r="G53">
            <v>257601</v>
          </cell>
          <cell r="H53">
            <v>684721</v>
          </cell>
          <cell r="I53">
            <v>0</v>
          </cell>
          <cell r="J53">
            <v>0</v>
          </cell>
          <cell r="K53">
            <v>0</v>
          </cell>
          <cell r="L53">
            <v>0</v>
          </cell>
          <cell r="M53">
            <v>0</v>
          </cell>
          <cell r="N53">
            <v>0</v>
          </cell>
        </row>
        <row r="54">
          <cell r="A54">
            <v>450100</v>
          </cell>
          <cell r="B54" t="str">
            <v>Late Pmt and Forf Disc</v>
          </cell>
          <cell r="C54">
            <v>0</v>
          </cell>
          <cell r="D54">
            <v>16973</v>
          </cell>
          <cell r="E54">
            <v>24025</v>
          </cell>
          <cell r="F54">
            <v>0</v>
          </cell>
          <cell r="G54">
            <v>19479</v>
          </cell>
          <cell r="H54">
            <v>18855</v>
          </cell>
          <cell r="I54">
            <v>0</v>
          </cell>
          <cell r="J54">
            <v>0</v>
          </cell>
          <cell r="K54">
            <v>0</v>
          </cell>
          <cell r="L54">
            <v>0</v>
          </cell>
          <cell r="M54">
            <v>0</v>
          </cell>
          <cell r="N54">
            <v>0</v>
          </cell>
        </row>
        <row r="55">
          <cell r="A55">
            <v>451100</v>
          </cell>
          <cell r="B55" t="str">
            <v>Misc Service Revenue</v>
          </cell>
          <cell r="C55">
            <v>26203</v>
          </cell>
          <cell r="D55">
            <v>19479</v>
          </cell>
          <cell r="E55">
            <v>18855</v>
          </cell>
          <cell r="F55">
            <v>18420</v>
          </cell>
          <cell r="G55">
            <v>23169</v>
          </cell>
          <cell r="H55">
            <v>29563</v>
          </cell>
          <cell r="I55">
            <v>24792</v>
          </cell>
          <cell r="J55">
            <v>24792</v>
          </cell>
          <cell r="K55">
            <v>24792</v>
          </cell>
          <cell r="L55">
            <v>24792</v>
          </cell>
          <cell r="M55">
            <v>24792</v>
          </cell>
          <cell r="N55">
            <v>24792</v>
          </cell>
        </row>
        <row r="56">
          <cell r="A56">
            <v>453625</v>
          </cell>
          <cell r="B56" t="str">
            <v>Intercompany Sales of Water</v>
          </cell>
          <cell r="C56">
            <v>85000</v>
          </cell>
          <cell r="D56">
            <v>9819</v>
          </cell>
          <cell r="E56">
            <v>9819</v>
          </cell>
          <cell r="F56">
            <v>9819</v>
          </cell>
          <cell r="G56">
            <v>0</v>
          </cell>
          <cell r="H56">
            <v>0</v>
          </cell>
          <cell r="I56">
            <v>0</v>
          </cell>
          <cell r="J56">
            <v>0</v>
          </cell>
          <cell r="K56">
            <v>0</v>
          </cell>
          <cell r="L56">
            <v>0</v>
          </cell>
          <cell r="M56">
            <v>0</v>
          </cell>
          <cell r="N56">
            <v>0</v>
          </cell>
        </row>
        <row r="57">
          <cell r="A57">
            <v>454200</v>
          </cell>
          <cell r="B57" t="str">
            <v>Pole &amp; Line Attachments</v>
          </cell>
          <cell r="C57">
            <v>231</v>
          </cell>
          <cell r="D57">
            <v>32539</v>
          </cell>
          <cell r="E57">
            <v>0</v>
          </cell>
          <cell r="F57">
            <v>36</v>
          </cell>
          <cell r="G57">
            <v>85</v>
          </cell>
          <cell r="H57">
            <v>113</v>
          </cell>
          <cell r="I57">
            <v>14167</v>
          </cell>
          <cell r="J57">
            <v>14167</v>
          </cell>
          <cell r="K57">
            <v>14167</v>
          </cell>
          <cell r="L57">
            <v>14167</v>
          </cell>
          <cell r="M57">
            <v>14167</v>
          </cell>
          <cell r="N57">
            <v>14167</v>
          </cell>
        </row>
        <row r="58">
          <cell r="A58">
            <v>454300</v>
          </cell>
          <cell r="B58" t="str">
            <v>Tower Lease Revenues</v>
          </cell>
          <cell r="C58">
            <v>231</v>
          </cell>
          <cell r="D58">
            <v>231</v>
          </cell>
          <cell r="E58">
            <v>231</v>
          </cell>
          <cell r="F58">
            <v>0</v>
          </cell>
          <cell r="G58">
            <v>231</v>
          </cell>
          <cell r="H58">
            <v>231</v>
          </cell>
          <cell r="I58">
            <v>0</v>
          </cell>
          <cell r="J58">
            <v>0</v>
          </cell>
          <cell r="K58">
            <v>0</v>
          </cell>
          <cell r="L58">
            <v>0</v>
          </cell>
          <cell r="M58">
            <v>0</v>
          </cell>
          <cell r="N58">
            <v>0</v>
          </cell>
        </row>
        <row r="59">
          <cell r="A59">
            <v>454400</v>
          </cell>
          <cell r="B59" t="str">
            <v>Other Electric Rents</v>
          </cell>
          <cell r="C59">
            <v>32503</v>
          </cell>
          <cell r="D59">
            <v>80504</v>
          </cell>
          <cell r="E59">
            <v>66175</v>
          </cell>
          <cell r="F59">
            <v>73505</v>
          </cell>
          <cell r="G59">
            <v>73073</v>
          </cell>
          <cell r="H59">
            <v>75582</v>
          </cell>
          <cell r="I59">
            <v>88167</v>
          </cell>
          <cell r="J59">
            <v>88167</v>
          </cell>
          <cell r="K59">
            <v>88167</v>
          </cell>
          <cell r="L59">
            <v>88167</v>
          </cell>
          <cell r="M59">
            <v>88167</v>
          </cell>
          <cell r="N59">
            <v>88167</v>
          </cell>
        </row>
        <row r="60">
          <cell r="A60">
            <v>454601</v>
          </cell>
          <cell r="B60" t="str">
            <v>Other Miscellaneous</v>
          </cell>
          <cell r="C60">
            <v>125181</v>
          </cell>
          <cell r="D60">
            <v>250140</v>
          </cell>
          <cell r="E60">
            <v>217219</v>
          </cell>
          <cell r="F60">
            <v>66722</v>
          </cell>
          <cell r="G60">
            <v>172028</v>
          </cell>
          <cell r="H60">
            <v>20831</v>
          </cell>
          <cell r="I60">
            <v>0</v>
          </cell>
          <cell r="J60">
            <v>0</v>
          </cell>
          <cell r="K60">
            <v>0</v>
          </cell>
          <cell r="L60">
            <v>0</v>
          </cell>
          <cell r="M60">
            <v>0</v>
          </cell>
          <cell r="N60">
            <v>0</v>
          </cell>
        </row>
        <row r="61">
          <cell r="A61">
            <v>456025</v>
          </cell>
          <cell r="B61" t="str">
            <v>RSG Rev - MISO Make Whole</v>
          </cell>
          <cell r="C61">
            <v>66722</v>
          </cell>
          <cell r="D61">
            <v>172028</v>
          </cell>
          <cell r="E61">
            <v>20831</v>
          </cell>
          <cell r="F61">
            <v>222875</v>
          </cell>
          <cell r="G61">
            <v>20</v>
          </cell>
          <cell r="H61">
            <v>52195</v>
          </cell>
          <cell r="I61">
            <v>0</v>
          </cell>
          <cell r="J61">
            <v>0</v>
          </cell>
          <cell r="K61">
            <v>0</v>
          </cell>
          <cell r="L61">
            <v>0</v>
          </cell>
          <cell r="M61">
            <v>0</v>
          </cell>
          <cell r="N61">
            <v>0</v>
          </cell>
        </row>
        <row r="62">
          <cell r="A62">
            <v>456040</v>
          </cell>
          <cell r="B62" t="str">
            <v>Sales Use Tax Coll Fee</v>
          </cell>
          <cell r="C62">
            <v>50</v>
          </cell>
          <cell r="D62">
            <v>50</v>
          </cell>
          <cell r="E62">
            <v>50</v>
          </cell>
          <cell r="F62">
            <v>50</v>
          </cell>
          <cell r="G62">
            <v>50</v>
          </cell>
          <cell r="H62">
            <v>50</v>
          </cell>
          <cell r="I62">
            <v>0</v>
          </cell>
          <cell r="J62">
            <v>0</v>
          </cell>
          <cell r="K62">
            <v>0</v>
          </cell>
          <cell r="L62">
            <v>0</v>
          </cell>
          <cell r="M62">
            <v>0</v>
          </cell>
          <cell r="N62">
            <v>0</v>
          </cell>
        </row>
        <row r="63">
          <cell r="A63">
            <v>456110</v>
          </cell>
          <cell r="B63" t="str">
            <v>Transmission Charge PTP</v>
          </cell>
          <cell r="C63">
            <v>5041</v>
          </cell>
          <cell r="D63">
            <v>5369</v>
          </cell>
          <cell r="E63">
            <v>6684</v>
          </cell>
          <cell r="F63">
            <v>4763</v>
          </cell>
          <cell r="G63">
            <v>3621</v>
          </cell>
          <cell r="H63">
            <v>4619</v>
          </cell>
          <cell r="I63">
            <v>12083</v>
          </cell>
          <cell r="J63">
            <v>12083</v>
          </cell>
          <cell r="K63">
            <v>12083</v>
          </cell>
          <cell r="L63">
            <v>12083</v>
          </cell>
          <cell r="M63">
            <v>12083</v>
          </cell>
          <cell r="N63">
            <v>12083</v>
          </cell>
        </row>
        <row r="64">
          <cell r="A64">
            <v>456111</v>
          </cell>
          <cell r="B64" t="str">
            <v>Other Transmission Revenues</v>
          </cell>
          <cell r="C64">
            <v>304346</v>
          </cell>
          <cell r="D64">
            <v>60201</v>
          </cell>
          <cell r="E64">
            <v>-3379</v>
          </cell>
          <cell r="F64">
            <v>-552</v>
          </cell>
          <cell r="G64">
            <v>-43274</v>
          </cell>
          <cell r="H64">
            <v>121038</v>
          </cell>
          <cell r="I64">
            <v>227410</v>
          </cell>
          <cell r="J64">
            <v>227410</v>
          </cell>
          <cell r="K64">
            <v>227410</v>
          </cell>
          <cell r="L64">
            <v>227410</v>
          </cell>
          <cell r="M64">
            <v>227410</v>
          </cell>
          <cell r="N64">
            <v>227410</v>
          </cell>
        </row>
        <row r="65">
          <cell r="A65">
            <v>456610</v>
          </cell>
          <cell r="B65" t="str">
            <v>Other Electric Revenues</v>
          </cell>
          <cell r="C65">
            <v>6291</v>
          </cell>
          <cell r="D65">
            <v>15633</v>
          </cell>
          <cell r="E65">
            <v>0</v>
          </cell>
          <cell r="F65">
            <v>4447</v>
          </cell>
          <cell r="G65">
            <v>0</v>
          </cell>
          <cell r="H65">
            <v>0</v>
          </cell>
          <cell r="I65">
            <v>0</v>
          </cell>
          <cell r="J65">
            <v>0</v>
          </cell>
          <cell r="K65">
            <v>0</v>
          </cell>
          <cell r="L65">
            <v>0</v>
          </cell>
          <cell r="M65">
            <v>0</v>
          </cell>
          <cell r="N65">
            <v>0</v>
          </cell>
        </row>
        <row r="66">
          <cell r="A66">
            <v>456970</v>
          </cell>
          <cell r="B66" t="str">
            <v>Wheel Transmission Rev - ED</v>
          </cell>
          <cell r="C66">
            <v>4447</v>
          </cell>
          <cell r="D66">
            <v>5764</v>
          </cell>
          <cell r="E66">
            <v>5591</v>
          </cell>
          <cell r="F66">
            <v>4961</v>
          </cell>
          <cell r="G66">
            <v>5195</v>
          </cell>
          <cell r="H66">
            <v>4031</v>
          </cell>
          <cell r="I66">
            <v>2042</v>
          </cell>
          <cell r="J66">
            <v>2042</v>
          </cell>
          <cell r="K66">
            <v>2042</v>
          </cell>
          <cell r="L66">
            <v>2042</v>
          </cell>
          <cell r="M66">
            <v>2042</v>
          </cell>
          <cell r="N66">
            <v>2042</v>
          </cell>
        </row>
        <row r="67">
          <cell r="A67">
            <v>457100</v>
          </cell>
          <cell r="B67" t="str">
            <v>SC Direct PT Offset</v>
          </cell>
          <cell r="C67">
            <v>0</v>
          </cell>
          <cell r="F67">
            <v>0</v>
          </cell>
          <cell r="H67">
            <v>65634</v>
          </cell>
          <cell r="I67">
            <v>0</v>
          </cell>
          <cell r="J67">
            <v>0</v>
          </cell>
          <cell r="K67">
            <v>0</v>
          </cell>
          <cell r="L67">
            <v>0</v>
          </cell>
          <cell r="M67">
            <v>0</v>
          </cell>
          <cell r="N67">
            <v>0</v>
          </cell>
        </row>
        <row r="68">
          <cell r="A68">
            <v>457105</v>
          </cell>
          <cell r="B68" t="str">
            <v>Scheduling &amp; Dispatch Revenues</v>
          </cell>
          <cell r="E68">
            <v>65634</v>
          </cell>
          <cell r="F68">
            <v>13302</v>
          </cell>
          <cell r="G68">
            <v>-1</v>
          </cell>
          <cell r="H68">
            <v>15078</v>
          </cell>
          <cell r="I68">
            <v>0</v>
          </cell>
          <cell r="J68">
            <v>0</v>
          </cell>
          <cell r="K68">
            <v>0</v>
          </cell>
          <cell r="L68">
            <v>0</v>
          </cell>
          <cell r="M68">
            <v>0</v>
          </cell>
          <cell r="N68">
            <v>0</v>
          </cell>
        </row>
        <row r="69">
          <cell r="A69">
            <v>457204</v>
          </cell>
          <cell r="B69" t="str">
            <v>PJM Reactive Rev</v>
          </cell>
          <cell r="C69">
            <v>1100470</v>
          </cell>
          <cell r="D69">
            <v>24057</v>
          </cell>
          <cell r="E69">
            <v>-45057</v>
          </cell>
          <cell r="F69">
            <v>622802</v>
          </cell>
          <cell r="G69">
            <v>177769</v>
          </cell>
          <cell r="H69">
            <v>156769</v>
          </cell>
          <cell r="I69">
            <v>0</v>
          </cell>
          <cell r="J69">
            <v>0</v>
          </cell>
          <cell r="K69">
            <v>0</v>
          </cell>
          <cell r="L69">
            <v>0</v>
          </cell>
          <cell r="M69">
            <v>0</v>
          </cell>
          <cell r="N69">
            <v>0</v>
          </cell>
        </row>
        <row r="70">
          <cell r="A70">
            <v>500000</v>
          </cell>
          <cell r="B70" t="str">
            <v>Suprvsn and Engrg - Steam Oper</v>
          </cell>
          <cell r="C70">
            <v>358766</v>
          </cell>
          <cell r="D70">
            <v>216246</v>
          </cell>
          <cell r="E70">
            <v>312104</v>
          </cell>
          <cell r="F70">
            <v>154115</v>
          </cell>
          <cell r="G70">
            <v>309876</v>
          </cell>
          <cell r="H70">
            <v>256734</v>
          </cell>
          <cell r="I70">
            <v>98265</v>
          </cell>
          <cell r="J70">
            <v>97670</v>
          </cell>
          <cell r="K70">
            <v>100798</v>
          </cell>
          <cell r="L70">
            <v>105976</v>
          </cell>
          <cell r="M70">
            <v>98780</v>
          </cell>
          <cell r="N70">
            <v>99289</v>
          </cell>
        </row>
        <row r="71">
          <cell r="A71">
            <v>501110</v>
          </cell>
          <cell r="B71" t="str">
            <v>Coal Consumed-Fossil Steam</v>
          </cell>
          <cell r="C71">
            <v>6189750</v>
          </cell>
          <cell r="D71">
            <v>9352399</v>
          </cell>
          <cell r="E71">
            <v>7368099</v>
          </cell>
          <cell r="F71">
            <v>9054528</v>
          </cell>
          <cell r="G71">
            <v>7688931</v>
          </cell>
          <cell r="H71">
            <v>6127845</v>
          </cell>
          <cell r="I71">
            <v>6782000</v>
          </cell>
          <cell r="J71">
            <v>7394000</v>
          </cell>
          <cell r="K71">
            <v>7443000</v>
          </cell>
          <cell r="L71">
            <v>6486000</v>
          </cell>
          <cell r="M71">
            <v>6642000</v>
          </cell>
          <cell r="N71">
            <v>6452000</v>
          </cell>
        </row>
        <row r="72">
          <cell r="A72">
            <v>501150</v>
          </cell>
          <cell r="B72" t="str">
            <v>Coal &amp; Other Fuel Handling</v>
          </cell>
          <cell r="C72">
            <v>478191</v>
          </cell>
          <cell r="D72">
            <v>64236</v>
          </cell>
          <cell r="E72">
            <v>115658</v>
          </cell>
          <cell r="F72">
            <v>108966</v>
          </cell>
          <cell r="G72">
            <v>131337</v>
          </cell>
          <cell r="H72">
            <v>113379</v>
          </cell>
          <cell r="I72">
            <v>138863</v>
          </cell>
          <cell r="J72">
            <v>138291</v>
          </cell>
          <cell r="K72">
            <v>138442</v>
          </cell>
          <cell r="L72">
            <v>156236</v>
          </cell>
          <cell r="M72">
            <v>138199</v>
          </cell>
          <cell r="N72">
            <v>138351</v>
          </cell>
        </row>
        <row r="73">
          <cell r="A73">
            <v>501160</v>
          </cell>
          <cell r="B73" t="str">
            <v>Coal Sampling &amp; Testing</v>
          </cell>
          <cell r="C73">
            <v>165710</v>
          </cell>
          <cell r="D73">
            <v>205413</v>
          </cell>
          <cell r="E73">
            <v>188228</v>
          </cell>
          <cell r="F73">
            <v>188048</v>
          </cell>
          <cell r="G73">
            <v>14255</v>
          </cell>
          <cell r="H73">
            <v>22671</v>
          </cell>
          <cell r="I73">
            <v>0</v>
          </cell>
          <cell r="J73">
            <v>0</v>
          </cell>
          <cell r="K73">
            <v>0</v>
          </cell>
          <cell r="L73">
            <v>0</v>
          </cell>
          <cell r="M73">
            <v>0</v>
          </cell>
          <cell r="N73">
            <v>0</v>
          </cell>
        </row>
        <row r="74">
          <cell r="A74">
            <v>501190</v>
          </cell>
          <cell r="B74" t="str">
            <v>Sale Of Fly Ash-Expenses</v>
          </cell>
          <cell r="C74">
            <v>188048</v>
          </cell>
          <cell r="D74">
            <v>14255</v>
          </cell>
          <cell r="E74">
            <v>22671</v>
          </cell>
          <cell r="F74">
            <v>31111</v>
          </cell>
          <cell r="G74">
            <v>19429</v>
          </cell>
          <cell r="H74">
            <v>32435</v>
          </cell>
          <cell r="I74">
            <v>195475</v>
          </cell>
          <cell r="J74">
            <v>195475</v>
          </cell>
          <cell r="K74">
            <v>195475</v>
          </cell>
          <cell r="L74">
            <v>195475</v>
          </cell>
          <cell r="M74">
            <v>195475</v>
          </cell>
          <cell r="N74">
            <v>195475</v>
          </cell>
        </row>
        <row r="75">
          <cell r="A75">
            <v>501310</v>
          </cell>
          <cell r="B75" t="str">
            <v>Oil Consumed-Fossil Steam</v>
          </cell>
          <cell r="C75">
            <v>223682</v>
          </cell>
          <cell r="D75">
            <v>275115</v>
          </cell>
          <cell r="E75">
            <v>116257</v>
          </cell>
          <cell r="F75">
            <v>48065</v>
          </cell>
          <cell r="G75">
            <v>-120684</v>
          </cell>
          <cell r="H75">
            <v>154017</v>
          </cell>
          <cell r="I75">
            <v>0</v>
          </cell>
          <cell r="J75">
            <v>0</v>
          </cell>
          <cell r="K75">
            <v>0</v>
          </cell>
          <cell r="L75">
            <v>0</v>
          </cell>
          <cell r="M75">
            <v>0</v>
          </cell>
          <cell r="N75">
            <v>0</v>
          </cell>
        </row>
        <row r="76">
          <cell r="A76">
            <v>501350</v>
          </cell>
          <cell r="B76" t="str">
            <v>Oil Handling Expense</v>
          </cell>
          <cell r="C76">
            <v>0</v>
          </cell>
          <cell r="D76">
            <v>0</v>
          </cell>
          <cell r="E76">
            <v>0</v>
          </cell>
          <cell r="F76">
            <v>0</v>
          </cell>
          <cell r="H76">
            <v>0</v>
          </cell>
          <cell r="I76">
            <v>0</v>
          </cell>
          <cell r="J76">
            <v>0</v>
          </cell>
          <cell r="K76">
            <v>0</v>
          </cell>
          <cell r="L76">
            <v>0</v>
          </cell>
          <cell r="M76">
            <v>0</v>
          </cell>
          <cell r="N76">
            <v>0</v>
          </cell>
        </row>
        <row r="77">
          <cell r="A77">
            <v>501996</v>
          </cell>
          <cell r="B77" t="str">
            <v>Fuel Expense</v>
          </cell>
          <cell r="C77">
            <v>0</v>
          </cell>
          <cell r="D77">
            <v>788414</v>
          </cell>
          <cell r="E77">
            <v>0</v>
          </cell>
          <cell r="F77">
            <v>0</v>
          </cell>
          <cell r="G77">
            <v>899842</v>
          </cell>
          <cell r="H77">
            <v>0</v>
          </cell>
          <cell r="I77">
            <v>567000</v>
          </cell>
          <cell r="J77">
            <v>659000</v>
          </cell>
          <cell r="K77">
            <v>729000</v>
          </cell>
          <cell r="L77">
            <v>676000</v>
          </cell>
          <cell r="M77">
            <v>909000</v>
          </cell>
          <cell r="N77">
            <v>495000</v>
          </cell>
        </row>
        <row r="78">
          <cell r="A78">
            <v>502040</v>
          </cell>
          <cell r="B78" t="str">
            <v>COST OF LIME</v>
          </cell>
          <cell r="C78">
            <v>565241</v>
          </cell>
          <cell r="D78">
            <v>899842</v>
          </cell>
          <cell r="E78">
            <v>657316</v>
          </cell>
          <cell r="F78">
            <v>956771</v>
          </cell>
          <cell r="G78">
            <v>558101</v>
          </cell>
          <cell r="H78">
            <v>526570</v>
          </cell>
          <cell r="I78">
            <v>-37902</v>
          </cell>
          <cell r="J78">
            <v>272981</v>
          </cell>
          <cell r="K78">
            <v>315881</v>
          </cell>
          <cell r="L78">
            <v>-257220</v>
          </cell>
          <cell r="M78">
            <v>-355321</v>
          </cell>
          <cell r="N78">
            <v>261344</v>
          </cell>
        </row>
        <row r="79">
          <cell r="A79">
            <v>502070</v>
          </cell>
          <cell r="B79" t="str">
            <v>Gypsum</v>
          </cell>
          <cell r="C79">
            <v>437760</v>
          </cell>
          <cell r="D79">
            <v>351847</v>
          </cell>
          <cell r="E79">
            <v>454309</v>
          </cell>
          <cell r="F79">
            <v>276235</v>
          </cell>
          <cell r="G79">
            <v>335629</v>
          </cell>
          <cell r="H79">
            <v>260804</v>
          </cell>
          <cell r="I79">
            <v>5000</v>
          </cell>
          <cell r="J79">
            <v>5000</v>
          </cell>
          <cell r="K79">
            <v>5000</v>
          </cell>
          <cell r="L79">
            <v>5000</v>
          </cell>
          <cell r="M79">
            <v>5000</v>
          </cell>
          <cell r="N79">
            <v>0</v>
          </cell>
        </row>
        <row r="80">
          <cell r="A80">
            <v>502100</v>
          </cell>
          <cell r="B80" t="str">
            <v>Fossil Steam Exp-Other</v>
          </cell>
          <cell r="C80">
            <v>276235</v>
          </cell>
          <cell r="D80">
            <v>335629</v>
          </cell>
          <cell r="E80">
            <v>260804</v>
          </cell>
          <cell r="F80">
            <v>340468</v>
          </cell>
          <cell r="G80">
            <v>300401</v>
          </cell>
          <cell r="H80">
            <v>346998</v>
          </cell>
          <cell r="I80">
            <v>798151</v>
          </cell>
          <cell r="J80">
            <v>905744</v>
          </cell>
          <cell r="K80">
            <v>921656</v>
          </cell>
          <cell r="L80">
            <v>829768</v>
          </cell>
          <cell r="M80">
            <v>693175</v>
          </cell>
          <cell r="N80">
            <v>899872</v>
          </cell>
        </row>
        <row r="81">
          <cell r="A81">
            <v>505000</v>
          </cell>
          <cell r="B81" t="str">
            <v>Electric Expenses-Steam Oper</v>
          </cell>
          <cell r="C81">
            <v>59590</v>
          </cell>
          <cell r="D81">
            <v>76168</v>
          </cell>
          <cell r="E81">
            <v>57068</v>
          </cell>
          <cell r="F81">
            <v>81114</v>
          </cell>
          <cell r="G81">
            <v>59996</v>
          </cell>
          <cell r="H81">
            <v>66195</v>
          </cell>
          <cell r="I81">
            <v>44824</v>
          </cell>
          <cell r="J81">
            <v>44823</v>
          </cell>
          <cell r="K81">
            <v>44961</v>
          </cell>
          <cell r="L81">
            <v>64325</v>
          </cell>
          <cell r="M81">
            <v>44739</v>
          </cell>
          <cell r="N81">
            <v>44878</v>
          </cell>
        </row>
        <row r="82">
          <cell r="A82">
            <v>506000</v>
          </cell>
          <cell r="B82" t="str">
            <v>Misc Fossil Power Expenses</v>
          </cell>
          <cell r="C82">
            <v>441290</v>
          </cell>
          <cell r="D82">
            <v>75530</v>
          </cell>
          <cell r="E82">
            <v>143951</v>
          </cell>
          <cell r="F82">
            <v>137200</v>
          </cell>
          <cell r="G82">
            <v>142327</v>
          </cell>
          <cell r="H82">
            <v>107698</v>
          </cell>
          <cell r="I82">
            <v>114575</v>
          </cell>
          <cell r="J82">
            <v>166005</v>
          </cell>
          <cell r="K82">
            <v>108638</v>
          </cell>
          <cell r="L82">
            <v>124526</v>
          </cell>
          <cell r="M82">
            <v>164940</v>
          </cell>
          <cell r="N82">
            <v>111101</v>
          </cell>
        </row>
        <row r="83">
          <cell r="A83">
            <v>509030</v>
          </cell>
          <cell r="B83" t="str">
            <v>SO2 Emission Expense</v>
          </cell>
          <cell r="C83">
            <v>68</v>
          </cell>
          <cell r="D83">
            <v>53</v>
          </cell>
          <cell r="E83">
            <v>49</v>
          </cell>
          <cell r="F83">
            <v>38</v>
          </cell>
          <cell r="G83">
            <v>49</v>
          </cell>
          <cell r="H83">
            <v>45</v>
          </cell>
          <cell r="I83">
            <v>84</v>
          </cell>
          <cell r="J83">
            <v>89</v>
          </cell>
          <cell r="K83">
            <v>94</v>
          </cell>
          <cell r="L83">
            <v>82</v>
          </cell>
          <cell r="M83">
            <v>84</v>
          </cell>
          <cell r="N83">
            <v>82</v>
          </cell>
        </row>
        <row r="84">
          <cell r="A84">
            <v>509210</v>
          </cell>
          <cell r="B84" t="str">
            <v>Seasonal NOx Emission Expense</v>
          </cell>
          <cell r="C84">
            <v>-54</v>
          </cell>
          <cell r="D84">
            <v>2793</v>
          </cell>
          <cell r="E84">
            <v>-11</v>
          </cell>
          <cell r="F84">
            <v>11</v>
          </cell>
          <cell r="G84">
            <v>2315</v>
          </cell>
          <cell r="H84">
            <v>1028</v>
          </cell>
          <cell r="I84">
            <v>2374</v>
          </cell>
          <cell r="J84">
            <v>2561</v>
          </cell>
          <cell r="K84">
            <v>2670</v>
          </cell>
          <cell r="L84">
            <v>2305</v>
          </cell>
          <cell r="M84">
            <v>0</v>
          </cell>
          <cell r="N84">
            <v>0</v>
          </cell>
        </row>
        <row r="85">
          <cell r="A85">
            <v>509212</v>
          </cell>
          <cell r="B85" t="str">
            <v>Annual NOx Emission Expense</v>
          </cell>
          <cell r="C85">
            <v>2678</v>
          </cell>
          <cell r="D85">
            <v>2315</v>
          </cell>
          <cell r="E85">
            <v>1028</v>
          </cell>
          <cell r="F85">
            <v>703</v>
          </cell>
          <cell r="G85">
            <v>629</v>
          </cell>
          <cell r="H85">
            <v>537</v>
          </cell>
          <cell r="I85">
            <v>0</v>
          </cell>
          <cell r="J85">
            <v>0</v>
          </cell>
          <cell r="K85">
            <v>0</v>
          </cell>
          <cell r="L85">
            <v>0</v>
          </cell>
          <cell r="M85">
            <v>0</v>
          </cell>
          <cell r="N85">
            <v>0</v>
          </cell>
        </row>
        <row r="86">
          <cell r="A86">
            <v>510000</v>
          </cell>
          <cell r="B86" t="str">
            <v>Suprvsn and Engrng-Steam Maint</v>
          </cell>
          <cell r="C86">
            <v>171031</v>
          </cell>
          <cell r="D86">
            <v>157470</v>
          </cell>
          <cell r="E86">
            <v>153293</v>
          </cell>
          <cell r="F86">
            <v>134684</v>
          </cell>
          <cell r="G86">
            <v>139015</v>
          </cell>
          <cell r="H86">
            <v>158412</v>
          </cell>
          <cell r="I86">
            <v>183461</v>
          </cell>
          <cell r="J86">
            <v>183458</v>
          </cell>
          <cell r="K86">
            <v>183972</v>
          </cell>
          <cell r="L86">
            <v>181829</v>
          </cell>
          <cell r="M86">
            <v>189123</v>
          </cell>
          <cell r="N86">
            <v>183661</v>
          </cell>
        </row>
        <row r="87">
          <cell r="A87">
            <v>510100</v>
          </cell>
          <cell r="B87" t="str">
            <v>Suprvsn &amp; Engrng-Steam Maint R</v>
          </cell>
          <cell r="C87">
            <v>4239</v>
          </cell>
          <cell r="D87">
            <v>1368</v>
          </cell>
          <cell r="E87">
            <v>2830</v>
          </cell>
          <cell r="F87">
            <v>3110</v>
          </cell>
          <cell r="G87">
            <v>2208</v>
          </cell>
          <cell r="H87">
            <v>3046</v>
          </cell>
          <cell r="I87">
            <v>3891</v>
          </cell>
          <cell r="J87">
            <v>3892</v>
          </cell>
          <cell r="K87">
            <v>3893</v>
          </cell>
          <cell r="L87">
            <v>3892</v>
          </cell>
          <cell r="M87">
            <v>3893</v>
          </cell>
          <cell r="N87">
            <v>3892</v>
          </cell>
        </row>
        <row r="88">
          <cell r="A88">
            <v>511000</v>
          </cell>
          <cell r="B88" t="str">
            <v>Maint Of Structures-Steam</v>
          </cell>
          <cell r="C88">
            <v>284649</v>
          </cell>
          <cell r="D88">
            <v>281469</v>
          </cell>
          <cell r="E88">
            <v>275899</v>
          </cell>
          <cell r="F88">
            <v>530210</v>
          </cell>
          <cell r="G88">
            <v>319727</v>
          </cell>
          <cell r="H88">
            <v>348412</v>
          </cell>
          <cell r="I88">
            <v>237200</v>
          </cell>
          <cell r="J88">
            <v>237232</v>
          </cell>
          <cell r="K88">
            <v>237396</v>
          </cell>
          <cell r="L88">
            <v>263003</v>
          </cell>
          <cell r="M88">
            <v>237086</v>
          </cell>
          <cell r="N88">
            <v>238040</v>
          </cell>
        </row>
        <row r="89">
          <cell r="A89">
            <v>512100</v>
          </cell>
          <cell r="B89" t="str">
            <v>Maint Of Boiler Plant-Other</v>
          </cell>
          <cell r="C89">
            <v>483448</v>
          </cell>
          <cell r="D89">
            <v>509567</v>
          </cell>
          <cell r="E89">
            <v>469542</v>
          </cell>
          <cell r="F89">
            <v>626293</v>
          </cell>
          <cell r="G89">
            <v>389447</v>
          </cell>
          <cell r="H89">
            <v>615609</v>
          </cell>
          <cell r="I89">
            <v>447765</v>
          </cell>
          <cell r="J89">
            <v>377771</v>
          </cell>
          <cell r="K89">
            <v>378005</v>
          </cell>
          <cell r="L89">
            <v>414776</v>
          </cell>
          <cell r="M89">
            <v>397582</v>
          </cell>
          <cell r="N89">
            <v>407857</v>
          </cell>
        </row>
        <row r="90">
          <cell r="A90">
            <v>513100</v>
          </cell>
          <cell r="B90" t="str">
            <v>Maint Of Electric Plant-Other</v>
          </cell>
          <cell r="C90">
            <v>69752</v>
          </cell>
          <cell r="D90">
            <v>161743</v>
          </cell>
          <cell r="E90">
            <v>77787</v>
          </cell>
          <cell r="F90">
            <v>8025</v>
          </cell>
          <cell r="G90">
            <v>14451</v>
          </cell>
          <cell r="H90">
            <v>372294</v>
          </cell>
          <cell r="I90">
            <v>16477</v>
          </cell>
          <cell r="J90">
            <v>16489</v>
          </cell>
          <cell r="K90">
            <v>16451</v>
          </cell>
          <cell r="L90">
            <v>16428</v>
          </cell>
          <cell r="M90">
            <v>17824</v>
          </cell>
          <cell r="N90">
            <v>32899</v>
          </cell>
        </row>
        <row r="91">
          <cell r="A91">
            <v>514000</v>
          </cell>
          <cell r="B91" t="str">
            <v>Maintenance - Misc Steam Plant</v>
          </cell>
          <cell r="C91">
            <v>235239</v>
          </cell>
          <cell r="D91">
            <v>85988</v>
          </cell>
          <cell r="E91">
            <v>228980</v>
          </cell>
          <cell r="F91">
            <v>132808</v>
          </cell>
          <cell r="G91">
            <v>174130</v>
          </cell>
          <cell r="H91">
            <v>927328</v>
          </cell>
          <cell r="I91">
            <v>25609</v>
          </cell>
          <cell r="J91">
            <v>25611</v>
          </cell>
          <cell r="K91">
            <v>25671</v>
          </cell>
          <cell r="L91">
            <v>35338</v>
          </cell>
          <cell r="M91">
            <v>25560</v>
          </cell>
          <cell r="N91">
            <v>25633</v>
          </cell>
        </row>
        <row r="92">
          <cell r="A92">
            <v>514300</v>
          </cell>
          <cell r="B92" t="str">
            <v>Maintenance - Misc Steam Plant</v>
          </cell>
          <cell r="C92">
            <v>19</v>
          </cell>
          <cell r="D92">
            <v>46</v>
          </cell>
          <cell r="E92">
            <v>45</v>
          </cell>
          <cell r="F92">
            <v>57</v>
          </cell>
          <cell r="G92">
            <v>58</v>
          </cell>
          <cell r="H92">
            <v>47</v>
          </cell>
          <cell r="I92">
            <v>0</v>
          </cell>
          <cell r="J92">
            <v>0</v>
          </cell>
          <cell r="K92">
            <v>0</v>
          </cell>
          <cell r="L92">
            <v>0</v>
          </cell>
          <cell r="M92">
            <v>0</v>
          </cell>
          <cell r="N92">
            <v>0</v>
          </cell>
        </row>
        <row r="93">
          <cell r="A93">
            <v>546000</v>
          </cell>
          <cell r="B93" t="str">
            <v>Suprvsn and Enginring-CT Oper</v>
          </cell>
          <cell r="C93">
            <v>24593</v>
          </cell>
          <cell r="D93">
            <v>31995</v>
          </cell>
          <cell r="E93">
            <v>33079</v>
          </cell>
          <cell r="F93">
            <v>36570</v>
          </cell>
          <cell r="G93">
            <v>35102</v>
          </cell>
          <cell r="H93">
            <v>30953</v>
          </cell>
          <cell r="I93">
            <v>25705</v>
          </cell>
          <cell r="J93">
            <v>25710</v>
          </cell>
          <cell r="K93">
            <v>25761</v>
          </cell>
          <cell r="L93">
            <v>27256</v>
          </cell>
          <cell r="M93">
            <v>25681</v>
          </cell>
          <cell r="N93">
            <v>25727</v>
          </cell>
        </row>
        <row r="94">
          <cell r="A94">
            <v>547100</v>
          </cell>
          <cell r="B94" t="str">
            <v>Natural Gas</v>
          </cell>
          <cell r="C94">
            <v>-10659</v>
          </cell>
          <cell r="D94">
            <v>100590</v>
          </cell>
          <cell r="E94">
            <v>108101</v>
          </cell>
          <cell r="F94">
            <v>145050</v>
          </cell>
          <cell r="G94">
            <v>0</v>
          </cell>
          <cell r="H94">
            <v>355180</v>
          </cell>
          <cell r="I94">
            <v>0</v>
          </cell>
          <cell r="J94">
            <v>0</v>
          </cell>
          <cell r="K94">
            <v>0</v>
          </cell>
          <cell r="L94">
            <v>0</v>
          </cell>
          <cell r="M94">
            <v>0</v>
          </cell>
          <cell r="N94">
            <v>0</v>
          </cell>
        </row>
        <row r="95">
          <cell r="A95">
            <v>547150</v>
          </cell>
          <cell r="B95" t="str">
            <v>Natural Gas Handling-CT</v>
          </cell>
          <cell r="C95">
            <v>745</v>
          </cell>
          <cell r="D95">
            <v>897</v>
          </cell>
          <cell r="E95">
            <v>793</v>
          </cell>
          <cell r="F95">
            <v>876</v>
          </cell>
          <cell r="G95">
            <v>823</v>
          </cell>
          <cell r="H95">
            <v>1740</v>
          </cell>
          <cell r="I95">
            <v>968</v>
          </cell>
          <cell r="J95">
            <v>968</v>
          </cell>
          <cell r="K95">
            <v>968</v>
          </cell>
          <cell r="L95">
            <v>968</v>
          </cell>
          <cell r="M95">
            <v>968</v>
          </cell>
          <cell r="N95">
            <v>968</v>
          </cell>
        </row>
        <row r="96">
          <cell r="A96">
            <v>547701</v>
          </cell>
          <cell r="B96" t="str">
            <v>Propane Gas</v>
          </cell>
          <cell r="C96">
            <v>290</v>
          </cell>
          <cell r="D96">
            <v>457</v>
          </cell>
          <cell r="E96">
            <v>209</v>
          </cell>
          <cell r="F96">
            <v>254</v>
          </cell>
          <cell r="G96">
            <v>277</v>
          </cell>
          <cell r="H96">
            <v>326</v>
          </cell>
          <cell r="I96">
            <v>0</v>
          </cell>
          <cell r="J96">
            <v>0</v>
          </cell>
          <cell r="K96">
            <v>0</v>
          </cell>
          <cell r="L96">
            <v>0</v>
          </cell>
          <cell r="M96">
            <v>0</v>
          </cell>
          <cell r="N96">
            <v>0</v>
          </cell>
        </row>
        <row r="97">
          <cell r="A97">
            <v>548100</v>
          </cell>
          <cell r="B97" t="str">
            <v>Generation Expenses-Other CT</v>
          </cell>
          <cell r="C97">
            <v>517</v>
          </cell>
          <cell r="D97">
            <v>485</v>
          </cell>
          <cell r="E97">
            <v>237</v>
          </cell>
          <cell r="F97">
            <v>467</v>
          </cell>
          <cell r="G97">
            <v>507</v>
          </cell>
          <cell r="H97">
            <v>1481</v>
          </cell>
          <cell r="I97">
            <v>1972</v>
          </cell>
          <cell r="J97">
            <v>1903</v>
          </cell>
          <cell r="K97">
            <v>1861</v>
          </cell>
          <cell r="L97">
            <v>1971</v>
          </cell>
          <cell r="M97">
            <v>1840</v>
          </cell>
          <cell r="N97">
            <v>1861</v>
          </cell>
        </row>
        <row r="98">
          <cell r="A98">
            <v>548200</v>
          </cell>
          <cell r="B98" t="str">
            <v>Prime Movers - Generators- CT</v>
          </cell>
          <cell r="C98">
            <v>23156</v>
          </cell>
          <cell r="D98">
            <v>30205</v>
          </cell>
          <cell r="E98">
            <v>22235</v>
          </cell>
          <cell r="F98">
            <v>29867</v>
          </cell>
          <cell r="G98">
            <v>22347</v>
          </cell>
          <cell r="H98">
            <v>24017</v>
          </cell>
          <cell r="I98">
            <v>26278</v>
          </cell>
          <cell r="J98">
            <v>26277</v>
          </cell>
          <cell r="K98">
            <v>26367</v>
          </cell>
          <cell r="L98">
            <v>38952</v>
          </cell>
          <cell r="M98">
            <v>26223</v>
          </cell>
          <cell r="N98">
            <v>26313</v>
          </cell>
        </row>
        <row r="99">
          <cell r="A99">
            <v>549000</v>
          </cell>
          <cell r="B99" t="str">
            <v>Misc-Power Generation Expenses</v>
          </cell>
          <cell r="C99">
            <v>77739</v>
          </cell>
          <cell r="D99">
            <v>92270</v>
          </cell>
          <cell r="E99">
            <v>64503</v>
          </cell>
          <cell r="F99">
            <v>83156</v>
          </cell>
          <cell r="G99">
            <v>78211</v>
          </cell>
          <cell r="H99">
            <v>77214</v>
          </cell>
          <cell r="I99">
            <v>66335</v>
          </cell>
          <cell r="J99">
            <v>61413</v>
          </cell>
          <cell r="K99">
            <v>61249</v>
          </cell>
          <cell r="L99">
            <v>80557</v>
          </cell>
          <cell r="M99">
            <v>60960</v>
          </cell>
          <cell r="N99">
            <v>63688</v>
          </cell>
        </row>
        <row r="100">
          <cell r="A100">
            <v>551000</v>
          </cell>
          <cell r="B100" t="str">
            <v>Suprvsn and Enginring-CT Maint</v>
          </cell>
          <cell r="C100">
            <v>4305</v>
          </cell>
          <cell r="D100">
            <v>4695</v>
          </cell>
          <cell r="E100">
            <v>5054</v>
          </cell>
          <cell r="F100">
            <v>6371</v>
          </cell>
          <cell r="G100">
            <v>6426</v>
          </cell>
          <cell r="H100">
            <v>6861</v>
          </cell>
          <cell r="I100">
            <v>28705</v>
          </cell>
          <cell r="J100">
            <v>31409</v>
          </cell>
          <cell r="K100">
            <v>28777</v>
          </cell>
          <cell r="L100">
            <v>28552</v>
          </cell>
          <cell r="M100">
            <v>31365</v>
          </cell>
          <cell r="N100">
            <v>28733</v>
          </cell>
        </row>
        <row r="101">
          <cell r="A101">
            <v>552000</v>
          </cell>
          <cell r="B101" t="str">
            <v>Maintenance Of Structures-CT</v>
          </cell>
          <cell r="C101">
            <v>52452</v>
          </cell>
          <cell r="D101">
            <v>36454</v>
          </cell>
          <cell r="E101">
            <v>10251</v>
          </cell>
          <cell r="F101">
            <v>31361</v>
          </cell>
          <cell r="G101">
            <v>19298</v>
          </cell>
          <cell r="H101">
            <v>6571</v>
          </cell>
          <cell r="I101">
            <v>31984</v>
          </cell>
          <cell r="J101">
            <v>31984</v>
          </cell>
          <cell r="K101">
            <v>31983</v>
          </cell>
          <cell r="L101">
            <v>51982</v>
          </cell>
          <cell r="M101">
            <v>31983</v>
          </cell>
          <cell r="N101">
            <v>31983</v>
          </cell>
        </row>
        <row r="102">
          <cell r="A102">
            <v>553000</v>
          </cell>
          <cell r="B102" t="str">
            <v>Maint-Gentg and Elect Equip-CT</v>
          </cell>
          <cell r="C102">
            <v>1180961</v>
          </cell>
          <cell r="D102">
            <v>94694</v>
          </cell>
          <cell r="E102">
            <v>12375</v>
          </cell>
          <cell r="F102">
            <v>233974</v>
          </cell>
          <cell r="G102">
            <v>145592</v>
          </cell>
          <cell r="H102">
            <v>730193</v>
          </cell>
          <cell r="I102">
            <v>15572</v>
          </cell>
          <cell r="J102">
            <v>6521</v>
          </cell>
          <cell r="K102">
            <v>6424</v>
          </cell>
          <cell r="L102">
            <v>102482</v>
          </cell>
          <cell r="M102">
            <v>563067</v>
          </cell>
          <cell r="N102">
            <v>563121</v>
          </cell>
        </row>
        <row r="103">
          <cell r="A103">
            <v>554000</v>
          </cell>
          <cell r="B103" t="str">
            <v>Misc Power Generation Plant-CT</v>
          </cell>
          <cell r="C103">
            <v>19946</v>
          </cell>
          <cell r="D103">
            <v>18289</v>
          </cell>
          <cell r="E103">
            <v>24117</v>
          </cell>
          <cell r="F103">
            <v>32303</v>
          </cell>
          <cell r="G103">
            <v>23456</v>
          </cell>
          <cell r="H103">
            <v>16619</v>
          </cell>
          <cell r="I103">
            <v>11653</v>
          </cell>
          <cell r="J103">
            <v>11653</v>
          </cell>
          <cell r="K103">
            <v>11671</v>
          </cell>
          <cell r="L103">
            <v>14242</v>
          </cell>
          <cell r="M103">
            <v>11641</v>
          </cell>
          <cell r="N103">
            <v>11660</v>
          </cell>
        </row>
        <row r="104">
          <cell r="A104">
            <v>555028</v>
          </cell>
          <cell r="B104" t="str">
            <v>Purch Pwr - Non-native - net</v>
          </cell>
          <cell r="C104">
            <v>69722</v>
          </cell>
          <cell r="D104">
            <v>45814</v>
          </cell>
          <cell r="E104">
            <v>1250480</v>
          </cell>
          <cell r="F104">
            <v>67162</v>
          </cell>
          <cell r="G104">
            <v>426721</v>
          </cell>
          <cell r="H104">
            <v>848576</v>
          </cell>
          <cell r="I104">
            <v>0</v>
          </cell>
          <cell r="J104">
            <v>0</v>
          </cell>
          <cell r="K104">
            <v>0</v>
          </cell>
          <cell r="L104">
            <v>0</v>
          </cell>
          <cell r="M104">
            <v>0</v>
          </cell>
          <cell r="N104">
            <v>0</v>
          </cell>
        </row>
        <row r="105">
          <cell r="A105">
            <v>555190</v>
          </cell>
          <cell r="B105" t="str">
            <v>Capacity Purchase Expense</v>
          </cell>
          <cell r="C105">
            <v>64</v>
          </cell>
          <cell r="D105">
            <v>64</v>
          </cell>
          <cell r="E105">
            <v>79</v>
          </cell>
          <cell r="F105">
            <v>38</v>
          </cell>
          <cell r="G105">
            <v>169</v>
          </cell>
          <cell r="H105">
            <v>29</v>
          </cell>
          <cell r="I105">
            <v>24</v>
          </cell>
          <cell r="J105">
            <v>24</v>
          </cell>
          <cell r="K105">
            <v>24</v>
          </cell>
          <cell r="L105">
            <v>24</v>
          </cell>
          <cell r="M105">
            <v>24</v>
          </cell>
          <cell r="N105">
            <v>24</v>
          </cell>
        </row>
        <row r="106">
          <cell r="A106">
            <v>555202</v>
          </cell>
          <cell r="B106" t="str">
            <v>Purch Power-Fuel Clause</v>
          </cell>
          <cell r="C106">
            <v>7242320</v>
          </cell>
          <cell r="D106">
            <v>426721</v>
          </cell>
          <cell r="E106">
            <v>848576</v>
          </cell>
          <cell r="F106">
            <v>1411560</v>
          </cell>
          <cell r="G106">
            <v>638754</v>
          </cell>
          <cell r="H106">
            <v>3913284</v>
          </cell>
          <cell r="I106">
            <v>2620511</v>
          </cell>
          <cell r="J106">
            <v>3262156</v>
          </cell>
          <cell r="K106">
            <v>2318156</v>
          </cell>
          <cell r="L106">
            <v>1865511</v>
          </cell>
          <cell r="M106">
            <v>1074156</v>
          </cell>
          <cell r="N106">
            <v>1497511</v>
          </cell>
        </row>
        <row r="107">
          <cell r="A107">
            <v>556000</v>
          </cell>
          <cell r="B107" t="str">
            <v>System Cnts &amp; Load Dispatching</v>
          </cell>
          <cell r="C107">
            <v>38</v>
          </cell>
          <cell r="D107">
            <v>169</v>
          </cell>
          <cell r="E107">
            <v>29</v>
          </cell>
          <cell r="F107">
            <v>119</v>
          </cell>
          <cell r="G107">
            <v>168</v>
          </cell>
          <cell r="H107">
            <v>147</v>
          </cell>
          <cell r="I107">
            <v>24</v>
          </cell>
          <cell r="J107">
            <v>24</v>
          </cell>
          <cell r="K107">
            <v>24</v>
          </cell>
          <cell r="L107">
            <v>24</v>
          </cell>
          <cell r="M107">
            <v>24</v>
          </cell>
          <cell r="N107">
            <v>24</v>
          </cell>
        </row>
        <row r="108">
          <cell r="A108">
            <v>557000</v>
          </cell>
          <cell r="B108" t="str">
            <v>Other Expenses-Oper</v>
          </cell>
          <cell r="C108">
            <v>969469</v>
          </cell>
          <cell r="D108">
            <v>896361</v>
          </cell>
          <cell r="E108">
            <v>934137</v>
          </cell>
          <cell r="F108">
            <v>1141812</v>
          </cell>
          <cell r="G108">
            <v>1567993</v>
          </cell>
          <cell r="H108">
            <v>1478598</v>
          </cell>
          <cell r="I108">
            <v>788120</v>
          </cell>
          <cell r="J108">
            <v>932400</v>
          </cell>
          <cell r="K108">
            <v>825810</v>
          </cell>
          <cell r="L108">
            <v>772745</v>
          </cell>
          <cell r="M108">
            <v>875246</v>
          </cell>
          <cell r="N108">
            <v>612715</v>
          </cell>
        </row>
        <row r="109">
          <cell r="A109">
            <v>557450</v>
          </cell>
          <cell r="B109" t="str">
            <v>Commissions/Brokerage Expense</v>
          </cell>
          <cell r="C109">
            <v>3413</v>
          </cell>
          <cell r="D109">
            <v>3059</v>
          </cell>
          <cell r="E109">
            <v>2775</v>
          </cell>
          <cell r="F109">
            <v>2775</v>
          </cell>
          <cell r="G109">
            <v>3110</v>
          </cell>
          <cell r="H109">
            <v>2897</v>
          </cell>
          <cell r="I109">
            <v>0</v>
          </cell>
          <cell r="J109">
            <v>0</v>
          </cell>
          <cell r="K109">
            <v>0</v>
          </cell>
          <cell r="L109">
            <v>0</v>
          </cell>
          <cell r="M109">
            <v>0</v>
          </cell>
          <cell r="N109">
            <v>0</v>
          </cell>
        </row>
        <row r="110">
          <cell r="A110">
            <v>557980</v>
          </cell>
          <cell r="B110" t="str">
            <v>Retail Deferred Fuel Expenses</v>
          </cell>
          <cell r="C110">
            <v>-740995</v>
          </cell>
          <cell r="D110">
            <v>-150770</v>
          </cell>
          <cell r="E110">
            <v>-293962</v>
          </cell>
          <cell r="F110">
            <v>-57271</v>
          </cell>
          <cell r="G110">
            <v>-515826</v>
          </cell>
          <cell r="H110">
            <v>-2760567</v>
          </cell>
          <cell r="I110">
            <v>-196528</v>
          </cell>
          <cell r="J110">
            <v>-226416</v>
          </cell>
          <cell r="K110">
            <v>61472</v>
          </cell>
          <cell r="L110">
            <v>863594</v>
          </cell>
          <cell r="M110">
            <v>244805</v>
          </cell>
          <cell r="N110">
            <v>59730</v>
          </cell>
        </row>
        <row r="111">
          <cell r="A111">
            <v>560000</v>
          </cell>
          <cell r="B111" t="str">
            <v>Supervsn and Engrng-Trans Oper</v>
          </cell>
          <cell r="C111">
            <v>168</v>
          </cell>
          <cell r="D111">
            <v>156</v>
          </cell>
          <cell r="E111">
            <v>238</v>
          </cell>
          <cell r="F111">
            <v>419</v>
          </cell>
          <cell r="G111">
            <v>197</v>
          </cell>
          <cell r="H111">
            <v>255</v>
          </cell>
          <cell r="I111">
            <v>8571</v>
          </cell>
          <cell r="J111">
            <v>11748</v>
          </cell>
          <cell r="K111">
            <v>6489</v>
          </cell>
          <cell r="L111">
            <v>12183</v>
          </cell>
          <cell r="M111">
            <v>3950</v>
          </cell>
          <cell r="N111">
            <v>2612</v>
          </cell>
        </row>
        <row r="112">
          <cell r="A112">
            <v>561100</v>
          </cell>
          <cell r="B112" t="str">
            <v>Load Dispatch-Reliability</v>
          </cell>
          <cell r="C112">
            <v>9039</v>
          </cell>
          <cell r="D112">
            <v>8995</v>
          </cell>
          <cell r="E112">
            <v>8554</v>
          </cell>
          <cell r="F112">
            <v>9759</v>
          </cell>
          <cell r="G112">
            <v>9193</v>
          </cell>
          <cell r="H112">
            <v>8993</v>
          </cell>
          <cell r="I112">
            <v>9970</v>
          </cell>
          <cell r="J112">
            <v>9970</v>
          </cell>
          <cell r="K112">
            <v>9952</v>
          </cell>
          <cell r="L112">
            <v>9958</v>
          </cell>
          <cell r="M112">
            <v>9958</v>
          </cell>
          <cell r="N112">
            <v>9998</v>
          </cell>
        </row>
        <row r="113">
          <cell r="A113">
            <v>561200</v>
          </cell>
          <cell r="B113" t="str">
            <v>Load Dispatch-Mnitor&amp;OprTrnSys</v>
          </cell>
          <cell r="C113">
            <v>42513</v>
          </cell>
          <cell r="D113">
            <v>39986</v>
          </cell>
          <cell r="E113">
            <v>38840</v>
          </cell>
          <cell r="F113">
            <v>46901</v>
          </cell>
          <cell r="G113">
            <v>41676</v>
          </cell>
          <cell r="H113">
            <v>39949</v>
          </cell>
          <cell r="I113">
            <v>44997</v>
          </cell>
          <cell r="J113">
            <v>44998</v>
          </cell>
          <cell r="K113">
            <v>44894</v>
          </cell>
          <cell r="L113">
            <v>44873</v>
          </cell>
          <cell r="M113">
            <v>44874</v>
          </cell>
          <cell r="N113">
            <v>45012</v>
          </cell>
        </row>
        <row r="114">
          <cell r="A114">
            <v>561300</v>
          </cell>
          <cell r="B114" t="str">
            <v>Load Dispatch - TransSvc&amp;Sch</v>
          </cell>
          <cell r="C114">
            <v>5735</v>
          </cell>
          <cell r="D114">
            <v>5474</v>
          </cell>
          <cell r="E114">
            <v>5235</v>
          </cell>
          <cell r="F114">
            <v>6266</v>
          </cell>
          <cell r="G114">
            <v>5693</v>
          </cell>
          <cell r="H114">
            <v>5483</v>
          </cell>
          <cell r="I114">
            <v>6074</v>
          </cell>
          <cell r="J114">
            <v>6075</v>
          </cell>
          <cell r="K114">
            <v>6066</v>
          </cell>
          <cell r="L114">
            <v>6068</v>
          </cell>
          <cell r="M114">
            <v>6069</v>
          </cell>
          <cell r="N114">
            <v>6088</v>
          </cell>
        </row>
        <row r="115">
          <cell r="A115">
            <v>561400</v>
          </cell>
          <cell r="B115" t="str">
            <v>Scheduling-Sys Cntrl&amp;Disp Svs</v>
          </cell>
          <cell r="C115">
            <v>1460340</v>
          </cell>
          <cell r="D115">
            <v>9204</v>
          </cell>
          <cell r="E115">
            <v>70841</v>
          </cell>
          <cell r="F115">
            <v>487951</v>
          </cell>
          <cell r="G115">
            <v>145656</v>
          </cell>
          <cell r="H115">
            <v>141977</v>
          </cell>
          <cell r="I115">
            <v>0</v>
          </cell>
          <cell r="J115">
            <v>0</v>
          </cell>
          <cell r="K115">
            <v>0</v>
          </cell>
          <cell r="L115">
            <v>0</v>
          </cell>
          <cell r="M115">
            <v>0</v>
          </cell>
          <cell r="N115">
            <v>0</v>
          </cell>
        </row>
        <row r="116">
          <cell r="A116">
            <v>561500</v>
          </cell>
          <cell r="B116" t="str">
            <v>ReliabilityPlanning&amp;StdsDev</v>
          </cell>
          <cell r="C116">
            <v>0</v>
          </cell>
          <cell r="D116">
            <v>350</v>
          </cell>
          <cell r="E116">
            <v>456</v>
          </cell>
          <cell r="F116">
            <v>968</v>
          </cell>
          <cell r="G116">
            <v>27842</v>
          </cell>
          <cell r="H116">
            <v>0</v>
          </cell>
          <cell r="I116">
            <v>215</v>
          </cell>
          <cell r="J116">
            <v>215</v>
          </cell>
          <cell r="K116">
            <v>215</v>
          </cell>
          <cell r="L116">
            <v>215</v>
          </cell>
          <cell r="M116">
            <v>215</v>
          </cell>
          <cell r="N116">
            <v>215</v>
          </cell>
        </row>
        <row r="117">
          <cell r="A117">
            <v>561800</v>
          </cell>
          <cell r="B117" t="str">
            <v>ReliabilityPlanning&amp;StdsDev</v>
          </cell>
          <cell r="C117">
            <v>1478543</v>
          </cell>
          <cell r="D117">
            <v>1319070</v>
          </cell>
          <cell r="E117">
            <v>1418823</v>
          </cell>
          <cell r="F117">
            <v>860353</v>
          </cell>
          <cell r="G117">
            <v>1410810</v>
          </cell>
          <cell r="H117">
            <v>1203370</v>
          </cell>
          <cell r="I117">
            <v>989738</v>
          </cell>
          <cell r="J117">
            <v>989738</v>
          </cell>
          <cell r="K117">
            <v>989738</v>
          </cell>
          <cell r="L117">
            <v>989738</v>
          </cell>
          <cell r="M117">
            <v>989738</v>
          </cell>
          <cell r="N117">
            <v>989738</v>
          </cell>
        </row>
        <row r="118">
          <cell r="A118">
            <v>562000</v>
          </cell>
          <cell r="B118" t="str">
            <v>Station Expenses</v>
          </cell>
          <cell r="C118">
            <v>4787</v>
          </cell>
          <cell r="D118">
            <v>18254</v>
          </cell>
          <cell r="E118">
            <v>5039</v>
          </cell>
          <cell r="F118">
            <v>13173</v>
          </cell>
          <cell r="G118">
            <v>17139</v>
          </cell>
          <cell r="H118">
            <v>9059</v>
          </cell>
          <cell r="I118">
            <v>8779</v>
          </cell>
          <cell r="J118">
            <v>8901</v>
          </cell>
          <cell r="K118">
            <v>8491</v>
          </cell>
          <cell r="L118">
            <v>9441</v>
          </cell>
          <cell r="M118">
            <v>8471</v>
          </cell>
          <cell r="N118">
            <v>8636</v>
          </cell>
        </row>
        <row r="119">
          <cell r="A119">
            <v>563000</v>
          </cell>
          <cell r="B119" t="str">
            <v>Overhead Line Expenses-Trans</v>
          </cell>
          <cell r="C119">
            <v>364</v>
          </cell>
          <cell r="D119">
            <v>27842</v>
          </cell>
          <cell r="E119">
            <v>406</v>
          </cell>
          <cell r="F119">
            <v>732</v>
          </cell>
          <cell r="G119">
            <v>9289</v>
          </cell>
          <cell r="H119">
            <v>50</v>
          </cell>
          <cell r="I119">
            <v>1715</v>
          </cell>
          <cell r="J119">
            <v>1739</v>
          </cell>
          <cell r="K119">
            <v>1656</v>
          </cell>
          <cell r="L119">
            <v>2409</v>
          </cell>
          <cell r="M119">
            <v>1652</v>
          </cell>
          <cell r="N119">
            <v>1686</v>
          </cell>
        </row>
        <row r="120">
          <cell r="A120">
            <v>565000</v>
          </cell>
          <cell r="B120" t="str">
            <v>Transm Of Elec By Others</v>
          </cell>
          <cell r="C120">
            <v>1378624</v>
          </cell>
          <cell r="D120">
            <v>1410810</v>
          </cell>
          <cell r="E120">
            <v>1203370</v>
          </cell>
          <cell r="F120">
            <v>555301</v>
          </cell>
          <cell r="G120">
            <v>1231399</v>
          </cell>
          <cell r="H120">
            <v>1222093</v>
          </cell>
          <cell r="I120">
            <v>989738</v>
          </cell>
          <cell r="J120">
            <v>989738</v>
          </cell>
          <cell r="K120">
            <v>989738</v>
          </cell>
          <cell r="L120">
            <v>989738</v>
          </cell>
          <cell r="M120">
            <v>989738</v>
          </cell>
          <cell r="N120">
            <v>989738</v>
          </cell>
        </row>
        <row r="121">
          <cell r="A121">
            <v>566000</v>
          </cell>
          <cell r="B121" t="str">
            <v>Misc Trans Exp-Other</v>
          </cell>
          <cell r="C121">
            <v>17970</v>
          </cell>
          <cell r="D121">
            <v>14313</v>
          </cell>
          <cell r="E121">
            <v>73359</v>
          </cell>
          <cell r="F121">
            <v>16865</v>
          </cell>
          <cell r="G121">
            <v>81773</v>
          </cell>
          <cell r="H121">
            <v>13736</v>
          </cell>
          <cell r="I121">
            <v>9957</v>
          </cell>
          <cell r="J121">
            <v>66864</v>
          </cell>
          <cell r="K121">
            <v>6127</v>
          </cell>
          <cell r="L121">
            <v>6067</v>
          </cell>
          <cell r="M121">
            <v>66505</v>
          </cell>
          <cell r="N121">
            <v>5257</v>
          </cell>
        </row>
        <row r="122">
          <cell r="A122">
            <v>566100</v>
          </cell>
          <cell r="B122" t="str">
            <v>Misc Trans-Trans Lines Related</v>
          </cell>
          <cell r="C122">
            <v>260</v>
          </cell>
          <cell r="D122">
            <v>83</v>
          </cell>
          <cell r="E122">
            <v>60</v>
          </cell>
          <cell r="F122">
            <v>113</v>
          </cell>
          <cell r="G122">
            <v>37</v>
          </cell>
          <cell r="H122">
            <v>36</v>
          </cell>
          <cell r="I122">
            <v>0</v>
          </cell>
          <cell r="J122">
            <v>0</v>
          </cell>
          <cell r="K122">
            <v>0</v>
          </cell>
          <cell r="L122">
            <v>0</v>
          </cell>
          <cell r="M122">
            <v>0</v>
          </cell>
          <cell r="N122">
            <v>0</v>
          </cell>
        </row>
        <row r="123">
          <cell r="A123">
            <v>567000</v>
          </cell>
          <cell r="B123" t="str">
            <v>Rents-Trans Oper</v>
          </cell>
          <cell r="C123">
            <v>14127</v>
          </cell>
          <cell r="D123">
            <v>14561</v>
          </cell>
          <cell r="E123">
            <v>12867</v>
          </cell>
          <cell r="F123">
            <v>8523</v>
          </cell>
          <cell r="G123">
            <v>9869</v>
          </cell>
          <cell r="H123">
            <v>6901</v>
          </cell>
          <cell r="I123">
            <v>0</v>
          </cell>
          <cell r="J123">
            <v>0</v>
          </cell>
          <cell r="K123">
            <v>0</v>
          </cell>
          <cell r="L123">
            <v>0</v>
          </cell>
          <cell r="M123">
            <v>0</v>
          </cell>
          <cell r="N123">
            <v>0</v>
          </cell>
        </row>
        <row r="124">
          <cell r="A124">
            <v>569000</v>
          </cell>
          <cell r="B124" t="str">
            <v>Maint Of Structures-Trans</v>
          </cell>
          <cell r="C124">
            <v>404</v>
          </cell>
          <cell r="D124">
            <v>65</v>
          </cell>
          <cell r="E124">
            <v>552</v>
          </cell>
          <cell r="F124">
            <v>641</v>
          </cell>
          <cell r="G124">
            <v>1160</v>
          </cell>
          <cell r="H124">
            <v>-790</v>
          </cell>
          <cell r="I124">
            <v>0</v>
          </cell>
          <cell r="J124">
            <v>0</v>
          </cell>
          <cell r="K124">
            <v>0</v>
          </cell>
          <cell r="L124">
            <v>0</v>
          </cell>
          <cell r="M124">
            <v>0</v>
          </cell>
          <cell r="N124">
            <v>0</v>
          </cell>
        </row>
        <row r="125">
          <cell r="A125">
            <v>569100</v>
          </cell>
          <cell r="B125" t="str">
            <v>Maint of Computer Hardware</v>
          </cell>
          <cell r="C125">
            <v>71</v>
          </cell>
          <cell r="E125">
            <v>89</v>
          </cell>
          <cell r="F125">
            <v>23</v>
          </cell>
          <cell r="H125">
            <v>0</v>
          </cell>
          <cell r="I125">
            <v>0</v>
          </cell>
          <cell r="J125">
            <v>0</v>
          </cell>
          <cell r="K125">
            <v>0</v>
          </cell>
          <cell r="L125">
            <v>0</v>
          </cell>
          <cell r="M125">
            <v>0</v>
          </cell>
          <cell r="N125">
            <v>0</v>
          </cell>
        </row>
        <row r="126">
          <cell r="A126">
            <v>569200</v>
          </cell>
          <cell r="B126" t="str">
            <v>Maint Of Computer Software</v>
          </cell>
          <cell r="C126">
            <v>8523</v>
          </cell>
          <cell r="D126">
            <v>9869</v>
          </cell>
          <cell r="E126">
            <v>6901</v>
          </cell>
          <cell r="F126">
            <v>12961</v>
          </cell>
          <cell r="G126">
            <v>7920</v>
          </cell>
          <cell r="H126">
            <v>5434</v>
          </cell>
          <cell r="I126">
            <v>13843</v>
          </cell>
          <cell r="J126">
            <v>14972</v>
          </cell>
          <cell r="K126">
            <v>14225</v>
          </cell>
          <cell r="L126">
            <v>12490</v>
          </cell>
          <cell r="M126">
            <v>16402</v>
          </cell>
          <cell r="N126">
            <v>12186</v>
          </cell>
        </row>
        <row r="127">
          <cell r="A127">
            <v>570100</v>
          </cell>
          <cell r="B127" t="str">
            <v>Maint  Stat Equip-Other- Trans</v>
          </cell>
          <cell r="C127">
            <v>-4600</v>
          </cell>
          <cell r="D127">
            <v>5786</v>
          </cell>
          <cell r="E127">
            <v>9852</v>
          </cell>
          <cell r="F127">
            <v>40202</v>
          </cell>
          <cell r="G127">
            <v>20920</v>
          </cell>
          <cell r="H127">
            <v>14311</v>
          </cell>
          <cell r="I127">
            <v>6140</v>
          </cell>
          <cell r="J127">
            <v>6220</v>
          </cell>
          <cell r="K127">
            <v>5951</v>
          </cell>
          <cell r="L127">
            <v>6713</v>
          </cell>
          <cell r="M127">
            <v>5938</v>
          </cell>
          <cell r="N127">
            <v>6046</v>
          </cell>
        </row>
        <row r="128">
          <cell r="A128">
            <v>570200</v>
          </cell>
          <cell r="B128" t="str">
            <v>Main-Cir BrkrsTrnsf Mtrs-Trans</v>
          </cell>
          <cell r="C128">
            <v>3625</v>
          </cell>
          <cell r="D128">
            <v>4517</v>
          </cell>
          <cell r="E128">
            <v>6667</v>
          </cell>
          <cell r="F128">
            <v>2333</v>
          </cell>
          <cell r="G128">
            <v>7457</v>
          </cell>
          <cell r="H128">
            <v>8709</v>
          </cell>
          <cell r="I128">
            <v>16896</v>
          </cell>
          <cell r="J128">
            <v>17132</v>
          </cell>
          <cell r="K128">
            <v>16342</v>
          </cell>
          <cell r="L128">
            <v>15861</v>
          </cell>
          <cell r="M128">
            <v>16305</v>
          </cell>
          <cell r="N128">
            <v>16621</v>
          </cell>
        </row>
        <row r="129">
          <cell r="A129">
            <v>571000</v>
          </cell>
          <cell r="B129" t="str">
            <v>Maint Of Overhead Lines-Trans</v>
          </cell>
          <cell r="C129">
            <v>26170</v>
          </cell>
          <cell r="D129">
            <v>-9309</v>
          </cell>
          <cell r="E129">
            <v>13888</v>
          </cell>
          <cell r="F129">
            <v>30274</v>
          </cell>
          <cell r="G129">
            <v>5874</v>
          </cell>
          <cell r="H129">
            <v>54577</v>
          </cell>
          <cell r="I129">
            <v>28423</v>
          </cell>
          <cell r="J129">
            <v>28924</v>
          </cell>
          <cell r="K129">
            <v>29836</v>
          </cell>
          <cell r="L129">
            <v>35188</v>
          </cell>
          <cell r="M129">
            <v>28747</v>
          </cell>
          <cell r="N129">
            <v>26945</v>
          </cell>
        </row>
        <row r="130">
          <cell r="A130">
            <v>575700</v>
          </cell>
          <cell r="B130" t="str">
            <v>Market Faciliation-Mntr&amp;Comp</v>
          </cell>
          <cell r="C130">
            <v>162974</v>
          </cell>
          <cell r="D130">
            <v>166543</v>
          </cell>
          <cell r="E130">
            <v>139692</v>
          </cell>
          <cell r="F130">
            <v>161428</v>
          </cell>
          <cell r="G130">
            <v>142700</v>
          </cell>
          <cell r="H130">
            <v>32267</v>
          </cell>
          <cell r="I130">
            <v>138601</v>
          </cell>
          <cell r="J130">
            <v>138601</v>
          </cell>
          <cell r="K130">
            <v>138601</v>
          </cell>
          <cell r="L130">
            <v>138601</v>
          </cell>
          <cell r="M130">
            <v>138601</v>
          </cell>
          <cell r="N130">
            <v>138601</v>
          </cell>
        </row>
        <row r="131">
          <cell r="A131">
            <v>580000</v>
          </cell>
          <cell r="B131" t="str">
            <v>Supervsn and Engring-Dist Oper</v>
          </cell>
          <cell r="C131">
            <v>5448</v>
          </cell>
          <cell r="D131">
            <v>3077</v>
          </cell>
          <cell r="E131">
            <v>3483</v>
          </cell>
          <cell r="F131">
            <v>7342</v>
          </cell>
          <cell r="G131">
            <v>4132</v>
          </cell>
          <cell r="H131">
            <v>3616</v>
          </cell>
          <cell r="I131">
            <v>30512</v>
          </cell>
          <cell r="J131">
            <v>40046</v>
          </cell>
          <cell r="K131">
            <v>24269</v>
          </cell>
          <cell r="L131">
            <v>41541</v>
          </cell>
          <cell r="M131">
            <v>16490</v>
          </cell>
          <cell r="N131">
            <v>12474</v>
          </cell>
        </row>
        <row r="132">
          <cell r="A132">
            <v>581004</v>
          </cell>
          <cell r="B132" t="str">
            <v>Load Dispatch-Dist of Elec</v>
          </cell>
          <cell r="C132">
            <v>28916</v>
          </cell>
          <cell r="D132">
            <v>34357</v>
          </cell>
          <cell r="E132">
            <v>32154</v>
          </cell>
          <cell r="F132">
            <v>40547</v>
          </cell>
          <cell r="G132">
            <v>32013</v>
          </cell>
          <cell r="H132">
            <v>32253</v>
          </cell>
          <cell r="I132">
            <v>37523</v>
          </cell>
          <cell r="J132">
            <v>37819</v>
          </cell>
          <cell r="K132">
            <v>37516</v>
          </cell>
          <cell r="L132">
            <v>37621</v>
          </cell>
          <cell r="M132">
            <v>38653</v>
          </cell>
          <cell r="N132">
            <v>38099</v>
          </cell>
        </row>
        <row r="133">
          <cell r="A133">
            <v>582100</v>
          </cell>
          <cell r="B133" t="str">
            <v>Station Expenses-Other-Dist</v>
          </cell>
          <cell r="C133">
            <v>7535</v>
          </cell>
          <cell r="D133">
            <v>20491</v>
          </cell>
          <cell r="E133">
            <v>16776</v>
          </cell>
          <cell r="F133">
            <v>20273</v>
          </cell>
          <cell r="G133">
            <v>17862</v>
          </cell>
          <cell r="H133">
            <v>20178</v>
          </cell>
          <cell r="I133">
            <v>9151</v>
          </cell>
          <cell r="J133">
            <v>9275</v>
          </cell>
          <cell r="K133">
            <v>8859</v>
          </cell>
          <cell r="L133">
            <v>8605</v>
          </cell>
          <cell r="M133">
            <v>8839</v>
          </cell>
          <cell r="N133">
            <v>9006</v>
          </cell>
        </row>
        <row r="134">
          <cell r="A134">
            <v>583100</v>
          </cell>
          <cell r="B134" t="str">
            <v>Overhead Line Exps-Other-Dist</v>
          </cell>
          <cell r="C134">
            <v>-22821</v>
          </cell>
          <cell r="D134">
            <v>8300</v>
          </cell>
          <cell r="E134">
            <v>2721</v>
          </cell>
          <cell r="F134">
            <v>-6214</v>
          </cell>
          <cell r="G134">
            <v>3375</v>
          </cell>
          <cell r="H134">
            <v>2143</v>
          </cell>
          <cell r="I134">
            <v>55529</v>
          </cell>
          <cell r="J134">
            <v>21357</v>
          </cell>
          <cell r="K134">
            <v>20426</v>
          </cell>
          <cell r="L134">
            <v>57595</v>
          </cell>
          <cell r="M134">
            <v>20471</v>
          </cell>
          <cell r="N134">
            <v>22630</v>
          </cell>
        </row>
        <row r="135">
          <cell r="A135">
            <v>583200</v>
          </cell>
          <cell r="B135" t="str">
            <v>Transf Set Rem Reset Test-Dist</v>
          </cell>
          <cell r="C135">
            <v>10865</v>
          </cell>
          <cell r="D135">
            <v>8212</v>
          </cell>
          <cell r="E135">
            <v>8864</v>
          </cell>
          <cell r="F135">
            <v>11067</v>
          </cell>
          <cell r="G135">
            <v>6693</v>
          </cell>
          <cell r="H135">
            <v>7528</v>
          </cell>
          <cell r="I135">
            <v>6201</v>
          </cell>
          <cell r="J135">
            <v>6201</v>
          </cell>
          <cell r="K135">
            <v>6201</v>
          </cell>
          <cell r="L135">
            <v>9302</v>
          </cell>
          <cell r="M135">
            <v>6388</v>
          </cell>
          <cell r="N135">
            <v>6388</v>
          </cell>
        </row>
        <row r="136">
          <cell r="A136">
            <v>584000</v>
          </cell>
          <cell r="B136" t="str">
            <v>Underground Line Expenses-Dist</v>
          </cell>
          <cell r="C136">
            <v>22406</v>
          </cell>
          <cell r="D136">
            <v>37990</v>
          </cell>
          <cell r="E136">
            <v>31451</v>
          </cell>
          <cell r="F136">
            <v>36860</v>
          </cell>
          <cell r="G136">
            <v>55286</v>
          </cell>
          <cell r="H136">
            <v>4848</v>
          </cell>
          <cell r="I136">
            <v>39861</v>
          </cell>
          <cell r="J136">
            <v>56350</v>
          </cell>
          <cell r="K136">
            <v>29571</v>
          </cell>
          <cell r="L136">
            <v>35495</v>
          </cell>
          <cell r="M136">
            <v>28770</v>
          </cell>
          <cell r="N136">
            <v>27736</v>
          </cell>
        </row>
        <row r="137">
          <cell r="A137">
            <v>586000</v>
          </cell>
          <cell r="B137" t="str">
            <v>Meter Expenses-Dist</v>
          </cell>
          <cell r="C137">
            <v>73202</v>
          </cell>
          <cell r="D137">
            <v>68930</v>
          </cell>
          <cell r="E137">
            <v>61309</v>
          </cell>
          <cell r="F137">
            <v>81633</v>
          </cell>
          <cell r="G137">
            <v>57809</v>
          </cell>
          <cell r="H137">
            <v>58189</v>
          </cell>
          <cell r="I137">
            <v>2633</v>
          </cell>
          <cell r="J137">
            <v>1860</v>
          </cell>
          <cell r="K137">
            <v>5305</v>
          </cell>
          <cell r="L137">
            <v>9143</v>
          </cell>
          <cell r="M137">
            <v>5573</v>
          </cell>
          <cell r="N137">
            <v>1953</v>
          </cell>
        </row>
        <row r="138">
          <cell r="A138">
            <v>587000</v>
          </cell>
          <cell r="B138" t="str">
            <v>Cust Install Exp-Other Dist</v>
          </cell>
          <cell r="C138">
            <v>85750</v>
          </cell>
          <cell r="D138">
            <v>60557</v>
          </cell>
          <cell r="E138">
            <v>46019</v>
          </cell>
          <cell r="F138">
            <v>8338</v>
          </cell>
          <cell r="G138">
            <v>32222</v>
          </cell>
          <cell r="H138">
            <v>32224</v>
          </cell>
          <cell r="I138">
            <v>95159</v>
          </cell>
          <cell r="J138">
            <v>74419</v>
          </cell>
          <cell r="K138">
            <v>83562</v>
          </cell>
          <cell r="L138">
            <v>113510</v>
          </cell>
          <cell r="M138">
            <v>157416</v>
          </cell>
          <cell r="N138">
            <v>134176</v>
          </cell>
        </row>
        <row r="139">
          <cell r="A139">
            <v>588100</v>
          </cell>
          <cell r="B139" t="str">
            <v>Misc Distribution Exp-Other</v>
          </cell>
          <cell r="C139">
            <v>229803</v>
          </cell>
          <cell r="D139">
            <v>136198</v>
          </cell>
          <cell r="E139">
            <v>221862</v>
          </cell>
          <cell r="F139">
            <v>222700</v>
          </cell>
          <cell r="G139">
            <v>425622</v>
          </cell>
          <cell r="H139">
            <v>149967</v>
          </cell>
          <cell r="I139">
            <v>285046</v>
          </cell>
          <cell r="J139">
            <v>232777</v>
          </cell>
          <cell r="K139">
            <v>172491</v>
          </cell>
          <cell r="L139">
            <v>256674</v>
          </cell>
          <cell r="M139">
            <v>351507</v>
          </cell>
          <cell r="N139">
            <v>203092</v>
          </cell>
        </row>
        <row r="140">
          <cell r="A140">
            <v>589000</v>
          </cell>
          <cell r="B140" t="str">
            <v>Rents-Dist Oper</v>
          </cell>
          <cell r="C140">
            <v>8450</v>
          </cell>
          <cell r="D140">
            <v>3370</v>
          </cell>
          <cell r="E140">
            <v>13192</v>
          </cell>
          <cell r="F140">
            <v>-23685</v>
          </cell>
          <cell r="G140">
            <v>4991</v>
          </cell>
          <cell r="H140">
            <v>6573</v>
          </cell>
          <cell r="I140">
            <v>0</v>
          </cell>
          <cell r="J140">
            <v>0</v>
          </cell>
          <cell r="K140">
            <v>480</v>
          </cell>
          <cell r="L140">
            <v>13920</v>
          </cell>
          <cell r="M140">
            <v>666</v>
          </cell>
          <cell r="N140">
            <v>3523</v>
          </cell>
        </row>
        <row r="141">
          <cell r="A141">
            <v>591000</v>
          </cell>
          <cell r="B141" t="str">
            <v>Maintenance Of Structures-Dist</v>
          </cell>
          <cell r="C141">
            <v>466</v>
          </cell>
          <cell r="D141">
            <v>407883</v>
          </cell>
          <cell r="E141">
            <v>366307</v>
          </cell>
          <cell r="F141">
            <v>142</v>
          </cell>
          <cell r="G141">
            <v>307484</v>
          </cell>
          <cell r="H141">
            <v>247181</v>
          </cell>
          <cell r="I141">
            <v>0</v>
          </cell>
          <cell r="J141">
            <v>0</v>
          </cell>
          <cell r="K141">
            <v>0</v>
          </cell>
          <cell r="L141">
            <v>0</v>
          </cell>
          <cell r="M141">
            <v>0</v>
          </cell>
          <cell r="N141">
            <v>0</v>
          </cell>
        </row>
        <row r="142">
          <cell r="A142">
            <v>592100</v>
          </cell>
          <cell r="B142" t="str">
            <v>Maint Station Equip-Other-Dist</v>
          </cell>
          <cell r="C142">
            <v>14114</v>
          </cell>
          <cell r="D142">
            <v>28402</v>
          </cell>
          <cell r="E142">
            <v>15685</v>
          </cell>
          <cell r="F142">
            <v>23778</v>
          </cell>
          <cell r="G142">
            <v>20187</v>
          </cell>
          <cell r="H142">
            <v>30645</v>
          </cell>
          <cell r="I142">
            <v>8035</v>
          </cell>
          <cell r="J142">
            <v>8151</v>
          </cell>
          <cell r="K142">
            <v>7760</v>
          </cell>
          <cell r="L142">
            <v>11260</v>
          </cell>
          <cell r="M142">
            <v>7740</v>
          </cell>
          <cell r="N142">
            <v>7898</v>
          </cell>
        </row>
        <row r="143">
          <cell r="A143">
            <v>592200</v>
          </cell>
          <cell r="B143" t="str">
            <v>Cir BrkrsTrnsf Mters Rely-Dist</v>
          </cell>
          <cell r="C143">
            <v>26188</v>
          </cell>
          <cell r="D143">
            <v>18454</v>
          </cell>
          <cell r="E143">
            <v>0</v>
          </cell>
          <cell r="F143">
            <v>8196</v>
          </cell>
          <cell r="G143">
            <v>4333</v>
          </cell>
          <cell r="H143">
            <v>4333</v>
          </cell>
          <cell r="I143">
            <v>30623</v>
          </cell>
          <cell r="J143">
            <v>31019</v>
          </cell>
          <cell r="K143">
            <v>29693</v>
          </cell>
          <cell r="L143">
            <v>28884</v>
          </cell>
          <cell r="M143">
            <v>29630</v>
          </cell>
          <cell r="N143">
            <v>30160</v>
          </cell>
        </row>
        <row r="144">
          <cell r="A144">
            <v>593000</v>
          </cell>
          <cell r="B144" t="str">
            <v>Maint Overhd Lines-Other-Dist</v>
          </cell>
          <cell r="C144">
            <v>455910</v>
          </cell>
          <cell r="D144">
            <v>307484</v>
          </cell>
          <cell r="E144">
            <v>247181</v>
          </cell>
          <cell r="F144">
            <v>1747639</v>
          </cell>
          <cell r="G144">
            <v>491939</v>
          </cell>
          <cell r="H144">
            <v>790646</v>
          </cell>
          <cell r="I144">
            <v>432589</v>
          </cell>
          <cell r="J144">
            <v>535150</v>
          </cell>
          <cell r="K144">
            <v>533226</v>
          </cell>
          <cell r="L144">
            <v>487696</v>
          </cell>
          <cell r="M144">
            <v>330075</v>
          </cell>
          <cell r="N144">
            <v>349374</v>
          </cell>
        </row>
        <row r="145">
          <cell r="A145">
            <v>593100</v>
          </cell>
          <cell r="B145" t="str">
            <v>Right-Of-Way Maintenance-Dist</v>
          </cell>
          <cell r="C145">
            <v>0</v>
          </cell>
          <cell r="D145">
            <v>31185</v>
          </cell>
          <cell r="E145">
            <v>0</v>
          </cell>
          <cell r="F145">
            <v>0</v>
          </cell>
          <cell r="G145">
            <v>40106</v>
          </cell>
          <cell r="H145">
            <v>0</v>
          </cell>
          <cell r="I145">
            <v>5080</v>
          </cell>
          <cell r="J145">
            <v>2413</v>
          </cell>
          <cell r="K145">
            <v>2413</v>
          </cell>
          <cell r="L145">
            <v>1143</v>
          </cell>
          <cell r="M145">
            <v>1143</v>
          </cell>
          <cell r="N145">
            <v>1143</v>
          </cell>
        </row>
        <row r="146">
          <cell r="A146">
            <v>594000</v>
          </cell>
          <cell r="B146" t="str">
            <v>Maint-Underground Lines-Dist</v>
          </cell>
          <cell r="C146">
            <v>14430</v>
          </cell>
          <cell r="D146">
            <v>17660</v>
          </cell>
          <cell r="E146">
            <v>20898</v>
          </cell>
          <cell r="F146">
            <v>15559</v>
          </cell>
          <cell r="G146">
            <v>16278</v>
          </cell>
          <cell r="H146">
            <v>42785</v>
          </cell>
          <cell r="I146">
            <v>30756</v>
          </cell>
          <cell r="J146">
            <v>45607</v>
          </cell>
          <cell r="K146">
            <v>46271</v>
          </cell>
          <cell r="L146">
            <v>41726</v>
          </cell>
          <cell r="M146">
            <v>39075</v>
          </cell>
          <cell r="N146">
            <v>37499</v>
          </cell>
        </row>
        <row r="147">
          <cell r="A147">
            <v>595100</v>
          </cell>
          <cell r="B147" t="str">
            <v>Maint Line Transfrs-Other-Dist</v>
          </cell>
          <cell r="C147">
            <v>106</v>
          </cell>
          <cell r="D147">
            <v>778</v>
          </cell>
          <cell r="E147">
            <v>1169</v>
          </cell>
          <cell r="F147">
            <v>626</v>
          </cell>
          <cell r="G147">
            <v>470</v>
          </cell>
          <cell r="H147">
            <v>191336</v>
          </cell>
          <cell r="I147">
            <v>6272</v>
          </cell>
          <cell r="J147">
            <v>4499</v>
          </cell>
          <cell r="K147">
            <v>5701</v>
          </cell>
          <cell r="L147">
            <v>16286</v>
          </cell>
          <cell r="M147">
            <v>6116</v>
          </cell>
          <cell r="N147">
            <v>6365</v>
          </cell>
        </row>
        <row r="148">
          <cell r="A148">
            <v>596000</v>
          </cell>
          <cell r="B148" t="str">
            <v>Maint-StreetLightng/Signl-Dist</v>
          </cell>
          <cell r="C148">
            <v>69734</v>
          </cell>
          <cell r="D148">
            <v>40106</v>
          </cell>
          <cell r="E148">
            <v>31987</v>
          </cell>
          <cell r="F148">
            <v>27763</v>
          </cell>
          <cell r="G148">
            <v>29229</v>
          </cell>
          <cell r="H148">
            <v>43473</v>
          </cell>
          <cell r="I148">
            <v>19742</v>
          </cell>
          <cell r="J148">
            <v>28736</v>
          </cell>
          <cell r="K148">
            <v>21928</v>
          </cell>
          <cell r="L148">
            <v>14504</v>
          </cell>
          <cell r="M148">
            <v>32322</v>
          </cell>
          <cell r="N148">
            <v>73681</v>
          </cell>
        </row>
        <row r="149">
          <cell r="A149">
            <v>597000</v>
          </cell>
          <cell r="B149" t="str">
            <v>Maintenance Of Meters-Dist</v>
          </cell>
          <cell r="C149">
            <v>25519</v>
          </cell>
          <cell r="D149">
            <v>28348</v>
          </cell>
          <cell r="E149">
            <v>21261</v>
          </cell>
          <cell r="F149">
            <v>33155</v>
          </cell>
          <cell r="G149">
            <v>25637</v>
          </cell>
          <cell r="H149">
            <v>28314</v>
          </cell>
          <cell r="I149">
            <v>24399</v>
          </cell>
          <cell r="J149">
            <v>24399</v>
          </cell>
          <cell r="K149">
            <v>24399</v>
          </cell>
          <cell r="L149">
            <v>31976</v>
          </cell>
          <cell r="M149">
            <v>24399</v>
          </cell>
          <cell r="N149">
            <v>24399</v>
          </cell>
        </row>
        <row r="150">
          <cell r="A150">
            <v>901000</v>
          </cell>
          <cell r="B150" t="str">
            <v>Supervision-Cust Accts</v>
          </cell>
          <cell r="C150">
            <v>18261</v>
          </cell>
          <cell r="D150">
            <v>22044</v>
          </cell>
          <cell r="E150">
            <v>18728</v>
          </cell>
          <cell r="F150">
            <v>26180</v>
          </cell>
          <cell r="G150">
            <v>23299</v>
          </cell>
          <cell r="H150">
            <v>22578</v>
          </cell>
          <cell r="I150">
            <v>57585</v>
          </cell>
          <cell r="J150">
            <v>57588</v>
          </cell>
          <cell r="K150">
            <v>57588</v>
          </cell>
          <cell r="L150">
            <v>62413</v>
          </cell>
          <cell r="M150">
            <v>57589</v>
          </cell>
          <cell r="N150">
            <v>57586</v>
          </cell>
        </row>
        <row r="151">
          <cell r="A151">
            <v>902000</v>
          </cell>
          <cell r="B151" t="str">
            <v>Meter Reading Expense</v>
          </cell>
          <cell r="C151">
            <v>65006</v>
          </cell>
          <cell r="D151">
            <v>88441</v>
          </cell>
          <cell r="E151">
            <v>61626</v>
          </cell>
          <cell r="F151">
            <v>95860</v>
          </cell>
          <cell r="G151">
            <v>70904</v>
          </cell>
          <cell r="H151">
            <v>44737</v>
          </cell>
          <cell r="I151">
            <v>65649</v>
          </cell>
          <cell r="J151">
            <v>72688</v>
          </cell>
          <cell r="K151">
            <v>72133</v>
          </cell>
          <cell r="L151">
            <v>73871</v>
          </cell>
          <cell r="M151">
            <v>62230</v>
          </cell>
          <cell r="N151">
            <v>65194</v>
          </cell>
        </row>
        <row r="152">
          <cell r="A152">
            <v>903000</v>
          </cell>
          <cell r="B152" t="str">
            <v>Cust Records &amp; Collection Exp</v>
          </cell>
          <cell r="C152">
            <v>159586</v>
          </cell>
          <cell r="D152">
            <v>290243</v>
          </cell>
          <cell r="E152">
            <v>248045</v>
          </cell>
          <cell r="F152">
            <v>338746</v>
          </cell>
          <cell r="G152">
            <v>225033</v>
          </cell>
          <cell r="H152">
            <v>273838</v>
          </cell>
          <cell r="I152">
            <v>162945</v>
          </cell>
          <cell r="J152">
            <v>126194</v>
          </cell>
          <cell r="K152">
            <v>175978</v>
          </cell>
          <cell r="L152">
            <v>151220</v>
          </cell>
          <cell r="M152">
            <v>159721</v>
          </cell>
          <cell r="N152">
            <v>192565</v>
          </cell>
        </row>
        <row r="153">
          <cell r="A153">
            <v>903100</v>
          </cell>
          <cell r="B153" t="str">
            <v>Cust Contracts &amp; Orders-Local</v>
          </cell>
          <cell r="C153">
            <v>26921</v>
          </cell>
          <cell r="D153">
            <v>22422</v>
          </cell>
          <cell r="E153">
            <v>8014</v>
          </cell>
          <cell r="F153">
            <v>19539</v>
          </cell>
          <cell r="G153">
            <v>13570</v>
          </cell>
          <cell r="H153">
            <v>16216</v>
          </cell>
          <cell r="I153">
            <v>47801</v>
          </cell>
          <cell r="J153">
            <v>48390</v>
          </cell>
          <cell r="K153">
            <v>49675</v>
          </cell>
          <cell r="L153">
            <v>50311</v>
          </cell>
          <cell r="M153">
            <v>48465</v>
          </cell>
          <cell r="N153">
            <v>46466</v>
          </cell>
        </row>
        <row r="154">
          <cell r="A154">
            <v>903200</v>
          </cell>
          <cell r="B154" t="str">
            <v>Cust Billing &amp; Acct</v>
          </cell>
          <cell r="C154">
            <v>73103</v>
          </cell>
          <cell r="D154">
            <v>75475</v>
          </cell>
          <cell r="E154">
            <v>193688</v>
          </cell>
          <cell r="F154">
            <v>86893</v>
          </cell>
          <cell r="G154">
            <v>72872</v>
          </cell>
          <cell r="H154">
            <v>71275</v>
          </cell>
          <cell r="I154">
            <v>70986</v>
          </cell>
          <cell r="J154">
            <v>71544</v>
          </cell>
          <cell r="K154">
            <v>72759</v>
          </cell>
          <cell r="L154">
            <v>81291</v>
          </cell>
          <cell r="M154">
            <v>71549</v>
          </cell>
          <cell r="N154">
            <v>69658</v>
          </cell>
        </row>
        <row r="155">
          <cell r="A155">
            <v>903250</v>
          </cell>
          <cell r="B155" t="str">
            <v>Customer Billing-Common</v>
          </cell>
          <cell r="C155">
            <v>149909</v>
          </cell>
          <cell r="D155">
            <v>19</v>
          </cell>
          <cell r="E155">
            <v>0</v>
          </cell>
          <cell r="F155">
            <v>0</v>
          </cell>
          <cell r="H155">
            <v>0</v>
          </cell>
          <cell r="I155">
            <v>-105802</v>
          </cell>
          <cell r="J155">
            <v>-110008</v>
          </cell>
          <cell r="K155">
            <v>-99267</v>
          </cell>
          <cell r="L155">
            <v>-67897</v>
          </cell>
          <cell r="M155">
            <v>-51028</v>
          </cell>
          <cell r="N155">
            <v>-73700</v>
          </cell>
        </row>
        <row r="156">
          <cell r="A156">
            <v>903300</v>
          </cell>
          <cell r="B156" t="str">
            <v>Cust Collecting-Local</v>
          </cell>
          <cell r="C156">
            <v>22220</v>
          </cell>
          <cell r="D156">
            <v>22388</v>
          </cell>
          <cell r="E156">
            <v>18811</v>
          </cell>
          <cell r="F156">
            <v>22067</v>
          </cell>
          <cell r="G156">
            <v>15674</v>
          </cell>
          <cell r="H156">
            <v>21084</v>
          </cell>
          <cell r="I156">
            <v>42647</v>
          </cell>
          <cell r="J156">
            <v>43018</v>
          </cell>
          <cell r="K156">
            <v>48332</v>
          </cell>
          <cell r="L156">
            <v>45080</v>
          </cell>
          <cell r="M156">
            <v>43022</v>
          </cell>
          <cell r="N156">
            <v>42010</v>
          </cell>
        </row>
        <row r="157">
          <cell r="A157">
            <v>903400</v>
          </cell>
          <cell r="B157" t="str">
            <v>Cust Receiv &amp; Collect Exp-Edp</v>
          </cell>
          <cell r="C157">
            <v>5728</v>
          </cell>
          <cell r="D157">
            <v>3132</v>
          </cell>
          <cell r="E157">
            <v>2803</v>
          </cell>
          <cell r="F157">
            <v>3012</v>
          </cell>
          <cell r="G157">
            <v>3117</v>
          </cell>
          <cell r="H157">
            <v>3347</v>
          </cell>
          <cell r="I157">
            <v>7312</v>
          </cell>
          <cell r="J157">
            <v>7388</v>
          </cell>
          <cell r="K157">
            <v>7465</v>
          </cell>
          <cell r="L157">
            <v>7668</v>
          </cell>
          <cell r="M157">
            <v>7641</v>
          </cell>
          <cell r="N157">
            <v>7718</v>
          </cell>
        </row>
        <row r="158">
          <cell r="A158">
            <v>903750</v>
          </cell>
          <cell r="B158" t="str">
            <v>Common - Operating-Cust Accts</v>
          </cell>
          <cell r="C158">
            <v>-941571</v>
          </cell>
          <cell r="D158">
            <v>0</v>
          </cell>
          <cell r="E158">
            <v>0</v>
          </cell>
          <cell r="H158">
            <v>0</v>
          </cell>
          <cell r="I158">
            <v>0</v>
          </cell>
          <cell r="J158">
            <v>0</v>
          </cell>
          <cell r="K158">
            <v>0</v>
          </cell>
          <cell r="L158">
            <v>0</v>
          </cell>
          <cell r="M158">
            <v>0</v>
          </cell>
          <cell r="N158">
            <v>0</v>
          </cell>
        </row>
        <row r="159">
          <cell r="A159">
            <v>903891</v>
          </cell>
          <cell r="B159" t="str">
            <v>IC Collection Agent Revenue</v>
          </cell>
          <cell r="C159">
            <v>-166863</v>
          </cell>
          <cell r="D159">
            <v>-17585</v>
          </cell>
          <cell r="E159">
            <v>-14980</v>
          </cell>
          <cell r="F159">
            <v>-14184</v>
          </cell>
          <cell r="G159">
            <v>-11546</v>
          </cell>
          <cell r="H159">
            <v>-11457</v>
          </cell>
          <cell r="I159">
            <v>0</v>
          </cell>
          <cell r="J159">
            <v>0</v>
          </cell>
          <cell r="K159">
            <v>0</v>
          </cell>
          <cell r="L159">
            <v>0</v>
          </cell>
          <cell r="M159">
            <v>0</v>
          </cell>
          <cell r="N159">
            <v>0</v>
          </cell>
        </row>
        <row r="160">
          <cell r="A160">
            <v>904001</v>
          </cell>
          <cell r="B160" t="str">
            <v>BAD DEBT EXPENSE</v>
          </cell>
          <cell r="C160">
            <v>-114140</v>
          </cell>
          <cell r="D160">
            <v>9320</v>
          </cell>
          <cell r="E160">
            <v>-12108</v>
          </cell>
          <cell r="F160">
            <v>-2728</v>
          </cell>
          <cell r="G160">
            <v>-289</v>
          </cell>
          <cell r="H160">
            <v>32654</v>
          </cell>
          <cell r="I160">
            <v>4600</v>
          </cell>
          <cell r="J160">
            <v>4600</v>
          </cell>
          <cell r="K160">
            <v>4600</v>
          </cell>
          <cell r="L160">
            <v>4600</v>
          </cell>
          <cell r="M160">
            <v>4600</v>
          </cell>
          <cell r="N160">
            <v>4600</v>
          </cell>
        </row>
        <row r="161">
          <cell r="A161">
            <v>904003</v>
          </cell>
          <cell r="B161" t="str">
            <v>Cust Acctg-Loss On Sale-A/R</v>
          </cell>
          <cell r="E161">
            <v>0</v>
          </cell>
          <cell r="F161">
            <v>3</v>
          </cell>
          <cell r="H161">
            <v>0</v>
          </cell>
          <cell r="I161">
            <v>142941</v>
          </cell>
          <cell r="J161">
            <v>228881</v>
          </cell>
          <cell r="K161">
            <v>194090</v>
          </cell>
          <cell r="L161">
            <v>134949</v>
          </cell>
          <cell r="M161">
            <v>211117</v>
          </cell>
          <cell r="N161">
            <v>251619</v>
          </cell>
        </row>
        <row r="162">
          <cell r="A162">
            <v>904891</v>
          </cell>
          <cell r="B162" t="str">
            <v>IC Loss on Sale of AR VIE</v>
          </cell>
          <cell r="C162">
            <v>681208</v>
          </cell>
          <cell r="D162">
            <v>2422</v>
          </cell>
          <cell r="E162">
            <v>224</v>
          </cell>
          <cell r="F162">
            <v>0</v>
          </cell>
          <cell r="G162">
            <v>1192</v>
          </cell>
          <cell r="I162">
            <v>0</v>
          </cell>
          <cell r="J162">
            <v>0</v>
          </cell>
          <cell r="K162">
            <v>0</v>
          </cell>
          <cell r="L162">
            <v>0</v>
          </cell>
          <cell r="M162">
            <v>0</v>
          </cell>
          <cell r="N162">
            <v>0</v>
          </cell>
        </row>
        <row r="163">
          <cell r="A163">
            <v>905000</v>
          </cell>
          <cell r="B163" t="str">
            <v>Misc Customer Accts Expenses</v>
          </cell>
          <cell r="C163">
            <v>63</v>
          </cell>
          <cell r="D163">
            <v>32</v>
          </cell>
          <cell r="E163">
            <v>20</v>
          </cell>
          <cell r="F163">
            <v>15</v>
          </cell>
          <cell r="G163">
            <v>125</v>
          </cell>
          <cell r="H163">
            <v>48</v>
          </cell>
          <cell r="I163">
            <v>0</v>
          </cell>
          <cell r="J163">
            <v>0</v>
          </cell>
          <cell r="K163">
            <v>0</v>
          </cell>
          <cell r="L163">
            <v>0</v>
          </cell>
          <cell r="M163">
            <v>0</v>
          </cell>
          <cell r="N163">
            <v>0</v>
          </cell>
        </row>
        <row r="164">
          <cell r="A164">
            <v>908000</v>
          </cell>
          <cell r="B164" t="str">
            <v>Cust Asst Exp-Conservation Pro</v>
          </cell>
          <cell r="C164">
            <v>3</v>
          </cell>
          <cell r="D164">
            <v>17449</v>
          </cell>
          <cell r="E164">
            <v>1</v>
          </cell>
          <cell r="F164">
            <v>0</v>
          </cell>
          <cell r="G164">
            <v>18031</v>
          </cell>
          <cell r="H164">
            <v>3</v>
          </cell>
          <cell r="I164">
            <v>9387</v>
          </cell>
          <cell r="J164">
            <v>9387</v>
          </cell>
          <cell r="K164">
            <v>9387</v>
          </cell>
          <cell r="L164">
            <v>9387</v>
          </cell>
          <cell r="M164">
            <v>9387</v>
          </cell>
          <cell r="N164">
            <v>9387</v>
          </cell>
        </row>
        <row r="165">
          <cell r="A165">
            <v>909650</v>
          </cell>
          <cell r="B165" t="str">
            <v>Misc Advertising Expenses</v>
          </cell>
          <cell r="C165">
            <v>643</v>
          </cell>
          <cell r="D165">
            <v>1192</v>
          </cell>
          <cell r="E165">
            <v>88395</v>
          </cell>
          <cell r="F165">
            <v>492</v>
          </cell>
          <cell r="G165">
            <v>0</v>
          </cell>
          <cell r="H165">
            <v>64375</v>
          </cell>
          <cell r="I165">
            <v>0</v>
          </cell>
          <cell r="J165">
            <v>0</v>
          </cell>
          <cell r="K165">
            <v>0</v>
          </cell>
          <cell r="L165">
            <v>0</v>
          </cell>
          <cell r="M165">
            <v>0</v>
          </cell>
          <cell r="N165">
            <v>0</v>
          </cell>
        </row>
        <row r="166">
          <cell r="A166">
            <v>910000</v>
          </cell>
          <cell r="B166" t="str">
            <v>Misc Cust Serv/Inform Exp</v>
          </cell>
          <cell r="C166">
            <v>33579</v>
          </cell>
          <cell r="D166">
            <v>36653</v>
          </cell>
          <cell r="E166">
            <v>49442</v>
          </cell>
          <cell r="F166">
            <v>25591</v>
          </cell>
          <cell r="G166">
            <v>20316</v>
          </cell>
          <cell r="H166">
            <v>42632</v>
          </cell>
          <cell r="I166">
            <v>35735</v>
          </cell>
          <cell r="J166">
            <v>32446</v>
          </cell>
          <cell r="K166">
            <v>31679</v>
          </cell>
          <cell r="L166">
            <v>35106</v>
          </cell>
          <cell r="M166">
            <v>33012</v>
          </cell>
          <cell r="N166">
            <v>30514</v>
          </cell>
        </row>
        <row r="167">
          <cell r="A167">
            <v>910100</v>
          </cell>
          <cell r="B167" t="str">
            <v>Exp-Rs Reg Prod/Svces-CstAccts</v>
          </cell>
          <cell r="C167">
            <v>41563</v>
          </cell>
          <cell r="D167">
            <v>18031</v>
          </cell>
          <cell r="E167">
            <v>15190</v>
          </cell>
          <cell r="F167">
            <v>19453</v>
          </cell>
          <cell r="G167">
            <v>23974</v>
          </cell>
          <cell r="H167">
            <v>32223</v>
          </cell>
          <cell r="I167">
            <v>43991</v>
          </cell>
          <cell r="J167">
            <v>46999</v>
          </cell>
          <cell r="K167">
            <v>41818</v>
          </cell>
          <cell r="L167">
            <v>68159</v>
          </cell>
          <cell r="M167">
            <v>39542</v>
          </cell>
          <cell r="N167">
            <v>41773</v>
          </cell>
        </row>
        <row r="168">
          <cell r="A168">
            <v>912000</v>
          </cell>
          <cell r="B168" t="str">
            <v>Demonstrating &amp; Selling Exp</v>
          </cell>
          <cell r="C168">
            <v>90487</v>
          </cell>
          <cell r="D168">
            <v>64056</v>
          </cell>
          <cell r="E168">
            <v>64375</v>
          </cell>
          <cell r="F168">
            <v>65375</v>
          </cell>
          <cell r="G168">
            <v>63184</v>
          </cell>
          <cell r="H168">
            <v>42846</v>
          </cell>
          <cell r="I168">
            <v>85515</v>
          </cell>
          <cell r="J168">
            <v>85538</v>
          </cell>
          <cell r="K168">
            <v>85858</v>
          </cell>
          <cell r="L168">
            <v>89541</v>
          </cell>
          <cell r="M168">
            <v>85841</v>
          </cell>
          <cell r="N168">
            <v>86223</v>
          </cell>
        </row>
        <row r="169">
          <cell r="A169">
            <v>913001</v>
          </cell>
          <cell r="B169" t="str">
            <v>Advertising Expense</v>
          </cell>
          <cell r="C169">
            <v>19556</v>
          </cell>
          <cell r="D169">
            <v>1436</v>
          </cell>
          <cell r="E169">
            <v>1729</v>
          </cell>
          <cell r="F169">
            <v>1779</v>
          </cell>
          <cell r="G169">
            <v>3810</v>
          </cell>
          <cell r="H169">
            <v>8560</v>
          </cell>
          <cell r="I169">
            <v>155</v>
          </cell>
          <cell r="J169">
            <v>155</v>
          </cell>
          <cell r="K169">
            <v>155</v>
          </cell>
          <cell r="L169">
            <v>155</v>
          </cell>
          <cell r="M169">
            <v>155</v>
          </cell>
          <cell r="N169">
            <v>155</v>
          </cell>
        </row>
        <row r="170">
          <cell r="A170">
            <v>920000</v>
          </cell>
          <cell r="B170" t="str">
            <v>A &amp; G Salaries</v>
          </cell>
          <cell r="C170">
            <v>1191335</v>
          </cell>
          <cell r="D170">
            <v>437118</v>
          </cell>
          <cell r="E170">
            <v>439971</v>
          </cell>
          <cell r="F170">
            <v>298770</v>
          </cell>
          <cell r="G170">
            <v>462305</v>
          </cell>
          <cell r="H170">
            <v>486236</v>
          </cell>
          <cell r="I170">
            <v>556109</v>
          </cell>
          <cell r="J170">
            <v>481434</v>
          </cell>
          <cell r="K170">
            <v>481150</v>
          </cell>
          <cell r="L170">
            <v>154052</v>
          </cell>
          <cell r="M170">
            <v>481015</v>
          </cell>
          <cell r="N170">
            <v>480917</v>
          </cell>
        </row>
        <row r="171">
          <cell r="A171">
            <v>921100</v>
          </cell>
          <cell r="B171" t="str">
            <v>Employee Expenses</v>
          </cell>
          <cell r="C171">
            <v>-15331</v>
          </cell>
          <cell r="D171">
            <v>44316</v>
          </cell>
          <cell r="E171">
            <v>27264</v>
          </cell>
          <cell r="F171">
            <v>36372</v>
          </cell>
          <cell r="G171">
            <v>27886</v>
          </cell>
          <cell r="H171">
            <v>18289</v>
          </cell>
          <cell r="I171">
            <v>25404</v>
          </cell>
          <cell r="J171">
            <v>23254</v>
          </cell>
          <cell r="K171">
            <v>23445</v>
          </cell>
          <cell r="L171">
            <v>26152</v>
          </cell>
          <cell r="M171">
            <v>23480</v>
          </cell>
          <cell r="N171">
            <v>23910</v>
          </cell>
        </row>
        <row r="172">
          <cell r="A172">
            <v>921101</v>
          </cell>
          <cell r="B172" t="str">
            <v>Employee Exp - NC</v>
          </cell>
          <cell r="C172">
            <v>3</v>
          </cell>
          <cell r="D172">
            <v>0</v>
          </cell>
          <cell r="E172">
            <v>1</v>
          </cell>
          <cell r="F172">
            <v>2</v>
          </cell>
          <cell r="I172">
            <v>0</v>
          </cell>
          <cell r="J172">
            <v>0</v>
          </cell>
          <cell r="K172">
            <v>0</v>
          </cell>
          <cell r="L172">
            <v>0</v>
          </cell>
          <cell r="M172">
            <v>0</v>
          </cell>
          <cell r="N172">
            <v>0</v>
          </cell>
        </row>
        <row r="173">
          <cell r="A173">
            <v>921110</v>
          </cell>
          <cell r="B173" t="str">
            <v>Relocation Expenses</v>
          </cell>
          <cell r="C173">
            <v>3</v>
          </cell>
          <cell r="D173">
            <v>10202</v>
          </cell>
          <cell r="E173">
            <v>5</v>
          </cell>
          <cell r="F173">
            <v>119226</v>
          </cell>
          <cell r="G173">
            <v>34640</v>
          </cell>
          <cell r="H173">
            <v>5</v>
          </cell>
          <cell r="I173">
            <v>0</v>
          </cell>
          <cell r="J173">
            <v>0</v>
          </cell>
          <cell r="K173">
            <v>0</v>
          </cell>
          <cell r="L173">
            <v>0</v>
          </cell>
          <cell r="M173">
            <v>0</v>
          </cell>
          <cell r="N173">
            <v>0</v>
          </cell>
        </row>
        <row r="174">
          <cell r="A174">
            <v>921200</v>
          </cell>
          <cell r="B174" t="str">
            <v>Office Expenses</v>
          </cell>
          <cell r="C174">
            <v>66587</v>
          </cell>
          <cell r="D174">
            <v>39743</v>
          </cell>
          <cell r="E174">
            <v>36019</v>
          </cell>
          <cell r="F174">
            <v>51125</v>
          </cell>
          <cell r="G174">
            <v>50441</v>
          </cell>
          <cell r="H174">
            <v>44215</v>
          </cell>
          <cell r="I174">
            <v>92056</v>
          </cell>
          <cell r="J174">
            <v>66674</v>
          </cell>
          <cell r="K174">
            <v>65572</v>
          </cell>
          <cell r="L174">
            <v>96541</v>
          </cell>
          <cell r="M174">
            <v>65712</v>
          </cell>
          <cell r="N174">
            <v>65046</v>
          </cell>
        </row>
        <row r="175">
          <cell r="A175">
            <v>921300</v>
          </cell>
          <cell r="B175" t="str">
            <v>Telephone And Telegraph Exp</v>
          </cell>
          <cell r="C175">
            <v>2</v>
          </cell>
          <cell r="D175">
            <v>59</v>
          </cell>
          <cell r="E175">
            <v>68</v>
          </cell>
          <cell r="F175">
            <v>1</v>
          </cell>
          <cell r="G175">
            <v>2</v>
          </cell>
          <cell r="H175">
            <v>24</v>
          </cell>
          <cell r="I175">
            <v>0</v>
          </cell>
          <cell r="J175">
            <v>0</v>
          </cell>
          <cell r="K175">
            <v>0</v>
          </cell>
          <cell r="L175">
            <v>0</v>
          </cell>
          <cell r="M175">
            <v>0</v>
          </cell>
          <cell r="N175">
            <v>0</v>
          </cell>
        </row>
        <row r="176">
          <cell r="A176">
            <v>921400</v>
          </cell>
          <cell r="B176" t="str">
            <v>Computer Services Expenses</v>
          </cell>
          <cell r="C176">
            <v>119226</v>
          </cell>
          <cell r="D176">
            <v>34640</v>
          </cell>
          <cell r="E176">
            <v>18101</v>
          </cell>
          <cell r="F176">
            <v>18592</v>
          </cell>
          <cell r="G176">
            <v>11479</v>
          </cell>
          <cell r="H176">
            <v>3212</v>
          </cell>
          <cell r="I176">
            <v>34304</v>
          </cell>
          <cell r="J176">
            <v>18887</v>
          </cell>
          <cell r="K176">
            <v>8501</v>
          </cell>
          <cell r="L176">
            <v>9531</v>
          </cell>
          <cell r="M176">
            <v>12795</v>
          </cell>
          <cell r="N176">
            <v>9007</v>
          </cell>
        </row>
        <row r="177">
          <cell r="A177">
            <v>921540</v>
          </cell>
          <cell r="B177" t="str">
            <v>Computer Rent (Go Only)</v>
          </cell>
          <cell r="C177">
            <v>2113</v>
          </cell>
          <cell r="D177">
            <v>3630</v>
          </cell>
          <cell r="E177">
            <v>4056</v>
          </cell>
          <cell r="F177">
            <v>3774</v>
          </cell>
          <cell r="G177">
            <v>2931</v>
          </cell>
          <cell r="H177">
            <v>4804</v>
          </cell>
          <cell r="I177">
            <v>44</v>
          </cell>
          <cell r="J177">
            <v>836</v>
          </cell>
          <cell r="K177">
            <v>44</v>
          </cell>
          <cell r="L177">
            <v>44</v>
          </cell>
          <cell r="M177">
            <v>44</v>
          </cell>
          <cell r="N177">
            <v>44</v>
          </cell>
        </row>
        <row r="178">
          <cell r="A178">
            <v>921600</v>
          </cell>
          <cell r="B178" t="str">
            <v>Other</v>
          </cell>
          <cell r="C178">
            <v>70</v>
          </cell>
          <cell r="D178">
            <v>2</v>
          </cell>
          <cell r="E178">
            <v>24</v>
          </cell>
          <cell r="F178">
            <v>19</v>
          </cell>
          <cell r="G178">
            <v>73</v>
          </cell>
          <cell r="H178">
            <v>106</v>
          </cell>
          <cell r="I178">
            <v>0</v>
          </cell>
          <cell r="J178">
            <v>0</v>
          </cell>
          <cell r="K178">
            <v>0</v>
          </cell>
          <cell r="L178">
            <v>0</v>
          </cell>
          <cell r="M178">
            <v>0</v>
          </cell>
          <cell r="N178">
            <v>0</v>
          </cell>
        </row>
        <row r="179">
          <cell r="A179">
            <v>921980</v>
          </cell>
          <cell r="B179" t="str">
            <v>Office Supplies &amp; Expenses</v>
          </cell>
          <cell r="C179">
            <v>109204</v>
          </cell>
          <cell r="D179">
            <v>81479</v>
          </cell>
          <cell r="E179">
            <v>82939</v>
          </cell>
          <cell r="F179">
            <v>90572</v>
          </cell>
          <cell r="G179">
            <v>83206</v>
          </cell>
          <cell r="H179">
            <v>82607</v>
          </cell>
          <cell r="I179">
            <v>106874</v>
          </cell>
          <cell r="J179">
            <v>106756</v>
          </cell>
          <cell r="K179">
            <v>106723</v>
          </cell>
          <cell r="L179">
            <v>106208</v>
          </cell>
          <cell r="M179">
            <v>106832</v>
          </cell>
          <cell r="N179">
            <v>106866</v>
          </cell>
        </row>
        <row r="180">
          <cell r="A180">
            <v>922000</v>
          </cell>
          <cell r="B180" t="str">
            <v>Admin  Exp Transfer</v>
          </cell>
          <cell r="C180">
            <v>-1227</v>
          </cell>
          <cell r="D180">
            <v>23</v>
          </cell>
          <cell r="E180">
            <v>-2756</v>
          </cell>
          <cell r="F180">
            <v>-217</v>
          </cell>
          <cell r="G180">
            <v>-1366</v>
          </cell>
          <cell r="H180">
            <v>-1098</v>
          </cell>
          <cell r="I180">
            <v>0</v>
          </cell>
          <cell r="J180">
            <v>0</v>
          </cell>
          <cell r="K180">
            <v>0</v>
          </cell>
          <cell r="L180">
            <v>0</v>
          </cell>
          <cell r="M180">
            <v>0</v>
          </cell>
          <cell r="N180">
            <v>0</v>
          </cell>
        </row>
        <row r="181">
          <cell r="A181">
            <v>923000</v>
          </cell>
          <cell r="B181" t="str">
            <v>Outside Services Employed</v>
          </cell>
          <cell r="C181">
            <v>229444</v>
          </cell>
          <cell r="D181">
            <v>66138</v>
          </cell>
          <cell r="E181">
            <v>150687</v>
          </cell>
          <cell r="F181">
            <v>146760</v>
          </cell>
          <cell r="G181">
            <v>115234</v>
          </cell>
          <cell r="H181">
            <v>126012</v>
          </cell>
          <cell r="I181">
            <v>265705</v>
          </cell>
          <cell r="J181">
            <v>187380</v>
          </cell>
          <cell r="K181">
            <v>199175</v>
          </cell>
          <cell r="L181">
            <v>260078</v>
          </cell>
          <cell r="M181">
            <v>203712</v>
          </cell>
          <cell r="N181">
            <v>192413</v>
          </cell>
        </row>
        <row r="182">
          <cell r="A182">
            <v>923980</v>
          </cell>
          <cell r="B182" t="str">
            <v>Outside Services Employee &amp;</v>
          </cell>
          <cell r="C182">
            <v>-217</v>
          </cell>
          <cell r="D182">
            <v>-1366</v>
          </cell>
          <cell r="E182">
            <v>-1098</v>
          </cell>
          <cell r="F182">
            <v>-3846</v>
          </cell>
          <cell r="G182">
            <v>-1997</v>
          </cell>
          <cell r="H182">
            <v>-4030</v>
          </cell>
          <cell r="I182">
            <v>0</v>
          </cell>
          <cell r="J182">
            <v>0</v>
          </cell>
          <cell r="K182">
            <v>0</v>
          </cell>
          <cell r="L182">
            <v>0</v>
          </cell>
          <cell r="M182">
            <v>0</v>
          </cell>
          <cell r="N182">
            <v>0</v>
          </cell>
        </row>
        <row r="183">
          <cell r="A183">
            <v>924000</v>
          </cell>
          <cell r="B183" t="str">
            <v>Property Insurance</v>
          </cell>
          <cell r="C183">
            <v>-466</v>
          </cell>
          <cell r="D183">
            <v>403</v>
          </cell>
          <cell r="E183">
            <v>361</v>
          </cell>
          <cell r="F183">
            <v>-60</v>
          </cell>
          <cell r="G183">
            <v>403</v>
          </cell>
          <cell r="H183">
            <v>-232</v>
          </cell>
          <cell r="I183">
            <v>0</v>
          </cell>
          <cell r="J183">
            <v>2363</v>
          </cell>
          <cell r="K183">
            <v>0</v>
          </cell>
          <cell r="L183">
            <v>0</v>
          </cell>
          <cell r="M183">
            <v>0</v>
          </cell>
          <cell r="N183">
            <v>0</v>
          </cell>
        </row>
        <row r="184">
          <cell r="A184">
            <v>924050</v>
          </cell>
          <cell r="B184" t="str">
            <v>Inter-Co Prop Ins Exp</v>
          </cell>
          <cell r="C184">
            <v>15328</v>
          </cell>
          <cell r="D184">
            <v>15781</v>
          </cell>
          <cell r="E184">
            <v>15781</v>
          </cell>
          <cell r="F184">
            <v>15781</v>
          </cell>
          <cell r="G184">
            <v>15781</v>
          </cell>
          <cell r="H184">
            <v>15781</v>
          </cell>
          <cell r="I184">
            <v>14408</v>
          </cell>
          <cell r="J184">
            <v>14408</v>
          </cell>
          <cell r="K184">
            <v>14408</v>
          </cell>
          <cell r="L184">
            <v>14408</v>
          </cell>
          <cell r="M184">
            <v>14408</v>
          </cell>
          <cell r="N184">
            <v>14408</v>
          </cell>
        </row>
        <row r="185">
          <cell r="A185">
            <v>924980</v>
          </cell>
          <cell r="B185" t="str">
            <v>Property Insurance For Corp.</v>
          </cell>
          <cell r="C185">
            <v>14213</v>
          </cell>
          <cell r="D185">
            <v>13553</v>
          </cell>
          <cell r="E185">
            <v>13553</v>
          </cell>
          <cell r="F185">
            <v>13553</v>
          </cell>
          <cell r="G185">
            <v>13553</v>
          </cell>
          <cell r="H185">
            <v>13553</v>
          </cell>
          <cell r="I185">
            <v>14947</v>
          </cell>
          <cell r="J185">
            <v>14947</v>
          </cell>
          <cell r="K185">
            <v>14947</v>
          </cell>
          <cell r="L185">
            <v>14947</v>
          </cell>
          <cell r="M185">
            <v>14947</v>
          </cell>
          <cell r="N185">
            <v>14947</v>
          </cell>
        </row>
        <row r="186">
          <cell r="A186">
            <v>925000</v>
          </cell>
          <cell r="B186" t="str">
            <v>Injuries &amp; Damages</v>
          </cell>
          <cell r="C186">
            <v>13943</v>
          </cell>
          <cell r="D186">
            <v>15626</v>
          </cell>
          <cell r="E186">
            <v>17260</v>
          </cell>
          <cell r="F186">
            <v>16654</v>
          </cell>
          <cell r="G186">
            <v>15188</v>
          </cell>
          <cell r="H186">
            <v>28342</v>
          </cell>
          <cell r="I186">
            <v>11317</v>
          </cell>
          <cell r="J186">
            <v>11317</v>
          </cell>
          <cell r="K186">
            <v>11317</v>
          </cell>
          <cell r="L186">
            <v>11317</v>
          </cell>
          <cell r="M186">
            <v>11317</v>
          </cell>
          <cell r="N186">
            <v>11317</v>
          </cell>
        </row>
        <row r="187">
          <cell r="A187">
            <v>925050</v>
          </cell>
          <cell r="B187" t="str">
            <v>Intercompany Non-Prop Ins Exp</v>
          </cell>
          <cell r="C187">
            <v>886</v>
          </cell>
          <cell r="D187">
            <v>917</v>
          </cell>
          <cell r="E187">
            <v>869</v>
          </cell>
          <cell r="F187">
            <v>900</v>
          </cell>
          <cell r="G187">
            <v>669</v>
          </cell>
          <cell r="H187">
            <v>519</v>
          </cell>
          <cell r="I187">
            <v>0</v>
          </cell>
          <cell r="J187">
            <v>0</v>
          </cell>
          <cell r="K187">
            <v>0</v>
          </cell>
          <cell r="L187">
            <v>0</v>
          </cell>
          <cell r="M187">
            <v>0</v>
          </cell>
          <cell r="N187">
            <v>0</v>
          </cell>
        </row>
        <row r="188">
          <cell r="A188">
            <v>925051</v>
          </cell>
          <cell r="B188" t="str">
            <v>INTER-CO GEN LIAB EXP</v>
          </cell>
          <cell r="C188">
            <v>54925</v>
          </cell>
          <cell r="D188">
            <v>60266</v>
          </cell>
          <cell r="E188">
            <v>60266</v>
          </cell>
          <cell r="F188">
            <v>60266</v>
          </cell>
          <cell r="G188">
            <v>60266</v>
          </cell>
          <cell r="H188">
            <v>60266</v>
          </cell>
          <cell r="I188">
            <v>67550</v>
          </cell>
          <cell r="J188">
            <v>67550</v>
          </cell>
          <cell r="K188">
            <v>67550</v>
          </cell>
          <cell r="L188">
            <v>67550</v>
          </cell>
          <cell r="M188">
            <v>67550</v>
          </cell>
          <cell r="N188">
            <v>67550</v>
          </cell>
        </row>
        <row r="189">
          <cell r="A189">
            <v>925200</v>
          </cell>
          <cell r="B189" t="str">
            <v>Injuries And Damages-Other</v>
          </cell>
          <cell r="C189">
            <v>900</v>
          </cell>
          <cell r="D189">
            <v>669</v>
          </cell>
          <cell r="E189">
            <v>519</v>
          </cell>
          <cell r="F189">
            <v>666</v>
          </cell>
          <cell r="G189">
            <v>630</v>
          </cell>
          <cell r="H189">
            <v>651</v>
          </cell>
          <cell r="I189">
            <v>0</v>
          </cell>
          <cell r="J189">
            <v>0</v>
          </cell>
          <cell r="K189">
            <v>0</v>
          </cell>
          <cell r="L189">
            <v>0</v>
          </cell>
          <cell r="M189">
            <v>0</v>
          </cell>
          <cell r="N189">
            <v>0</v>
          </cell>
        </row>
        <row r="190">
          <cell r="A190">
            <v>925980</v>
          </cell>
          <cell r="B190" t="str">
            <v>Injuries And Damages For Corp.</v>
          </cell>
          <cell r="C190">
            <v>1076</v>
          </cell>
          <cell r="D190">
            <v>1054</v>
          </cell>
          <cell r="E190">
            <v>1054</v>
          </cell>
          <cell r="F190">
            <v>1054</v>
          </cell>
          <cell r="G190">
            <v>1054</v>
          </cell>
          <cell r="H190">
            <v>1054</v>
          </cell>
          <cell r="I190">
            <v>5001</v>
          </cell>
          <cell r="J190">
            <v>7645</v>
          </cell>
          <cell r="K190">
            <v>5841</v>
          </cell>
          <cell r="L190">
            <v>5098</v>
          </cell>
          <cell r="M190">
            <v>13803</v>
          </cell>
          <cell r="N190">
            <v>4378</v>
          </cell>
        </row>
        <row r="191">
          <cell r="A191">
            <v>926000</v>
          </cell>
          <cell r="B191" t="str">
            <v>EMPL PENSIONS AND BENEFITS</v>
          </cell>
          <cell r="C191">
            <v>396955</v>
          </cell>
          <cell r="D191">
            <v>284723</v>
          </cell>
          <cell r="E191">
            <v>336818</v>
          </cell>
          <cell r="F191">
            <v>326413</v>
          </cell>
          <cell r="G191">
            <v>551265</v>
          </cell>
          <cell r="H191">
            <v>307970</v>
          </cell>
          <cell r="I191">
            <v>353840</v>
          </cell>
          <cell r="J191">
            <v>323531</v>
          </cell>
          <cell r="K191">
            <v>322813</v>
          </cell>
          <cell r="L191">
            <v>189989</v>
          </cell>
          <cell r="M191">
            <v>322347</v>
          </cell>
          <cell r="N191">
            <v>322143</v>
          </cell>
        </row>
        <row r="192">
          <cell r="A192">
            <v>926430</v>
          </cell>
          <cell r="B192" t="str">
            <v>Employees Recreation Expense</v>
          </cell>
          <cell r="C192">
            <v>21</v>
          </cell>
          <cell r="D192">
            <v>119873</v>
          </cell>
          <cell r="E192">
            <v>0</v>
          </cell>
          <cell r="F192">
            <v>38101</v>
          </cell>
          <cell r="G192">
            <v>235088</v>
          </cell>
          <cell r="H192">
            <v>0</v>
          </cell>
          <cell r="I192">
            <v>141</v>
          </cell>
          <cell r="J192">
            <v>141</v>
          </cell>
          <cell r="K192">
            <v>141</v>
          </cell>
          <cell r="L192">
            <v>141</v>
          </cell>
          <cell r="M192">
            <v>141</v>
          </cell>
          <cell r="N192">
            <v>141</v>
          </cell>
        </row>
        <row r="193">
          <cell r="A193">
            <v>926490</v>
          </cell>
          <cell r="B193" t="str">
            <v>0Ther Employee Benefits</v>
          </cell>
          <cell r="D193">
            <v>86</v>
          </cell>
          <cell r="I193">
            <v>0</v>
          </cell>
          <cell r="J193">
            <v>0</v>
          </cell>
          <cell r="K193">
            <v>0</v>
          </cell>
          <cell r="L193">
            <v>0</v>
          </cell>
          <cell r="M193">
            <v>0</v>
          </cell>
          <cell r="N193">
            <v>0</v>
          </cell>
        </row>
        <row r="194">
          <cell r="A194">
            <v>926600</v>
          </cell>
          <cell r="B194" t="str">
            <v>Employee Benefits-Transferred</v>
          </cell>
          <cell r="C194">
            <v>38101</v>
          </cell>
          <cell r="D194">
            <v>235088</v>
          </cell>
          <cell r="E194">
            <v>190713</v>
          </cell>
          <cell r="F194">
            <v>154761</v>
          </cell>
          <cell r="G194">
            <v>197247</v>
          </cell>
          <cell r="H194">
            <v>164479</v>
          </cell>
          <cell r="I194">
            <v>211482</v>
          </cell>
          <cell r="J194">
            <v>228440</v>
          </cell>
          <cell r="K194">
            <v>172799</v>
          </cell>
          <cell r="L194">
            <v>256533</v>
          </cell>
          <cell r="M194">
            <v>197987</v>
          </cell>
          <cell r="N194">
            <v>199730</v>
          </cell>
        </row>
        <row r="195">
          <cell r="A195">
            <v>928000</v>
          </cell>
          <cell r="B195" t="str">
            <v>Regulatory Expenses (Go)</v>
          </cell>
          <cell r="E195">
            <v>0</v>
          </cell>
          <cell r="I195">
            <v>0</v>
          </cell>
          <cell r="J195">
            <v>0</v>
          </cell>
          <cell r="K195">
            <v>0</v>
          </cell>
          <cell r="L195">
            <v>0</v>
          </cell>
          <cell r="M195">
            <v>0</v>
          </cell>
          <cell r="N195">
            <v>0</v>
          </cell>
        </row>
        <row r="196">
          <cell r="A196">
            <v>928006</v>
          </cell>
          <cell r="B196" t="str">
            <v>State Reg Comm Proceeding</v>
          </cell>
          <cell r="C196">
            <v>58602</v>
          </cell>
          <cell r="D196">
            <v>58602</v>
          </cell>
          <cell r="E196">
            <v>58602</v>
          </cell>
          <cell r="F196">
            <v>58602</v>
          </cell>
          <cell r="G196">
            <v>58602</v>
          </cell>
          <cell r="H196">
            <v>58602</v>
          </cell>
          <cell r="I196">
            <v>59220</v>
          </cell>
          <cell r="J196">
            <v>59220</v>
          </cell>
          <cell r="K196">
            <v>59220</v>
          </cell>
          <cell r="L196">
            <v>59220</v>
          </cell>
          <cell r="M196">
            <v>59220</v>
          </cell>
          <cell r="N196">
            <v>59220</v>
          </cell>
        </row>
        <row r="197">
          <cell r="A197">
            <v>928030</v>
          </cell>
          <cell r="B197" t="str">
            <v>Professional Fees Consultant</v>
          </cell>
          <cell r="C197">
            <v>-63928</v>
          </cell>
          <cell r="D197">
            <v>-117477</v>
          </cell>
          <cell r="E197">
            <v>-42618</v>
          </cell>
          <cell r="F197">
            <v>-31499</v>
          </cell>
          <cell r="G197">
            <v>-26046</v>
          </cell>
          <cell r="H197">
            <v>-29757</v>
          </cell>
          <cell r="I197">
            <v>0</v>
          </cell>
          <cell r="J197">
            <v>0</v>
          </cell>
          <cell r="K197">
            <v>0</v>
          </cell>
          <cell r="L197">
            <v>0</v>
          </cell>
          <cell r="M197">
            <v>0</v>
          </cell>
          <cell r="N197">
            <v>0</v>
          </cell>
        </row>
        <row r="198">
          <cell r="A198">
            <v>929000</v>
          </cell>
          <cell r="B198" t="str">
            <v>Duplicate Chrgs-Enrgy To Exp</v>
          </cell>
          <cell r="C198">
            <v>-3281</v>
          </cell>
          <cell r="D198">
            <v>-4416</v>
          </cell>
          <cell r="E198">
            <v>-4247</v>
          </cell>
          <cell r="F198">
            <v>-3825</v>
          </cell>
          <cell r="G198">
            <v>-3815</v>
          </cell>
          <cell r="H198">
            <v>-3647</v>
          </cell>
          <cell r="I198">
            <v>0</v>
          </cell>
          <cell r="J198">
            <v>0</v>
          </cell>
          <cell r="K198">
            <v>0</v>
          </cell>
          <cell r="L198">
            <v>0</v>
          </cell>
          <cell r="M198">
            <v>0</v>
          </cell>
          <cell r="N198">
            <v>0</v>
          </cell>
        </row>
        <row r="199">
          <cell r="A199">
            <v>929500</v>
          </cell>
          <cell r="B199" t="str">
            <v>Admin Exp Transf</v>
          </cell>
          <cell r="C199">
            <v>-31499</v>
          </cell>
          <cell r="D199">
            <v>-26046</v>
          </cell>
          <cell r="E199">
            <v>-29757</v>
          </cell>
          <cell r="F199">
            <v>-59220</v>
          </cell>
          <cell r="G199">
            <v>-33576</v>
          </cell>
          <cell r="H199">
            <v>-37886</v>
          </cell>
          <cell r="I199">
            <v>-27273</v>
          </cell>
          <cell r="J199">
            <v>-27273</v>
          </cell>
          <cell r="K199">
            <v>-27273</v>
          </cell>
          <cell r="L199">
            <v>-40235</v>
          </cell>
          <cell r="M199">
            <v>-27273</v>
          </cell>
          <cell r="N199">
            <v>-27273</v>
          </cell>
        </row>
        <row r="200">
          <cell r="A200">
            <v>930150</v>
          </cell>
          <cell r="B200" t="str">
            <v>Miscellaneous Advertising Exp</v>
          </cell>
          <cell r="C200">
            <v>1260</v>
          </cell>
          <cell r="D200">
            <v>1713</v>
          </cell>
          <cell r="E200">
            <v>1850</v>
          </cell>
          <cell r="F200">
            <v>1153</v>
          </cell>
          <cell r="G200">
            <v>2168</v>
          </cell>
          <cell r="H200">
            <v>3202</v>
          </cell>
          <cell r="I200">
            <v>0</v>
          </cell>
          <cell r="J200">
            <v>0</v>
          </cell>
          <cell r="K200">
            <v>0</v>
          </cell>
          <cell r="L200">
            <v>0</v>
          </cell>
          <cell r="M200">
            <v>0</v>
          </cell>
          <cell r="N200">
            <v>0</v>
          </cell>
        </row>
        <row r="201">
          <cell r="A201">
            <v>930200</v>
          </cell>
          <cell r="B201" t="str">
            <v>Misc General Expenses</v>
          </cell>
          <cell r="C201">
            <v>26195</v>
          </cell>
          <cell r="D201">
            <v>24148</v>
          </cell>
          <cell r="E201">
            <v>32100</v>
          </cell>
          <cell r="F201">
            <v>43449</v>
          </cell>
          <cell r="G201">
            <v>34388</v>
          </cell>
          <cell r="H201">
            <v>38274</v>
          </cell>
          <cell r="I201">
            <v>48994</v>
          </cell>
          <cell r="J201">
            <v>49625</v>
          </cell>
          <cell r="K201">
            <v>49800</v>
          </cell>
          <cell r="L201">
            <v>52556</v>
          </cell>
          <cell r="M201">
            <v>49221</v>
          </cell>
          <cell r="N201">
            <v>49035</v>
          </cell>
        </row>
        <row r="202">
          <cell r="A202">
            <v>930210</v>
          </cell>
          <cell r="B202" t="str">
            <v>Industry Association Dues</v>
          </cell>
          <cell r="C202">
            <v>3917</v>
          </cell>
          <cell r="D202">
            <v>47702</v>
          </cell>
          <cell r="E202">
            <v>0</v>
          </cell>
          <cell r="F202">
            <v>-7240</v>
          </cell>
          <cell r="G202">
            <v>0</v>
          </cell>
          <cell r="H202">
            <v>0</v>
          </cell>
          <cell r="I202">
            <v>0</v>
          </cell>
          <cell r="J202">
            <v>0</v>
          </cell>
          <cell r="K202">
            <v>0</v>
          </cell>
          <cell r="L202">
            <v>0</v>
          </cell>
          <cell r="M202">
            <v>0</v>
          </cell>
          <cell r="N202">
            <v>0</v>
          </cell>
        </row>
        <row r="203">
          <cell r="A203">
            <v>930220</v>
          </cell>
          <cell r="B203" t="str">
            <v>Exp Of Servicing Securities</v>
          </cell>
          <cell r="C203">
            <v>-41</v>
          </cell>
          <cell r="D203">
            <v>0</v>
          </cell>
          <cell r="E203">
            <v>315</v>
          </cell>
          <cell r="F203">
            <v>12040</v>
          </cell>
          <cell r="G203">
            <v>5000</v>
          </cell>
          <cell r="H203">
            <v>6505</v>
          </cell>
          <cell r="I203">
            <v>0</v>
          </cell>
          <cell r="J203">
            <v>0</v>
          </cell>
          <cell r="K203">
            <v>0</v>
          </cell>
          <cell r="L203">
            <v>0</v>
          </cell>
          <cell r="M203">
            <v>0</v>
          </cell>
          <cell r="N203">
            <v>0</v>
          </cell>
        </row>
        <row r="204">
          <cell r="A204">
            <v>930230</v>
          </cell>
          <cell r="B204" t="str">
            <v>Dues To Various Organizations</v>
          </cell>
          <cell r="C204">
            <v>10399</v>
          </cell>
          <cell r="D204">
            <v>947</v>
          </cell>
          <cell r="E204">
            <v>62</v>
          </cell>
          <cell r="F204">
            <v>958</v>
          </cell>
          <cell r="G204">
            <v>1671</v>
          </cell>
          <cell r="H204">
            <v>35</v>
          </cell>
          <cell r="I204">
            <v>1467</v>
          </cell>
          <cell r="J204">
            <v>1550</v>
          </cell>
          <cell r="K204">
            <v>3004</v>
          </cell>
          <cell r="L204">
            <v>1194</v>
          </cell>
          <cell r="M204">
            <v>4219</v>
          </cell>
          <cell r="N204">
            <v>6166</v>
          </cell>
        </row>
        <row r="205">
          <cell r="A205">
            <v>930240</v>
          </cell>
          <cell r="B205" t="str">
            <v>Director'S Expenses</v>
          </cell>
          <cell r="C205">
            <v>6826</v>
          </cell>
          <cell r="D205">
            <v>7167</v>
          </cell>
          <cell r="E205">
            <v>13</v>
          </cell>
          <cell r="F205">
            <v>488</v>
          </cell>
          <cell r="G205">
            <v>5174</v>
          </cell>
          <cell r="H205">
            <v>22645</v>
          </cell>
          <cell r="I205">
            <v>0</v>
          </cell>
          <cell r="J205">
            <v>0</v>
          </cell>
          <cell r="K205">
            <v>0</v>
          </cell>
          <cell r="L205">
            <v>0</v>
          </cell>
          <cell r="M205">
            <v>0</v>
          </cell>
          <cell r="N205">
            <v>0</v>
          </cell>
        </row>
        <row r="206">
          <cell r="A206">
            <v>930250</v>
          </cell>
          <cell r="B206" t="str">
            <v>Buy\Sell Transf Employee Homes</v>
          </cell>
          <cell r="C206">
            <v>3347</v>
          </cell>
          <cell r="D206">
            <v>2978</v>
          </cell>
          <cell r="E206">
            <v>-236</v>
          </cell>
          <cell r="F206">
            <v>1125</v>
          </cell>
          <cell r="G206">
            <v>1154</v>
          </cell>
          <cell r="H206">
            <v>1765</v>
          </cell>
          <cell r="I206">
            <v>2784</v>
          </cell>
          <cell r="J206">
            <v>301</v>
          </cell>
          <cell r="K206">
            <v>301</v>
          </cell>
          <cell r="L206">
            <v>2784</v>
          </cell>
          <cell r="M206">
            <v>301</v>
          </cell>
          <cell r="N206">
            <v>301</v>
          </cell>
        </row>
        <row r="207">
          <cell r="A207">
            <v>930600</v>
          </cell>
          <cell r="B207" t="str">
            <v>Leased Circuit Charges - Other</v>
          </cell>
          <cell r="C207">
            <v>296</v>
          </cell>
          <cell r="D207">
            <v>59</v>
          </cell>
          <cell r="E207">
            <v>12</v>
          </cell>
          <cell r="F207">
            <v>15</v>
          </cell>
          <cell r="G207">
            <v>86</v>
          </cell>
          <cell r="H207">
            <v>0</v>
          </cell>
          <cell r="I207">
            <v>0</v>
          </cell>
          <cell r="J207">
            <v>0</v>
          </cell>
          <cell r="K207">
            <v>0</v>
          </cell>
          <cell r="L207">
            <v>0</v>
          </cell>
          <cell r="M207">
            <v>0</v>
          </cell>
          <cell r="N207">
            <v>0</v>
          </cell>
        </row>
        <row r="208">
          <cell r="A208">
            <v>930700</v>
          </cell>
          <cell r="B208" t="str">
            <v>Research &amp; Development</v>
          </cell>
          <cell r="C208">
            <v>501</v>
          </cell>
          <cell r="D208">
            <v>45</v>
          </cell>
          <cell r="E208">
            <v>465</v>
          </cell>
          <cell r="F208">
            <v>71</v>
          </cell>
          <cell r="G208">
            <v>496</v>
          </cell>
          <cell r="H208">
            <v>258</v>
          </cell>
          <cell r="I208">
            <v>0</v>
          </cell>
          <cell r="J208">
            <v>0</v>
          </cell>
          <cell r="K208">
            <v>0</v>
          </cell>
          <cell r="L208">
            <v>0</v>
          </cell>
          <cell r="M208">
            <v>0</v>
          </cell>
          <cell r="N208">
            <v>0</v>
          </cell>
        </row>
        <row r="209">
          <cell r="A209">
            <v>930940</v>
          </cell>
          <cell r="B209" t="str">
            <v>General Expenses</v>
          </cell>
          <cell r="C209">
            <v>260</v>
          </cell>
          <cell r="D209">
            <v>86</v>
          </cell>
          <cell r="E209">
            <v>457</v>
          </cell>
          <cell r="F209">
            <v>53</v>
          </cell>
          <cell r="G209">
            <v>43</v>
          </cell>
          <cell r="H209">
            <v>101</v>
          </cell>
          <cell r="I209">
            <v>0</v>
          </cell>
          <cell r="J209">
            <v>0</v>
          </cell>
          <cell r="K209">
            <v>0</v>
          </cell>
          <cell r="L209">
            <v>0</v>
          </cell>
          <cell r="M209">
            <v>0</v>
          </cell>
          <cell r="N209">
            <v>0</v>
          </cell>
        </row>
        <row r="210">
          <cell r="A210">
            <v>931001</v>
          </cell>
          <cell r="B210" t="str">
            <v>Rents-A&amp;G</v>
          </cell>
          <cell r="C210">
            <v>18992</v>
          </cell>
          <cell r="D210">
            <v>18418</v>
          </cell>
          <cell r="E210">
            <v>17180</v>
          </cell>
          <cell r="F210">
            <v>18198</v>
          </cell>
          <cell r="G210">
            <v>18562</v>
          </cell>
          <cell r="H210">
            <v>17020</v>
          </cell>
          <cell r="I210">
            <v>18964</v>
          </cell>
          <cell r="J210">
            <v>18849</v>
          </cell>
          <cell r="K210">
            <v>18958</v>
          </cell>
          <cell r="L210">
            <v>18975</v>
          </cell>
          <cell r="M210">
            <v>18975</v>
          </cell>
          <cell r="N210">
            <v>18975</v>
          </cell>
        </row>
        <row r="211">
          <cell r="A211">
            <v>931008</v>
          </cell>
          <cell r="B211" t="str">
            <v>A&amp;G Rents-IC</v>
          </cell>
          <cell r="C211">
            <v>83131</v>
          </cell>
          <cell r="D211">
            <v>81259</v>
          </cell>
          <cell r="E211">
            <v>80709</v>
          </cell>
          <cell r="F211">
            <v>88016</v>
          </cell>
          <cell r="G211">
            <v>87304</v>
          </cell>
          <cell r="H211">
            <v>56073</v>
          </cell>
          <cell r="I211">
            <v>81301</v>
          </cell>
          <cell r="J211">
            <v>81301</v>
          </cell>
          <cell r="K211">
            <v>81301</v>
          </cell>
          <cell r="L211">
            <v>81301</v>
          </cell>
          <cell r="M211">
            <v>81301</v>
          </cell>
          <cell r="N211">
            <v>81301</v>
          </cell>
        </row>
        <row r="212">
          <cell r="A212">
            <v>935100</v>
          </cell>
          <cell r="B212" t="str">
            <v>Maint General Plant-Elec</v>
          </cell>
          <cell r="C212">
            <v>49</v>
          </cell>
          <cell r="D212">
            <v>1465</v>
          </cell>
          <cell r="E212">
            <v>-541</v>
          </cell>
          <cell r="F212">
            <v>549</v>
          </cell>
          <cell r="G212">
            <v>2011</v>
          </cell>
          <cell r="H212">
            <v>145</v>
          </cell>
          <cell r="I212">
            <v>4280</v>
          </cell>
          <cell r="J212">
            <v>16187</v>
          </cell>
          <cell r="K212">
            <v>3340</v>
          </cell>
          <cell r="L212">
            <v>3684</v>
          </cell>
          <cell r="M212">
            <v>3340</v>
          </cell>
          <cell r="N212">
            <v>3340</v>
          </cell>
        </row>
        <row r="213">
          <cell r="A213">
            <v>935200</v>
          </cell>
          <cell r="B213" t="str">
            <v>Cust Infor &amp; Computer Control</v>
          </cell>
          <cell r="C213">
            <v>14</v>
          </cell>
          <cell r="D213">
            <v>3</v>
          </cell>
          <cell r="E213">
            <v>0</v>
          </cell>
          <cell r="F213">
            <v>-4</v>
          </cell>
          <cell r="G213">
            <v>0</v>
          </cell>
          <cell r="H213">
            <v>1</v>
          </cell>
          <cell r="I213">
            <v>0</v>
          </cell>
          <cell r="J213">
            <v>0</v>
          </cell>
          <cell r="K213">
            <v>0</v>
          </cell>
          <cell r="L213">
            <v>0</v>
          </cell>
          <cell r="M213">
            <v>0</v>
          </cell>
          <cell r="N213">
            <v>0</v>
          </cell>
        </row>
      </sheetData>
      <sheetData sheetId="5">
        <row r="12">
          <cell r="A12">
            <v>440000</v>
          </cell>
          <cell r="D12" t="str">
            <v>BBEREV</v>
          </cell>
          <cell r="G12">
            <v>7093348</v>
          </cell>
          <cell r="H12">
            <v>8427342</v>
          </cell>
          <cell r="I12">
            <v>6597780</v>
          </cell>
          <cell r="J12">
            <v>6012250</v>
          </cell>
          <cell r="K12">
            <v>5331415</v>
          </cell>
          <cell r="L12">
            <v>5150601</v>
          </cell>
          <cell r="M12">
            <v>6223458</v>
          </cell>
          <cell r="N12">
            <v>8095575</v>
          </cell>
          <cell r="O12">
            <v>8321571</v>
          </cell>
          <cell r="P12">
            <v>7479656</v>
          </cell>
          <cell r="Q12">
            <v>5278504</v>
          </cell>
          <cell r="R12">
            <v>5395184</v>
          </cell>
        </row>
        <row r="13">
          <cell r="A13">
            <v>440000</v>
          </cell>
          <cell r="D13" t="str">
            <v>BEFREV</v>
          </cell>
          <cell r="G13">
            <v>3677306</v>
          </cell>
          <cell r="H13">
            <v>4433371</v>
          </cell>
          <cell r="I13">
            <v>3402539</v>
          </cell>
          <cell r="J13">
            <v>3069717</v>
          </cell>
          <cell r="K13">
            <v>2686524</v>
          </cell>
          <cell r="L13">
            <v>2588234</v>
          </cell>
          <cell r="M13">
            <v>2825321</v>
          </cell>
          <cell r="N13">
            <v>3758779</v>
          </cell>
          <cell r="O13">
            <v>3871602</v>
          </cell>
          <cell r="P13">
            <v>3451334</v>
          </cell>
          <cell r="Q13">
            <v>2353199</v>
          </cell>
          <cell r="R13">
            <v>2411155</v>
          </cell>
        </row>
        <row r="14">
          <cell r="A14">
            <v>440000</v>
          </cell>
          <cell r="D14" t="str">
            <v>REDSM</v>
          </cell>
          <cell r="G14">
            <v>899172</v>
          </cell>
          <cell r="H14">
            <v>1084950</v>
          </cell>
          <cell r="I14">
            <v>857605</v>
          </cell>
          <cell r="J14">
            <v>773465</v>
          </cell>
          <cell r="K14">
            <v>734455</v>
          </cell>
          <cell r="L14">
            <v>706329</v>
          </cell>
          <cell r="M14">
            <v>680351</v>
          </cell>
          <cell r="N14">
            <v>773742</v>
          </cell>
          <cell r="O14">
            <v>691707</v>
          </cell>
          <cell r="P14">
            <v>630026</v>
          </cell>
          <cell r="Q14">
            <v>685478</v>
          </cell>
          <cell r="R14">
            <v>524429</v>
          </cell>
        </row>
        <row r="15">
          <cell r="A15">
            <v>440000</v>
          </cell>
          <cell r="D15" t="str">
            <v>REFC</v>
          </cell>
          <cell r="G15">
            <v>-750364</v>
          </cell>
          <cell r="H15">
            <v>-884134</v>
          </cell>
          <cell r="I15">
            <v>-586923</v>
          </cell>
          <cell r="J15">
            <v>-609415</v>
          </cell>
          <cell r="K15">
            <v>-696576</v>
          </cell>
          <cell r="L15">
            <v>-801494</v>
          </cell>
          <cell r="M15">
            <v>-225036</v>
          </cell>
          <cell r="N15">
            <v>-164761</v>
          </cell>
          <cell r="O15">
            <v>-188004</v>
          </cell>
          <cell r="P15">
            <v>-12536</v>
          </cell>
          <cell r="Q15">
            <v>-135122</v>
          </cell>
          <cell r="R15">
            <v>-197678</v>
          </cell>
        </row>
        <row r="16">
          <cell r="A16">
            <v>440000</v>
          </cell>
          <cell r="D16" t="str">
            <v>RKEPSM</v>
          </cell>
          <cell r="G16">
            <v>-154829</v>
          </cell>
          <cell r="H16">
            <v>-186883</v>
          </cell>
          <cell r="I16">
            <v>-143052</v>
          </cell>
          <cell r="J16">
            <v>-160744</v>
          </cell>
          <cell r="K16">
            <v>-140723</v>
          </cell>
          <cell r="L16">
            <v>-135356</v>
          </cell>
          <cell r="M16">
            <v>-34919</v>
          </cell>
          <cell r="N16">
            <v>-67941</v>
          </cell>
          <cell r="O16">
            <v>5182</v>
          </cell>
          <cell r="P16">
            <v>20875</v>
          </cell>
          <cell r="Q16">
            <v>3394</v>
          </cell>
          <cell r="R16">
            <v>-23175</v>
          </cell>
        </row>
        <row r="17">
          <cell r="A17">
            <v>440990</v>
          </cell>
          <cell r="D17" t="str">
            <v>UNBILL</v>
          </cell>
          <cell r="G17">
            <v>1212394</v>
          </cell>
          <cell r="H17">
            <v>-1263731</v>
          </cell>
          <cell r="I17">
            <v>-836672</v>
          </cell>
          <cell r="J17">
            <v>-528078</v>
          </cell>
          <cell r="K17">
            <v>-339258</v>
          </cell>
          <cell r="L17">
            <v>784453</v>
          </cell>
          <cell r="M17">
            <v>1101729</v>
          </cell>
          <cell r="N17">
            <v>234596</v>
          </cell>
          <cell r="O17">
            <v>-851777</v>
          </cell>
          <cell r="P17">
            <v>-2926539</v>
          </cell>
          <cell r="Q17">
            <v>-67129</v>
          </cell>
          <cell r="R17">
            <v>1082282</v>
          </cell>
        </row>
        <row r="18">
          <cell r="A18">
            <v>442100</v>
          </cell>
          <cell r="D18" t="str">
            <v>BBEREV</v>
          </cell>
          <cell r="G18">
            <v>5982285</v>
          </cell>
          <cell r="H18">
            <v>6101430</v>
          </cell>
          <cell r="I18">
            <v>5724302</v>
          </cell>
          <cell r="J18">
            <v>5656628</v>
          </cell>
          <cell r="K18">
            <v>5642383</v>
          </cell>
          <cell r="L18">
            <v>5710289</v>
          </cell>
          <cell r="M18">
            <v>6269966</v>
          </cell>
          <cell r="N18">
            <v>6708140</v>
          </cell>
          <cell r="O18">
            <v>6684444</v>
          </cell>
          <cell r="P18">
            <v>6501874</v>
          </cell>
          <cell r="Q18">
            <v>5863006</v>
          </cell>
          <cell r="R18">
            <v>5778508</v>
          </cell>
        </row>
        <row r="19">
          <cell r="A19">
            <v>442100</v>
          </cell>
          <cell r="D19" t="str">
            <v>BEFREV</v>
          </cell>
          <cell r="G19">
            <v>3604659</v>
          </cell>
          <cell r="H19">
            <v>3662188</v>
          </cell>
          <cell r="I19">
            <v>3305795</v>
          </cell>
          <cell r="J19">
            <v>3246319</v>
          </cell>
          <cell r="K19">
            <v>3273734</v>
          </cell>
          <cell r="L19">
            <v>3344724</v>
          </cell>
          <cell r="M19">
            <v>3264205</v>
          </cell>
          <cell r="N19">
            <v>3559523</v>
          </cell>
          <cell r="O19">
            <v>3522576</v>
          </cell>
          <cell r="P19">
            <v>3436864</v>
          </cell>
          <cell r="Q19">
            <v>3005937</v>
          </cell>
          <cell r="R19">
            <v>2930961</v>
          </cell>
        </row>
        <row r="20">
          <cell r="A20">
            <v>442100</v>
          </cell>
          <cell r="D20" t="str">
            <v>REDSM</v>
          </cell>
          <cell r="G20">
            <v>343586</v>
          </cell>
          <cell r="H20">
            <v>349320</v>
          </cell>
          <cell r="I20">
            <v>318513</v>
          </cell>
          <cell r="J20">
            <v>310217</v>
          </cell>
          <cell r="K20">
            <v>289750</v>
          </cell>
          <cell r="L20">
            <v>295277</v>
          </cell>
          <cell r="M20">
            <v>240882</v>
          </cell>
          <cell r="N20">
            <v>276500</v>
          </cell>
          <cell r="O20">
            <v>273630</v>
          </cell>
          <cell r="P20">
            <v>253623</v>
          </cell>
          <cell r="Q20">
            <v>245173</v>
          </cell>
          <cell r="R20">
            <v>193523</v>
          </cell>
        </row>
        <row r="21">
          <cell r="A21">
            <v>442100</v>
          </cell>
          <cell r="D21" t="str">
            <v>REFC</v>
          </cell>
          <cell r="G21">
            <v>-734229</v>
          </cell>
          <cell r="H21">
            <v>-729349</v>
          </cell>
          <cell r="I21">
            <v>-572122</v>
          </cell>
          <cell r="J21">
            <v>-644370</v>
          </cell>
          <cell r="K21">
            <v>-847186</v>
          </cell>
          <cell r="L21">
            <v>-1037055</v>
          </cell>
          <cell r="M21">
            <v>-259993</v>
          </cell>
          <cell r="N21">
            <v>-156027</v>
          </cell>
          <cell r="O21">
            <v>-171055</v>
          </cell>
          <cell r="P21">
            <v>-12484</v>
          </cell>
          <cell r="Q21">
            <v>-172603</v>
          </cell>
          <cell r="R21">
            <v>-240295</v>
          </cell>
        </row>
        <row r="22">
          <cell r="A22">
            <v>442100</v>
          </cell>
          <cell r="D22" t="str">
            <v>RKEPSM</v>
          </cell>
          <cell r="G22">
            <v>-151524</v>
          </cell>
          <cell r="H22">
            <v>-154193</v>
          </cell>
          <cell r="I22">
            <v>-139199</v>
          </cell>
          <cell r="J22">
            <v>-169994</v>
          </cell>
          <cell r="K22">
            <v>-171356</v>
          </cell>
          <cell r="L22">
            <v>-175342</v>
          </cell>
          <cell r="M22">
            <v>-40343</v>
          </cell>
          <cell r="N22">
            <v>-64339</v>
          </cell>
          <cell r="O22">
            <v>4715</v>
          </cell>
          <cell r="P22">
            <v>20788</v>
          </cell>
          <cell r="Q22">
            <v>4336</v>
          </cell>
          <cell r="R22">
            <v>-28171</v>
          </cell>
        </row>
        <row r="23">
          <cell r="A23">
            <v>442190</v>
          </cell>
          <cell r="D23" t="str">
            <v>UNBILL</v>
          </cell>
          <cell r="G23">
            <v>-134486</v>
          </cell>
          <cell r="H23">
            <v>-235686</v>
          </cell>
          <cell r="I23">
            <v>-289852</v>
          </cell>
          <cell r="J23">
            <v>106074</v>
          </cell>
          <cell r="K23">
            <v>-21272</v>
          </cell>
          <cell r="L23">
            <v>223617</v>
          </cell>
          <cell r="M23">
            <v>588408</v>
          </cell>
          <cell r="N23">
            <v>375156</v>
          </cell>
          <cell r="O23">
            <v>-108433</v>
          </cell>
          <cell r="P23">
            <v>-370491</v>
          </cell>
          <cell r="Q23">
            <v>201645</v>
          </cell>
          <cell r="R23">
            <v>-211025</v>
          </cell>
        </row>
        <row r="24">
          <cell r="A24">
            <v>442200</v>
          </cell>
          <cell r="D24" t="str">
            <v>BBEREV</v>
          </cell>
          <cell r="G24">
            <v>2523241</v>
          </cell>
          <cell r="H24">
            <v>2442454</v>
          </cell>
          <cell r="I24">
            <v>2426914</v>
          </cell>
          <cell r="J24">
            <v>2439069</v>
          </cell>
          <cell r="K24">
            <v>2473764</v>
          </cell>
          <cell r="L24">
            <v>2555379</v>
          </cell>
          <cell r="M24">
            <v>2884948</v>
          </cell>
          <cell r="N24">
            <v>2893016</v>
          </cell>
          <cell r="O24">
            <v>2862343</v>
          </cell>
          <cell r="P24">
            <v>2800482</v>
          </cell>
          <cell r="Q24">
            <v>2716713</v>
          </cell>
          <cell r="R24">
            <v>2732266</v>
          </cell>
        </row>
        <row r="25">
          <cell r="A25">
            <v>442200</v>
          </cell>
          <cell r="D25" t="str">
            <v>BEFREV</v>
          </cell>
          <cell r="G25">
            <v>1996008</v>
          </cell>
          <cell r="H25">
            <v>1844696</v>
          </cell>
          <cell r="I25">
            <v>1844642</v>
          </cell>
          <cell r="J25">
            <v>1801964</v>
          </cell>
          <cell r="K25">
            <v>1856644</v>
          </cell>
          <cell r="L25">
            <v>1932761</v>
          </cell>
          <cell r="M25">
            <v>1759936</v>
          </cell>
          <cell r="N25">
            <v>1777933</v>
          </cell>
          <cell r="O25">
            <v>1769849</v>
          </cell>
          <cell r="P25">
            <v>1748376</v>
          </cell>
          <cell r="Q25">
            <v>1765498</v>
          </cell>
          <cell r="R25">
            <v>1755765</v>
          </cell>
        </row>
        <row r="26">
          <cell r="A26">
            <v>442200</v>
          </cell>
          <cell r="D26" t="str">
            <v>REDSM</v>
          </cell>
          <cell r="G26">
            <v>146100</v>
          </cell>
          <cell r="H26">
            <v>136041</v>
          </cell>
          <cell r="I26">
            <v>137528</v>
          </cell>
          <cell r="J26">
            <v>133386</v>
          </cell>
          <cell r="K26">
            <v>128403</v>
          </cell>
          <cell r="L26">
            <v>132522</v>
          </cell>
          <cell r="M26">
            <v>129875</v>
          </cell>
          <cell r="N26">
            <v>138108</v>
          </cell>
          <cell r="O26">
            <v>137480</v>
          </cell>
          <cell r="P26">
            <v>129021</v>
          </cell>
          <cell r="Q26">
            <v>143999</v>
          </cell>
          <cell r="R26">
            <v>115928</v>
          </cell>
        </row>
        <row r="27">
          <cell r="A27">
            <v>442200</v>
          </cell>
          <cell r="D27" t="str">
            <v>REFC</v>
          </cell>
          <cell r="G27">
            <v>-398464</v>
          </cell>
          <cell r="H27">
            <v>-360517</v>
          </cell>
          <cell r="I27">
            <v>-311505</v>
          </cell>
          <cell r="J27">
            <v>-351977</v>
          </cell>
          <cell r="K27">
            <v>-473997</v>
          </cell>
          <cell r="L27">
            <v>-590393</v>
          </cell>
          <cell r="M27">
            <v>-140179</v>
          </cell>
          <cell r="N27">
            <v>-77933</v>
          </cell>
          <cell r="O27">
            <v>-85943</v>
          </cell>
          <cell r="P27">
            <v>-6351</v>
          </cell>
          <cell r="Q27">
            <v>-101376</v>
          </cell>
          <cell r="R27">
            <v>-143946</v>
          </cell>
        </row>
        <row r="28">
          <cell r="A28">
            <v>442200</v>
          </cell>
          <cell r="D28" t="str">
            <v>RKEPSM</v>
          </cell>
          <cell r="G28">
            <v>-83839</v>
          </cell>
          <cell r="H28">
            <v>-77491</v>
          </cell>
          <cell r="I28">
            <v>-77482</v>
          </cell>
          <cell r="J28">
            <v>-94265</v>
          </cell>
          <cell r="K28">
            <v>-97127</v>
          </cell>
          <cell r="L28">
            <v>-101113</v>
          </cell>
          <cell r="M28">
            <v>-21752</v>
          </cell>
          <cell r="N28">
            <v>-32136</v>
          </cell>
          <cell r="O28">
            <v>2369</v>
          </cell>
          <cell r="P28">
            <v>10575</v>
          </cell>
          <cell r="Q28">
            <v>2547</v>
          </cell>
          <cell r="R28">
            <v>-16875</v>
          </cell>
        </row>
        <row r="29">
          <cell r="A29">
            <v>442290</v>
          </cell>
          <cell r="D29" t="str">
            <v>UNBILL</v>
          </cell>
          <cell r="G29">
            <v>-153749</v>
          </cell>
          <cell r="H29">
            <v>15961</v>
          </cell>
          <cell r="I29">
            <v>-218848</v>
          </cell>
          <cell r="J29">
            <v>136596</v>
          </cell>
          <cell r="K29">
            <v>-102759</v>
          </cell>
          <cell r="L29">
            <v>162141</v>
          </cell>
          <cell r="M29">
            <v>94679</v>
          </cell>
          <cell r="N29">
            <v>9994</v>
          </cell>
          <cell r="O29">
            <v>15835</v>
          </cell>
          <cell r="P29">
            <v>70916</v>
          </cell>
          <cell r="Q29">
            <v>-20930</v>
          </cell>
          <cell r="R29">
            <v>-17901</v>
          </cell>
        </row>
        <row r="30">
          <cell r="A30">
            <v>444000</v>
          </cell>
          <cell r="D30" t="str">
            <v>BBEREV</v>
          </cell>
          <cell r="G30">
            <v>106926</v>
          </cell>
          <cell r="H30">
            <v>87710</v>
          </cell>
          <cell r="I30">
            <v>105330</v>
          </cell>
          <cell r="J30">
            <v>104032</v>
          </cell>
          <cell r="K30">
            <v>104585</v>
          </cell>
          <cell r="L30">
            <v>103785</v>
          </cell>
          <cell r="M30">
            <v>104426</v>
          </cell>
          <cell r="N30">
            <v>107107</v>
          </cell>
          <cell r="O30">
            <v>106316</v>
          </cell>
          <cell r="P30">
            <v>105881</v>
          </cell>
          <cell r="Q30">
            <v>105510</v>
          </cell>
          <cell r="R30">
            <v>107182</v>
          </cell>
        </row>
        <row r="31">
          <cell r="A31">
            <v>444000</v>
          </cell>
          <cell r="D31" t="str">
            <v>BEFREV</v>
          </cell>
          <cell r="G31">
            <v>38253</v>
          </cell>
          <cell r="H31">
            <v>37418</v>
          </cell>
          <cell r="I31">
            <v>37369</v>
          </cell>
          <cell r="J31">
            <v>36007</v>
          </cell>
          <cell r="K31">
            <v>36699</v>
          </cell>
          <cell r="L31">
            <v>36136</v>
          </cell>
          <cell r="M31">
            <v>32518</v>
          </cell>
          <cell r="N31">
            <v>32621</v>
          </cell>
          <cell r="O31">
            <v>32544</v>
          </cell>
          <cell r="P31">
            <v>32621</v>
          </cell>
          <cell r="Q31">
            <v>32621</v>
          </cell>
          <cell r="R31">
            <v>33677</v>
          </cell>
        </row>
        <row r="32">
          <cell r="A32">
            <v>444000</v>
          </cell>
          <cell r="D32" t="str">
            <v>REDSM</v>
          </cell>
          <cell r="G32">
            <v>448</v>
          </cell>
          <cell r="H32">
            <v>423</v>
          </cell>
          <cell r="I32">
            <v>373</v>
          </cell>
          <cell r="J32">
            <v>273</v>
          </cell>
          <cell r="K32">
            <v>286</v>
          </cell>
          <cell r="L32">
            <v>260</v>
          </cell>
          <cell r="M32">
            <v>0</v>
          </cell>
          <cell r="N32">
            <v>0</v>
          </cell>
          <cell r="O32">
            <v>0</v>
          </cell>
          <cell r="P32">
            <v>0</v>
          </cell>
          <cell r="Q32">
            <v>0</v>
          </cell>
          <cell r="R32">
            <v>0</v>
          </cell>
        </row>
        <row r="33">
          <cell r="A33">
            <v>444000</v>
          </cell>
          <cell r="D33" t="str">
            <v>REFC</v>
          </cell>
          <cell r="G33">
            <v>-7787</v>
          </cell>
          <cell r="H33">
            <v>-7442</v>
          </cell>
          <cell r="I33">
            <v>-6481</v>
          </cell>
          <cell r="J33">
            <v>-7143</v>
          </cell>
          <cell r="K33">
            <v>-9506</v>
          </cell>
          <cell r="L33">
            <v>-11195</v>
          </cell>
          <cell r="M33">
            <v>-2590</v>
          </cell>
          <cell r="N33">
            <v>-1430</v>
          </cell>
          <cell r="O33">
            <v>-1580</v>
          </cell>
          <cell r="P33">
            <v>-118</v>
          </cell>
          <cell r="Q33">
            <v>-1873</v>
          </cell>
          <cell r="R33">
            <v>-2761</v>
          </cell>
        </row>
        <row r="34">
          <cell r="A34">
            <v>444000</v>
          </cell>
          <cell r="D34" t="str">
            <v>RKEPSM</v>
          </cell>
          <cell r="G34">
            <v>-1603</v>
          </cell>
          <cell r="H34">
            <v>-1569</v>
          </cell>
          <cell r="I34">
            <v>-1567</v>
          </cell>
          <cell r="J34">
            <v>-1879</v>
          </cell>
          <cell r="K34">
            <v>-1915</v>
          </cell>
          <cell r="L34">
            <v>-1886</v>
          </cell>
          <cell r="M34">
            <v>-402</v>
          </cell>
          <cell r="N34">
            <v>-590</v>
          </cell>
          <cell r="O34">
            <v>44</v>
          </cell>
          <cell r="P34">
            <v>197</v>
          </cell>
          <cell r="Q34">
            <v>47</v>
          </cell>
          <cell r="R34">
            <v>-324</v>
          </cell>
        </row>
        <row r="35">
          <cell r="A35">
            <v>445000</v>
          </cell>
          <cell r="D35" t="str">
            <v>BBEREV</v>
          </cell>
          <cell r="G35">
            <v>1117691</v>
          </cell>
          <cell r="H35">
            <v>1113876</v>
          </cell>
          <cell r="I35">
            <v>1034096</v>
          </cell>
          <cell r="J35">
            <v>1107687</v>
          </cell>
          <cell r="K35">
            <v>1042014</v>
          </cell>
          <cell r="L35">
            <v>1085006</v>
          </cell>
          <cell r="M35">
            <v>1163115</v>
          </cell>
          <cell r="N35">
            <v>1185460</v>
          </cell>
          <cell r="O35">
            <v>1217617</v>
          </cell>
          <cell r="P35">
            <v>1252877</v>
          </cell>
          <cell r="Q35">
            <v>1149944</v>
          </cell>
          <cell r="R35">
            <v>1109478</v>
          </cell>
        </row>
        <row r="36">
          <cell r="A36">
            <v>445000</v>
          </cell>
          <cell r="D36" t="str">
            <v>BEFREV</v>
          </cell>
          <cell r="G36">
            <v>707669</v>
          </cell>
          <cell r="H36">
            <v>716058</v>
          </cell>
          <cell r="I36">
            <v>622983</v>
          </cell>
          <cell r="J36">
            <v>646954</v>
          </cell>
          <cell r="K36">
            <v>622060</v>
          </cell>
          <cell r="L36">
            <v>665147</v>
          </cell>
          <cell r="M36">
            <v>618211</v>
          </cell>
          <cell r="N36">
            <v>638835</v>
          </cell>
          <cell r="O36">
            <v>663320</v>
          </cell>
          <cell r="P36">
            <v>702739</v>
          </cell>
          <cell r="Q36">
            <v>627738</v>
          </cell>
          <cell r="R36">
            <v>588010</v>
          </cell>
        </row>
        <row r="37">
          <cell r="A37">
            <v>445000</v>
          </cell>
          <cell r="D37" t="str">
            <v>REDSM</v>
          </cell>
          <cell r="G37">
            <v>56705</v>
          </cell>
          <cell r="H37">
            <v>57121</v>
          </cell>
          <cell r="I37">
            <v>50448</v>
          </cell>
          <cell r="J37">
            <v>52430</v>
          </cell>
          <cell r="K37">
            <v>46442</v>
          </cell>
          <cell r="L37">
            <v>50452</v>
          </cell>
          <cell r="M37">
            <v>45621</v>
          </cell>
          <cell r="N37">
            <v>49624</v>
          </cell>
          <cell r="O37">
            <v>51526</v>
          </cell>
          <cell r="P37">
            <v>51859</v>
          </cell>
          <cell r="Q37">
            <v>51200</v>
          </cell>
          <cell r="R37">
            <v>38825</v>
          </cell>
        </row>
        <row r="38">
          <cell r="A38">
            <v>445000</v>
          </cell>
          <cell r="D38" t="str">
            <v>REFC</v>
          </cell>
          <cell r="G38">
            <v>-143158</v>
          </cell>
          <cell r="H38">
            <v>-141833</v>
          </cell>
          <cell r="I38">
            <v>-107225</v>
          </cell>
          <cell r="J38">
            <v>-127474</v>
          </cell>
          <cell r="K38">
            <v>-160621</v>
          </cell>
          <cell r="L38">
            <v>-205394</v>
          </cell>
          <cell r="M38">
            <v>-49240</v>
          </cell>
          <cell r="N38">
            <v>-28002</v>
          </cell>
          <cell r="O38">
            <v>-32211</v>
          </cell>
          <cell r="P38">
            <v>-2553</v>
          </cell>
          <cell r="Q38">
            <v>-36045</v>
          </cell>
          <cell r="R38">
            <v>-48208</v>
          </cell>
        </row>
        <row r="39">
          <cell r="A39">
            <v>445000</v>
          </cell>
          <cell r="D39" t="str">
            <v>RKEPSM</v>
          </cell>
          <cell r="G39">
            <v>-29555</v>
          </cell>
          <cell r="H39">
            <v>-29975</v>
          </cell>
          <cell r="I39">
            <v>-26128</v>
          </cell>
          <cell r="J39">
            <v>-33548</v>
          </cell>
          <cell r="K39">
            <v>-32466</v>
          </cell>
          <cell r="L39">
            <v>-34716</v>
          </cell>
          <cell r="M39">
            <v>-7641</v>
          </cell>
          <cell r="N39">
            <v>-11547</v>
          </cell>
          <cell r="O39">
            <v>888</v>
          </cell>
          <cell r="P39">
            <v>4251</v>
          </cell>
          <cell r="Q39">
            <v>905</v>
          </cell>
          <cell r="R39">
            <v>-5652</v>
          </cell>
        </row>
        <row r="40">
          <cell r="A40">
            <v>445090</v>
          </cell>
          <cell r="D40" t="str">
            <v>UNBILL</v>
          </cell>
          <cell r="G40">
            <v>-61084</v>
          </cell>
          <cell r="H40">
            <v>-10057</v>
          </cell>
          <cell r="I40">
            <v>-114799</v>
          </cell>
          <cell r="J40">
            <v>44432</v>
          </cell>
          <cell r="K40">
            <v>-50026</v>
          </cell>
          <cell r="L40">
            <v>63810</v>
          </cell>
          <cell r="M40">
            <v>108023</v>
          </cell>
          <cell r="N40">
            <v>65849</v>
          </cell>
          <cell r="O40">
            <v>49795</v>
          </cell>
          <cell r="P40">
            <v>-89899</v>
          </cell>
          <cell r="Q40">
            <v>24909</v>
          </cell>
          <cell r="R40">
            <v>-63736</v>
          </cell>
        </row>
        <row r="41">
          <cell r="A41">
            <v>447150</v>
          </cell>
          <cell r="D41" t="str">
            <v>CAPCTY</v>
          </cell>
          <cell r="G41">
            <v>-3505</v>
          </cell>
          <cell r="H41">
            <v>-3505</v>
          </cell>
          <cell r="I41">
            <v>-3166</v>
          </cell>
          <cell r="J41">
            <v>-3505</v>
          </cell>
          <cell r="K41">
            <v>-3392</v>
          </cell>
          <cell r="L41">
            <v>-3505</v>
          </cell>
          <cell r="M41">
            <v>0</v>
          </cell>
          <cell r="N41">
            <v>0</v>
          </cell>
          <cell r="O41">
            <v>0</v>
          </cell>
          <cell r="P41">
            <v>0</v>
          </cell>
          <cell r="Q41">
            <v>0</v>
          </cell>
          <cell r="R41">
            <v>0</v>
          </cell>
        </row>
        <row r="42">
          <cell r="A42">
            <v>447150</v>
          </cell>
          <cell r="D42" t="str">
            <v>FACASM</v>
          </cell>
          <cell r="G42">
            <v>77244</v>
          </cell>
          <cell r="H42">
            <v>145522</v>
          </cell>
          <cell r="I42">
            <v>295430</v>
          </cell>
          <cell r="J42">
            <v>-236044</v>
          </cell>
          <cell r="K42">
            <v>65282</v>
          </cell>
          <cell r="L42">
            <v>113906</v>
          </cell>
          <cell r="M42">
            <v>0</v>
          </cell>
          <cell r="N42">
            <v>0</v>
          </cell>
          <cell r="O42">
            <v>0</v>
          </cell>
          <cell r="P42">
            <v>0</v>
          </cell>
          <cell r="Q42">
            <v>0</v>
          </cell>
          <cell r="R42">
            <v>0</v>
          </cell>
        </row>
        <row r="43">
          <cell r="A43">
            <v>447150</v>
          </cell>
          <cell r="D43" t="str">
            <v>FER668</v>
          </cell>
          <cell r="G43">
            <v>1855906</v>
          </cell>
          <cell r="H43">
            <v>0</v>
          </cell>
          <cell r="I43">
            <v>0</v>
          </cell>
          <cell r="J43">
            <v>1231565</v>
          </cell>
          <cell r="K43">
            <v>0</v>
          </cell>
          <cell r="L43">
            <v>0</v>
          </cell>
          <cell r="M43">
            <v>0</v>
          </cell>
          <cell r="N43">
            <v>0</v>
          </cell>
          <cell r="O43">
            <v>0</v>
          </cell>
          <cell r="P43">
            <v>0</v>
          </cell>
          <cell r="Q43">
            <v>0</v>
          </cell>
          <cell r="R43">
            <v>0</v>
          </cell>
        </row>
        <row r="44">
          <cell r="A44">
            <v>447150</v>
          </cell>
          <cell r="D44" t="str">
            <v>SLSRSL</v>
          </cell>
          <cell r="G44">
            <v>1001572</v>
          </cell>
          <cell r="H44">
            <v>1633194</v>
          </cell>
          <cell r="I44">
            <v>1316416</v>
          </cell>
          <cell r="J44">
            <v>2523067</v>
          </cell>
          <cell r="K44">
            <v>2433414</v>
          </cell>
          <cell r="L44">
            <v>1187598</v>
          </cell>
          <cell r="M44">
            <v>672000</v>
          </cell>
          <cell r="N44">
            <v>835000</v>
          </cell>
          <cell r="O44">
            <v>716000</v>
          </cell>
          <cell r="P44">
            <v>619000</v>
          </cell>
          <cell r="Q44">
            <v>898000</v>
          </cell>
          <cell r="R44">
            <v>569000</v>
          </cell>
        </row>
        <row r="45">
          <cell r="A45">
            <v>447155</v>
          </cell>
          <cell r="D45" t="str">
            <v xml:space="preserve"> </v>
          </cell>
          <cell r="G45">
            <v>0</v>
          </cell>
          <cell r="H45">
            <v>0</v>
          </cell>
          <cell r="I45">
            <v>0</v>
          </cell>
          <cell r="J45">
            <v>0</v>
          </cell>
          <cell r="K45">
            <v>0</v>
          </cell>
          <cell r="L45">
            <v>0</v>
          </cell>
          <cell r="M45">
            <v>0</v>
          </cell>
          <cell r="N45">
            <v>0</v>
          </cell>
          <cell r="O45">
            <v>0</v>
          </cell>
          <cell r="P45">
            <v>0</v>
          </cell>
          <cell r="Q45">
            <v>0</v>
          </cell>
          <cell r="R45">
            <v>0</v>
          </cell>
        </row>
        <row r="46">
          <cell r="A46">
            <v>447155</v>
          </cell>
          <cell r="D46" t="str">
            <v>CAPCTY</v>
          </cell>
          <cell r="G46">
            <v>0</v>
          </cell>
          <cell r="H46">
            <v>0</v>
          </cell>
          <cell r="I46">
            <v>0</v>
          </cell>
          <cell r="J46">
            <v>0</v>
          </cell>
          <cell r="K46">
            <v>0</v>
          </cell>
          <cell r="L46">
            <v>0</v>
          </cell>
          <cell r="M46">
            <v>0</v>
          </cell>
          <cell r="N46">
            <v>0</v>
          </cell>
          <cell r="O46">
            <v>0</v>
          </cell>
          <cell r="P46">
            <v>0</v>
          </cell>
          <cell r="Q46">
            <v>0</v>
          </cell>
          <cell r="R46">
            <v>0</v>
          </cell>
        </row>
        <row r="47">
          <cell r="A47">
            <v>448000</v>
          </cell>
          <cell r="D47" t="str">
            <v xml:space="preserve"> </v>
          </cell>
          <cell r="G47">
            <v>2467</v>
          </cell>
          <cell r="H47">
            <v>9022</v>
          </cell>
          <cell r="I47">
            <v>11880</v>
          </cell>
          <cell r="J47">
            <v>33871</v>
          </cell>
          <cell r="K47">
            <v>-26351</v>
          </cell>
          <cell r="L47">
            <v>2070</v>
          </cell>
          <cell r="M47">
            <v>2989</v>
          </cell>
          <cell r="N47">
            <v>4290</v>
          </cell>
          <cell r="O47">
            <v>3891</v>
          </cell>
          <cell r="P47">
            <v>1790</v>
          </cell>
          <cell r="Q47">
            <v>1935</v>
          </cell>
          <cell r="R47">
            <v>4220</v>
          </cell>
        </row>
        <row r="48">
          <cell r="A48">
            <v>449100</v>
          </cell>
          <cell r="D48" t="str">
            <v xml:space="preserve"> </v>
          </cell>
          <cell r="G48">
            <v>-379172</v>
          </cell>
          <cell r="H48">
            <v>93347</v>
          </cell>
          <cell r="I48">
            <v>225359</v>
          </cell>
          <cell r="J48">
            <v>-308596</v>
          </cell>
          <cell r="K48">
            <v>257601</v>
          </cell>
          <cell r="L48">
            <v>684721</v>
          </cell>
          <cell r="M48">
            <v>0</v>
          </cell>
          <cell r="N48">
            <v>0</v>
          </cell>
          <cell r="O48">
            <v>0</v>
          </cell>
          <cell r="P48">
            <v>0</v>
          </cell>
          <cell r="Q48">
            <v>0</v>
          </cell>
          <cell r="R48">
            <v>0</v>
          </cell>
        </row>
        <row r="49">
          <cell r="A49">
            <v>451100</v>
          </cell>
          <cell r="D49" t="str">
            <v>GP0000</v>
          </cell>
          <cell r="G49">
            <v>550</v>
          </cell>
          <cell r="H49">
            <v>550</v>
          </cell>
          <cell r="I49">
            <v>565</v>
          </cell>
          <cell r="J49">
            <v>587</v>
          </cell>
          <cell r="K49">
            <v>572</v>
          </cell>
          <cell r="L49">
            <v>586</v>
          </cell>
          <cell r="M49">
            <v>0</v>
          </cell>
          <cell r="N49">
            <v>0</v>
          </cell>
          <cell r="O49">
            <v>0</v>
          </cell>
          <cell r="P49">
            <v>0</v>
          </cell>
          <cell r="Q49">
            <v>0</v>
          </cell>
          <cell r="R49">
            <v>0</v>
          </cell>
        </row>
        <row r="50">
          <cell r="A50">
            <v>451100</v>
          </cell>
          <cell r="D50" t="str">
            <v>MRJC</v>
          </cell>
          <cell r="G50">
            <v>8695</v>
          </cell>
          <cell r="H50">
            <v>0</v>
          </cell>
          <cell r="I50">
            <v>0</v>
          </cell>
          <cell r="J50">
            <v>-5962</v>
          </cell>
          <cell r="K50">
            <v>0</v>
          </cell>
          <cell r="L50">
            <v>0</v>
          </cell>
          <cell r="M50">
            <v>0</v>
          </cell>
          <cell r="N50">
            <v>0</v>
          </cell>
          <cell r="O50">
            <v>0</v>
          </cell>
          <cell r="P50">
            <v>0</v>
          </cell>
          <cell r="Q50">
            <v>0</v>
          </cell>
          <cell r="R50">
            <v>0</v>
          </cell>
        </row>
        <row r="51">
          <cell r="A51">
            <v>451100</v>
          </cell>
          <cell r="D51" t="str">
            <v>MROTH</v>
          </cell>
          <cell r="G51">
            <v>6621</v>
          </cell>
          <cell r="H51">
            <v>7466</v>
          </cell>
          <cell r="I51">
            <v>6737</v>
          </cell>
          <cell r="J51">
            <v>7513</v>
          </cell>
          <cell r="K51">
            <v>7901</v>
          </cell>
          <cell r="L51">
            <v>9499</v>
          </cell>
          <cell r="M51">
            <v>0</v>
          </cell>
          <cell r="N51">
            <v>0</v>
          </cell>
          <cell r="O51">
            <v>0</v>
          </cell>
          <cell r="P51">
            <v>0</v>
          </cell>
          <cell r="Q51">
            <v>0</v>
          </cell>
          <cell r="R51">
            <v>0</v>
          </cell>
        </row>
        <row r="52">
          <cell r="A52">
            <v>451100</v>
          </cell>
          <cell r="D52" t="str">
            <v>PDREV</v>
          </cell>
          <cell r="G52">
            <v>10337</v>
          </cell>
          <cell r="H52">
            <v>11463</v>
          </cell>
          <cell r="I52">
            <v>11553</v>
          </cell>
          <cell r="J52">
            <v>16282</v>
          </cell>
          <cell r="K52">
            <v>14696</v>
          </cell>
          <cell r="L52">
            <v>19478</v>
          </cell>
          <cell r="M52">
            <v>24792</v>
          </cell>
          <cell r="N52">
            <v>24792</v>
          </cell>
          <cell r="O52">
            <v>24792</v>
          </cell>
          <cell r="P52">
            <v>24792</v>
          </cell>
          <cell r="Q52">
            <v>24792</v>
          </cell>
          <cell r="R52">
            <v>24792</v>
          </cell>
        </row>
        <row r="53">
          <cell r="A53">
            <v>453625</v>
          </cell>
          <cell r="G53">
            <v>85000</v>
          </cell>
          <cell r="H53">
            <v>9819</v>
          </cell>
          <cell r="I53">
            <v>9819</v>
          </cell>
          <cell r="J53">
            <v>9819</v>
          </cell>
          <cell r="K53">
            <v>0</v>
          </cell>
          <cell r="L53">
            <v>0</v>
          </cell>
          <cell r="M53">
            <v>0</v>
          </cell>
          <cell r="N53">
            <v>0</v>
          </cell>
          <cell r="O53">
            <v>0</v>
          </cell>
          <cell r="P53">
            <v>0</v>
          </cell>
          <cell r="Q53">
            <v>0</v>
          </cell>
          <cell r="R53">
            <v>0</v>
          </cell>
        </row>
        <row r="54">
          <cell r="A54">
            <v>454200</v>
          </cell>
          <cell r="D54" t="str">
            <v xml:space="preserve"> </v>
          </cell>
          <cell r="G54">
            <v>0</v>
          </cell>
          <cell r="H54">
            <v>32539</v>
          </cell>
          <cell r="I54">
            <v>0</v>
          </cell>
          <cell r="J54">
            <v>36</v>
          </cell>
          <cell r="K54">
            <v>85</v>
          </cell>
          <cell r="L54">
            <v>113</v>
          </cell>
          <cell r="M54">
            <v>14167</v>
          </cell>
          <cell r="N54">
            <v>14167</v>
          </cell>
          <cell r="O54">
            <v>14167</v>
          </cell>
          <cell r="P54">
            <v>14167</v>
          </cell>
          <cell r="Q54">
            <v>14167</v>
          </cell>
          <cell r="R54">
            <v>14167</v>
          </cell>
        </row>
        <row r="55">
          <cell r="A55">
            <v>454300</v>
          </cell>
          <cell r="D55" t="str">
            <v xml:space="preserve"> </v>
          </cell>
          <cell r="G55">
            <v>231</v>
          </cell>
          <cell r="H55">
            <v>231</v>
          </cell>
          <cell r="I55">
            <v>231</v>
          </cell>
          <cell r="J55">
            <v>0</v>
          </cell>
          <cell r="K55">
            <v>231</v>
          </cell>
          <cell r="L55">
            <v>231</v>
          </cell>
          <cell r="M55">
            <v>0</v>
          </cell>
          <cell r="N55">
            <v>0</v>
          </cell>
          <cell r="O55">
            <v>0</v>
          </cell>
          <cell r="P55">
            <v>0</v>
          </cell>
          <cell r="Q55">
            <v>0</v>
          </cell>
          <cell r="R55">
            <v>0</v>
          </cell>
        </row>
        <row r="56">
          <cell r="A56">
            <v>454400</v>
          </cell>
          <cell r="D56" t="str">
            <v xml:space="preserve"> </v>
          </cell>
          <cell r="G56">
            <v>32503</v>
          </cell>
          <cell r="H56">
            <v>80504</v>
          </cell>
          <cell r="I56">
            <v>66175</v>
          </cell>
          <cell r="J56">
            <v>73505</v>
          </cell>
          <cell r="K56">
            <v>73073</v>
          </cell>
          <cell r="L56">
            <v>75582</v>
          </cell>
          <cell r="M56">
            <v>46500</v>
          </cell>
          <cell r="N56">
            <v>46500</v>
          </cell>
          <cell r="O56">
            <v>46500</v>
          </cell>
          <cell r="P56">
            <v>46500</v>
          </cell>
          <cell r="Q56">
            <v>46500</v>
          </cell>
          <cell r="R56">
            <v>46500</v>
          </cell>
        </row>
        <row r="57">
          <cell r="A57">
            <v>454400</v>
          </cell>
          <cell r="D57" t="str">
            <v>BDPCHG</v>
          </cell>
          <cell r="M57">
            <v>41667</v>
          </cell>
          <cell r="N57">
            <v>41667</v>
          </cell>
          <cell r="O57">
            <v>41667</v>
          </cell>
          <cell r="P57">
            <v>41667</v>
          </cell>
          <cell r="Q57">
            <v>41667</v>
          </cell>
          <cell r="R57">
            <v>41667</v>
          </cell>
        </row>
        <row r="58">
          <cell r="A58">
            <v>454601</v>
          </cell>
          <cell r="N58">
            <v>4000000</v>
          </cell>
        </row>
        <row r="59">
          <cell r="A59">
            <v>456025</v>
          </cell>
          <cell r="D59" t="str">
            <v xml:space="preserve"> </v>
          </cell>
          <cell r="G59">
            <v>66722</v>
          </cell>
          <cell r="H59">
            <v>172028</v>
          </cell>
          <cell r="I59">
            <v>20831</v>
          </cell>
          <cell r="J59">
            <v>222875</v>
          </cell>
          <cell r="K59">
            <v>20</v>
          </cell>
          <cell r="L59">
            <v>52195</v>
          </cell>
          <cell r="M59">
            <v>0</v>
          </cell>
          <cell r="N59">
            <v>0</v>
          </cell>
          <cell r="O59">
            <v>0</v>
          </cell>
          <cell r="P59">
            <v>0</v>
          </cell>
          <cell r="Q59">
            <v>0</v>
          </cell>
          <cell r="R59">
            <v>0</v>
          </cell>
        </row>
        <row r="60">
          <cell r="A60">
            <v>456040</v>
          </cell>
          <cell r="D60" t="str">
            <v xml:space="preserve"> </v>
          </cell>
          <cell r="G60">
            <v>50</v>
          </cell>
          <cell r="H60">
            <v>50</v>
          </cell>
          <cell r="I60">
            <v>50</v>
          </cell>
          <cell r="J60">
            <v>50</v>
          </cell>
          <cell r="K60">
            <v>50</v>
          </cell>
          <cell r="L60">
            <v>50</v>
          </cell>
          <cell r="M60">
            <v>0</v>
          </cell>
          <cell r="N60">
            <v>0</v>
          </cell>
          <cell r="O60">
            <v>0</v>
          </cell>
          <cell r="P60">
            <v>0</v>
          </cell>
          <cell r="Q60">
            <v>0</v>
          </cell>
          <cell r="R60">
            <v>0</v>
          </cell>
        </row>
        <row r="61">
          <cell r="A61">
            <v>456075</v>
          </cell>
          <cell r="D61" t="str">
            <v xml:space="preserve"> </v>
          </cell>
          <cell r="G61">
            <v>0</v>
          </cell>
          <cell r="H61">
            <v>0</v>
          </cell>
          <cell r="I61">
            <v>0</v>
          </cell>
          <cell r="J61">
            <v>0</v>
          </cell>
          <cell r="K61">
            <v>0</v>
          </cell>
          <cell r="L61">
            <v>0</v>
          </cell>
          <cell r="M61">
            <v>0</v>
          </cell>
          <cell r="N61">
            <v>0</v>
          </cell>
          <cell r="O61">
            <v>0</v>
          </cell>
          <cell r="P61">
            <v>0</v>
          </cell>
          <cell r="Q61">
            <v>0</v>
          </cell>
          <cell r="R61">
            <v>0</v>
          </cell>
        </row>
        <row r="62">
          <cell r="A62">
            <v>456110</v>
          </cell>
          <cell r="D62" t="str">
            <v xml:space="preserve"> </v>
          </cell>
          <cell r="G62">
            <v>5041</v>
          </cell>
          <cell r="H62">
            <v>5369</v>
          </cell>
          <cell r="I62">
            <v>6684</v>
          </cell>
          <cell r="J62">
            <v>4763</v>
          </cell>
          <cell r="K62">
            <v>3621</v>
          </cell>
          <cell r="L62">
            <v>4619</v>
          </cell>
          <cell r="M62">
            <v>12083</v>
          </cell>
          <cell r="N62">
            <v>12083</v>
          </cell>
          <cell r="O62">
            <v>12083</v>
          </cell>
          <cell r="P62">
            <v>12083</v>
          </cell>
          <cell r="Q62">
            <v>12083</v>
          </cell>
          <cell r="R62">
            <v>12083</v>
          </cell>
        </row>
        <row r="63">
          <cell r="A63">
            <v>456111</v>
          </cell>
          <cell r="D63" t="str">
            <v>FACFTR</v>
          </cell>
          <cell r="G63">
            <v>304346</v>
          </cell>
          <cell r="H63">
            <v>60201</v>
          </cell>
          <cell r="I63">
            <v>-3379</v>
          </cell>
          <cell r="J63">
            <v>-552</v>
          </cell>
          <cell r="K63">
            <v>-43274</v>
          </cell>
          <cell r="L63">
            <v>121038</v>
          </cell>
          <cell r="M63">
            <v>227410</v>
          </cell>
          <cell r="N63">
            <v>227410</v>
          </cell>
          <cell r="O63">
            <v>227410</v>
          </cell>
          <cell r="P63">
            <v>227410</v>
          </cell>
          <cell r="Q63">
            <v>227410</v>
          </cell>
          <cell r="R63">
            <v>227410</v>
          </cell>
        </row>
        <row r="64">
          <cell r="A64">
            <v>456610</v>
          </cell>
          <cell r="D64" t="str">
            <v>OTHER</v>
          </cell>
          <cell r="G64">
            <v>0</v>
          </cell>
          <cell r="H64">
            <v>15633</v>
          </cell>
          <cell r="I64">
            <v>0</v>
          </cell>
          <cell r="J64">
            <v>0</v>
          </cell>
          <cell r="K64">
            <v>0</v>
          </cell>
          <cell r="L64">
            <v>0</v>
          </cell>
          <cell r="M64">
            <v>0</v>
          </cell>
          <cell r="N64">
            <v>0</v>
          </cell>
          <cell r="O64">
            <v>0</v>
          </cell>
          <cell r="P64">
            <v>0</v>
          </cell>
          <cell r="Q64">
            <v>0</v>
          </cell>
          <cell r="R64">
            <v>0</v>
          </cell>
        </row>
        <row r="65">
          <cell r="A65">
            <v>456970</v>
          </cell>
          <cell r="D65" t="str">
            <v xml:space="preserve"> </v>
          </cell>
          <cell r="G65">
            <v>4447</v>
          </cell>
          <cell r="H65">
            <v>5764</v>
          </cell>
          <cell r="I65">
            <v>5591</v>
          </cell>
          <cell r="J65">
            <v>4961</v>
          </cell>
          <cell r="K65">
            <v>5195</v>
          </cell>
          <cell r="L65">
            <v>4031</v>
          </cell>
          <cell r="M65">
            <v>2042</v>
          </cell>
          <cell r="N65">
            <v>2042</v>
          </cell>
          <cell r="O65">
            <v>2042</v>
          </cell>
          <cell r="P65">
            <v>2042</v>
          </cell>
          <cell r="Q65">
            <v>2042</v>
          </cell>
          <cell r="R65">
            <v>2042</v>
          </cell>
        </row>
      </sheetData>
      <sheetData sheetId="6">
        <row r="2">
          <cell r="A2">
            <v>440000</v>
          </cell>
          <cell r="C2" t="str">
            <v>BBEREV</v>
          </cell>
          <cell r="E2">
            <v>7093348</v>
          </cell>
          <cell r="F2">
            <v>8427342</v>
          </cell>
          <cell r="G2">
            <v>6597780</v>
          </cell>
          <cell r="H2">
            <v>6012250</v>
          </cell>
          <cell r="I2">
            <v>5331415</v>
          </cell>
          <cell r="J2">
            <v>5150601</v>
          </cell>
        </row>
        <row r="3">
          <cell r="A3">
            <v>440000</v>
          </cell>
          <cell r="C3" t="str">
            <v>BEFREV</v>
          </cell>
          <cell r="E3">
            <v>3677306</v>
          </cell>
          <cell r="F3">
            <v>4433371</v>
          </cell>
          <cell r="G3">
            <v>3402539</v>
          </cell>
          <cell r="H3">
            <v>3069717</v>
          </cell>
          <cell r="I3">
            <v>2686524</v>
          </cell>
          <cell r="J3">
            <v>2588234</v>
          </cell>
        </row>
        <row r="4">
          <cell r="A4">
            <v>440000</v>
          </cell>
          <cell r="C4" t="str">
            <v>REDSM</v>
          </cell>
          <cell r="E4">
            <v>899172</v>
          </cell>
          <cell r="F4">
            <v>1084950</v>
          </cell>
          <cell r="G4">
            <v>857605</v>
          </cell>
          <cell r="H4">
            <v>773465</v>
          </cell>
          <cell r="I4">
            <v>734455</v>
          </cell>
          <cell r="J4">
            <v>706329</v>
          </cell>
        </row>
        <row r="5">
          <cell r="A5">
            <v>440000</v>
          </cell>
          <cell r="C5" t="str">
            <v>REFC</v>
          </cell>
          <cell r="E5">
            <v>-750364</v>
          </cell>
          <cell r="F5">
            <v>-884134</v>
          </cell>
          <cell r="G5">
            <v>-586923</v>
          </cell>
          <cell r="H5">
            <v>-609415</v>
          </cell>
          <cell r="I5">
            <v>-696576</v>
          </cell>
          <cell r="J5">
            <v>-801494</v>
          </cell>
        </row>
        <row r="6">
          <cell r="A6">
            <v>440000</v>
          </cell>
          <cell r="C6" t="str">
            <v>RKEPSM</v>
          </cell>
          <cell r="E6">
            <v>-154829</v>
          </cell>
          <cell r="F6">
            <v>-186883</v>
          </cell>
          <cell r="G6">
            <v>-143052</v>
          </cell>
          <cell r="H6">
            <v>-160744</v>
          </cell>
          <cell r="I6">
            <v>-140723</v>
          </cell>
          <cell r="J6">
            <v>-135356</v>
          </cell>
        </row>
        <row r="7">
          <cell r="A7">
            <v>440990</v>
          </cell>
          <cell r="C7" t="str">
            <v>UNBILL</v>
          </cell>
          <cell r="E7">
            <v>1212394</v>
          </cell>
          <cell r="F7">
            <v>-1263731</v>
          </cell>
          <cell r="G7">
            <v>-836672</v>
          </cell>
          <cell r="H7">
            <v>-528078</v>
          </cell>
          <cell r="I7">
            <v>-339258</v>
          </cell>
          <cell r="J7">
            <v>784453</v>
          </cell>
        </row>
        <row r="8">
          <cell r="A8">
            <v>442100</v>
          </cell>
          <cell r="C8" t="str">
            <v>BBEREV</v>
          </cell>
          <cell r="E8">
            <v>5982285</v>
          </cell>
          <cell r="F8">
            <v>6101430</v>
          </cell>
          <cell r="G8">
            <v>5724302</v>
          </cell>
          <cell r="H8">
            <v>5656628</v>
          </cell>
          <cell r="I8">
            <v>5642383</v>
          </cell>
          <cell r="J8">
            <v>5710289</v>
          </cell>
        </row>
        <row r="9">
          <cell r="A9">
            <v>442100</v>
          </cell>
          <cell r="C9" t="str">
            <v>BEFREV</v>
          </cell>
          <cell r="E9">
            <v>3604659</v>
          </cell>
          <cell r="F9">
            <v>3662188</v>
          </cell>
          <cell r="G9">
            <v>3305795</v>
          </cell>
          <cell r="H9">
            <v>3246319</v>
          </cell>
          <cell r="I9">
            <v>3273734</v>
          </cell>
          <cell r="J9">
            <v>3344724</v>
          </cell>
        </row>
        <row r="10">
          <cell r="A10">
            <v>442100</v>
          </cell>
          <cell r="C10" t="str">
            <v>REDSM</v>
          </cell>
          <cell r="E10">
            <v>343586</v>
          </cell>
          <cell r="F10">
            <v>349320</v>
          </cell>
          <cell r="G10">
            <v>318513</v>
          </cell>
          <cell r="H10">
            <v>310217</v>
          </cell>
          <cell r="I10">
            <v>289750</v>
          </cell>
          <cell r="J10">
            <v>295277</v>
          </cell>
        </row>
        <row r="11">
          <cell r="A11">
            <v>442100</v>
          </cell>
          <cell r="C11" t="str">
            <v>REFC</v>
          </cell>
          <cell r="E11">
            <v>-734229</v>
          </cell>
          <cell r="F11">
            <v>-729349</v>
          </cell>
          <cell r="G11">
            <v>-572122</v>
          </cell>
          <cell r="H11">
            <v>-644370</v>
          </cell>
          <cell r="I11">
            <v>-847186</v>
          </cell>
          <cell r="J11">
            <v>-1037055</v>
          </cell>
        </row>
        <row r="12">
          <cell r="A12">
            <v>442100</v>
          </cell>
          <cell r="C12" t="str">
            <v>RKEPSM</v>
          </cell>
          <cell r="E12">
            <v>-151524</v>
          </cell>
          <cell r="F12">
            <v>-154193</v>
          </cell>
          <cell r="G12">
            <v>-139199</v>
          </cell>
          <cell r="H12">
            <v>-169994</v>
          </cell>
          <cell r="I12">
            <v>-171356</v>
          </cell>
          <cell r="J12">
            <v>-175342</v>
          </cell>
        </row>
        <row r="13">
          <cell r="A13">
            <v>442190</v>
          </cell>
          <cell r="C13" t="str">
            <v>UNBILL</v>
          </cell>
          <cell r="E13">
            <v>-134486</v>
          </cell>
          <cell r="F13">
            <v>-235686</v>
          </cell>
          <cell r="G13">
            <v>-289852</v>
          </cell>
          <cell r="H13">
            <v>106074</v>
          </cell>
          <cell r="I13">
            <v>-21272</v>
          </cell>
          <cell r="J13">
            <v>223617</v>
          </cell>
        </row>
        <row r="14">
          <cell r="A14">
            <v>442200</v>
          </cell>
          <cell r="C14" t="str">
            <v>BBEREV</v>
          </cell>
          <cell r="E14">
            <v>2523241</v>
          </cell>
          <cell r="F14">
            <v>2442454</v>
          </cell>
          <cell r="G14">
            <v>2426914</v>
          </cell>
          <cell r="H14">
            <v>2439069</v>
          </cell>
          <cell r="I14">
            <v>2473764</v>
          </cell>
          <cell r="J14">
            <v>2555379</v>
          </cell>
        </row>
        <row r="15">
          <cell r="A15">
            <v>442200</v>
          </cell>
          <cell r="C15" t="str">
            <v>BEFREV</v>
          </cell>
          <cell r="E15">
            <v>1996008</v>
          </cell>
          <cell r="F15">
            <v>1844696</v>
          </cell>
          <cell r="G15">
            <v>1844642</v>
          </cell>
          <cell r="H15">
            <v>1801964</v>
          </cell>
          <cell r="I15">
            <v>1856644</v>
          </cell>
          <cell r="J15">
            <v>1932761</v>
          </cell>
        </row>
        <row r="16">
          <cell r="A16">
            <v>442200</v>
          </cell>
          <cell r="C16" t="str">
            <v>REDSM</v>
          </cell>
          <cell r="E16">
            <v>146100</v>
          </cell>
          <cell r="F16">
            <v>136041</v>
          </cell>
          <cell r="G16">
            <v>137528</v>
          </cell>
          <cell r="H16">
            <v>133386</v>
          </cell>
          <cell r="I16">
            <v>128403</v>
          </cell>
          <cell r="J16">
            <v>132522</v>
          </cell>
        </row>
        <row r="17">
          <cell r="A17">
            <v>442200</v>
          </cell>
          <cell r="C17" t="str">
            <v>REFC</v>
          </cell>
          <cell r="E17">
            <v>-398464</v>
          </cell>
          <cell r="F17">
            <v>-360517</v>
          </cell>
          <cell r="G17">
            <v>-311505</v>
          </cell>
          <cell r="H17">
            <v>-351977</v>
          </cell>
          <cell r="I17">
            <v>-473997</v>
          </cell>
          <cell r="J17">
            <v>-590393</v>
          </cell>
        </row>
        <row r="18">
          <cell r="A18">
            <v>442200</v>
          </cell>
          <cell r="C18" t="str">
            <v>RKEPSM</v>
          </cell>
          <cell r="E18">
            <v>-83839</v>
          </cell>
          <cell r="F18">
            <v>-77491</v>
          </cell>
          <cell r="G18">
            <v>-77482</v>
          </cell>
          <cell r="H18">
            <v>-94265</v>
          </cell>
          <cell r="I18">
            <v>-97127</v>
          </cell>
          <cell r="J18">
            <v>-101113</v>
          </cell>
        </row>
        <row r="19">
          <cell r="A19">
            <v>442290</v>
          </cell>
          <cell r="C19" t="str">
            <v>UNBILL</v>
          </cell>
          <cell r="E19">
            <v>-153749</v>
          </cell>
          <cell r="F19">
            <v>15961</v>
          </cell>
          <cell r="G19">
            <v>-218848</v>
          </cell>
          <cell r="H19">
            <v>136596</v>
          </cell>
          <cell r="I19">
            <v>-102759</v>
          </cell>
          <cell r="J19">
            <v>162141</v>
          </cell>
        </row>
        <row r="20">
          <cell r="A20">
            <v>444000</v>
          </cell>
          <cell r="C20" t="str">
            <v>BBEREV</v>
          </cell>
          <cell r="E20">
            <v>106926</v>
          </cell>
          <cell r="F20">
            <v>87710</v>
          </cell>
          <cell r="G20">
            <v>105330</v>
          </cell>
          <cell r="H20">
            <v>104032</v>
          </cell>
          <cell r="I20">
            <v>104585</v>
          </cell>
          <cell r="J20">
            <v>103785</v>
          </cell>
        </row>
        <row r="21">
          <cell r="A21">
            <v>444000</v>
          </cell>
          <cell r="C21" t="str">
            <v>BEFREV</v>
          </cell>
          <cell r="E21">
            <v>38253</v>
          </cell>
          <cell r="F21">
            <v>37418</v>
          </cell>
          <cell r="G21">
            <v>37369</v>
          </cell>
          <cell r="H21">
            <v>36007</v>
          </cell>
          <cell r="I21">
            <v>36699</v>
          </cell>
          <cell r="J21">
            <v>36136</v>
          </cell>
        </row>
        <row r="22">
          <cell r="A22">
            <v>444000</v>
          </cell>
          <cell r="C22" t="str">
            <v>REDSM</v>
          </cell>
          <cell r="E22">
            <v>448</v>
          </cell>
          <cell r="F22">
            <v>423</v>
          </cell>
          <cell r="G22">
            <v>373</v>
          </cell>
          <cell r="H22">
            <v>273</v>
          </cell>
          <cell r="I22">
            <v>286</v>
          </cell>
          <cell r="J22">
            <v>260</v>
          </cell>
        </row>
        <row r="23">
          <cell r="A23">
            <v>444000</v>
          </cell>
          <cell r="C23" t="str">
            <v>REFC</v>
          </cell>
          <cell r="E23">
            <v>-7787</v>
          </cell>
          <cell r="F23">
            <v>-7442</v>
          </cell>
          <cell r="G23">
            <v>-6481</v>
          </cell>
          <cell r="H23">
            <v>-7143</v>
          </cell>
          <cell r="I23">
            <v>-9506</v>
          </cell>
          <cell r="J23">
            <v>-11195</v>
          </cell>
        </row>
        <row r="24">
          <cell r="A24">
            <v>444000</v>
          </cell>
          <cell r="C24" t="str">
            <v>RKEPSM</v>
          </cell>
          <cell r="E24">
            <v>-1603</v>
          </cell>
          <cell r="F24">
            <v>-1569</v>
          </cell>
          <cell r="G24">
            <v>-1567</v>
          </cell>
          <cell r="H24">
            <v>-1879</v>
          </cell>
          <cell r="I24">
            <v>-1915</v>
          </cell>
          <cell r="J24">
            <v>-1886</v>
          </cell>
        </row>
        <row r="25">
          <cell r="A25">
            <v>445000</v>
          </cell>
          <cell r="C25" t="str">
            <v>BBEREV</v>
          </cell>
          <cell r="E25">
            <v>1117691</v>
          </cell>
          <cell r="F25">
            <v>1113876</v>
          </cell>
          <cell r="G25">
            <v>1034096</v>
          </cell>
          <cell r="H25">
            <v>1107687</v>
          </cell>
          <cell r="I25">
            <v>1042014</v>
          </cell>
          <cell r="J25">
            <v>1085006</v>
          </cell>
        </row>
        <row r="26">
          <cell r="A26">
            <v>445000</v>
          </cell>
          <cell r="C26" t="str">
            <v>BEFREV</v>
          </cell>
          <cell r="E26">
            <v>707669</v>
          </cell>
          <cell r="F26">
            <v>716058</v>
          </cell>
          <cell r="G26">
            <v>622983</v>
          </cell>
          <cell r="H26">
            <v>646954</v>
          </cell>
          <cell r="I26">
            <v>622060</v>
          </cell>
          <cell r="J26">
            <v>665147</v>
          </cell>
        </row>
        <row r="27">
          <cell r="A27">
            <v>445000</v>
          </cell>
          <cell r="C27" t="str">
            <v>REDSM</v>
          </cell>
          <cell r="E27">
            <v>56705</v>
          </cell>
          <cell r="F27">
            <v>57121</v>
          </cell>
          <cell r="G27">
            <v>50448</v>
          </cell>
          <cell r="H27">
            <v>52430</v>
          </cell>
          <cell r="I27">
            <v>46442</v>
          </cell>
          <cell r="J27">
            <v>50452</v>
          </cell>
        </row>
        <row r="28">
          <cell r="A28">
            <v>445000</v>
          </cell>
          <cell r="C28" t="str">
            <v>REFC</v>
          </cell>
          <cell r="E28">
            <v>-143158</v>
          </cell>
          <cell r="F28">
            <v>-141833</v>
          </cell>
          <cell r="G28">
            <v>-107225</v>
          </cell>
          <cell r="H28">
            <v>-127474</v>
          </cell>
          <cell r="I28">
            <v>-160621</v>
          </cell>
          <cell r="J28">
            <v>-205394</v>
          </cell>
        </row>
        <row r="29">
          <cell r="A29">
            <v>445000</v>
          </cell>
          <cell r="C29" t="str">
            <v>RKEPSM</v>
          </cell>
          <cell r="E29">
            <v>-29555</v>
          </cell>
          <cell r="F29">
            <v>-29975</v>
          </cell>
          <cell r="G29">
            <v>-26128</v>
          </cell>
          <cell r="H29">
            <v>-33548</v>
          </cell>
          <cell r="I29">
            <v>-32466</v>
          </cell>
          <cell r="J29">
            <v>-34716</v>
          </cell>
        </row>
        <row r="30">
          <cell r="A30">
            <v>445090</v>
          </cell>
          <cell r="C30" t="str">
            <v>UNBILL</v>
          </cell>
          <cell r="E30">
            <v>-61084</v>
          </cell>
          <cell r="F30">
            <v>-10057</v>
          </cell>
          <cell r="G30">
            <v>-114799</v>
          </cell>
          <cell r="H30">
            <v>44432</v>
          </cell>
          <cell r="I30">
            <v>-50026</v>
          </cell>
          <cell r="J30">
            <v>63810</v>
          </cell>
        </row>
        <row r="31">
          <cell r="A31">
            <v>447150</v>
          </cell>
          <cell r="C31" t="str">
            <v>CAPCTY</v>
          </cell>
          <cell r="E31">
            <v>-3505</v>
          </cell>
          <cell r="F31">
            <v>-3505</v>
          </cell>
          <cell r="G31">
            <v>-3166</v>
          </cell>
          <cell r="H31">
            <v>-3505</v>
          </cell>
          <cell r="I31">
            <v>-3392</v>
          </cell>
          <cell r="J31">
            <v>-3505</v>
          </cell>
        </row>
        <row r="32">
          <cell r="A32">
            <v>447150</v>
          </cell>
          <cell r="C32" t="str">
            <v>FACASM</v>
          </cell>
          <cell r="E32">
            <v>77244</v>
          </cell>
          <cell r="F32">
            <v>145522</v>
          </cell>
          <cell r="G32">
            <v>295430</v>
          </cell>
          <cell r="H32">
            <v>-236044</v>
          </cell>
          <cell r="I32">
            <v>65282</v>
          </cell>
          <cell r="J32">
            <v>113906</v>
          </cell>
        </row>
        <row r="33">
          <cell r="A33">
            <v>447150</v>
          </cell>
          <cell r="C33" t="str">
            <v>FER668</v>
          </cell>
          <cell r="E33">
            <v>1855906</v>
          </cell>
          <cell r="H33">
            <v>1231565</v>
          </cell>
        </row>
        <row r="34">
          <cell r="A34">
            <v>447150</v>
          </cell>
          <cell r="C34" t="str">
            <v>SLSRSL</v>
          </cell>
          <cell r="E34">
            <v>1001572</v>
          </cell>
          <cell r="F34">
            <v>1633194</v>
          </cell>
          <cell r="G34">
            <v>1316416</v>
          </cell>
          <cell r="H34">
            <v>2523067</v>
          </cell>
          <cell r="I34">
            <v>2433414</v>
          </cell>
          <cell r="J34">
            <v>1187598</v>
          </cell>
        </row>
        <row r="35">
          <cell r="A35">
            <v>448000</v>
          </cell>
          <cell r="C35" t="str">
            <v xml:space="preserve"> </v>
          </cell>
          <cell r="E35">
            <v>2467</v>
          </cell>
          <cell r="F35">
            <v>9022</v>
          </cell>
          <cell r="G35">
            <v>11880</v>
          </cell>
          <cell r="H35">
            <v>33871</v>
          </cell>
          <cell r="I35">
            <v>-26351</v>
          </cell>
          <cell r="J35">
            <v>2070</v>
          </cell>
        </row>
        <row r="36">
          <cell r="A36">
            <v>449100</v>
          </cell>
          <cell r="C36" t="str">
            <v xml:space="preserve"> </v>
          </cell>
          <cell r="E36">
            <v>-379172</v>
          </cell>
          <cell r="F36">
            <v>93347</v>
          </cell>
          <cell r="G36">
            <v>225359</v>
          </cell>
          <cell r="H36">
            <v>-308596</v>
          </cell>
          <cell r="I36">
            <v>257601</v>
          </cell>
          <cell r="J36">
            <v>684721</v>
          </cell>
        </row>
        <row r="37">
          <cell r="A37">
            <v>450100</v>
          </cell>
          <cell r="C37" t="str">
            <v xml:space="preserve"> </v>
          </cell>
          <cell r="E37">
            <v>0</v>
          </cell>
          <cell r="F37">
            <v>0</v>
          </cell>
          <cell r="G37">
            <v>0</v>
          </cell>
          <cell r="H37">
            <v>0</v>
          </cell>
          <cell r="J37">
            <v>0</v>
          </cell>
        </row>
        <row r="38">
          <cell r="A38">
            <v>451100</v>
          </cell>
          <cell r="C38" t="str">
            <v>GP0000</v>
          </cell>
          <cell r="E38">
            <v>550</v>
          </cell>
          <cell r="F38">
            <v>550</v>
          </cell>
          <cell r="G38">
            <v>565</v>
          </cell>
          <cell r="H38">
            <v>587</v>
          </cell>
          <cell r="I38">
            <v>572</v>
          </cell>
          <cell r="J38">
            <v>586</v>
          </cell>
        </row>
        <row r="39">
          <cell r="A39">
            <v>451100</v>
          </cell>
          <cell r="C39" t="str">
            <v>MRJC</v>
          </cell>
          <cell r="E39">
            <v>8695</v>
          </cell>
          <cell r="H39">
            <v>-5962</v>
          </cell>
          <cell r="I39">
            <v>0</v>
          </cell>
        </row>
        <row r="40">
          <cell r="A40">
            <v>451100</v>
          </cell>
          <cell r="C40" t="str">
            <v>MROTH</v>
          </cell>
          <cell r="E40">
            <v>6621</v>
          </cell>
          <cell r="F40">
            <v>7466</v>
          </cell>
          <cell r="G40">
            <v>6737</v>
          </cell>
          <cell r="H40">
            <v>7513</v>
          </cell>
          <cell r="I40">
            <v>7901</v>
          </cell>
          <cell r="J40">
            <v>9499</v>
          </cell>
        </row>
        <row r="41">
          <cell r="A41">
            <v>451100</v>
          </cell>
          <cell r="C41" t="str">
            <v>PDREV</v>
          </cell>
          <cell r="E41">
            <v>10337</v>
          </cell>
          <cell r="F41">
            <v>11463</v>
          </cell>
          <cell r="G41">
            <v>11553</v>
          </cell>
          <cell r="H41">
            <v>16282</v>
          </cell>
          <cell r="I41">
            <v>14696</v>
          </cell>
          <cell r="J41">
            <v>19478</v>
          </cell>
        </row>
        <row r="42">
          <cell r="A42">
            <v>453625</v>
          </cell>
          <cell r="E42">
            <v>85000</v>
          </cell>
          <cell r="F42">
            <v>9819</v>
          </cell>
          <cell r="G42">
            <v>9819</v>
          </cell>
          <cell r="H42">
            <v>9819</v>
          </cell>
          <cell r="I42">
            <v>0</v>
          </cell>
          <cell r="J42">
            <v>0</v>
          </cell>
        </row>
        <row r="43">
          <cell r="A43">
            <v>454200</v>
          </cell>
          <cell r="C43" t="str">
            <v xml:space="preserve"> </v>
          </cell>
          <cell r="F43">
            <v>32539</v>
          </cell>
          <cell r="G43">
            <v>108</v>
          </cell>
          <cell r="H43">
            <v>36</v>
          </cell>
          <cell r="I43">
            <v>85</v>
          </cell>
          <cell r="J43">
            <v>113</v>
          </cell>
        </row>
        <row r="44">
          <cell r="A44">
            <v>454300</v>
          </cell>
          <cell r="C44" t="str">
            <v xml:space="preserve"> </v>
          </cell>
          <cell r="E44">
            <v>231</v>
          </cell>
          <cell r="F44">
            <v>231</v>
          </cell>
          <cell r="G44">
            <v>231</v>
          </cell>
          <cell r="H44">
            <v>0</v>
          </cell>
          <cell r="I44">
            <v>231</v>
          </cell>
          <cell r="J44">
            <v>231</v>
          </cell>
        </row>
        <row r="45">
          <cell r="A45">
            <v>454400</v>
          </cell>
          <cell r="C45" t="str">
            <v xml:space="preserve"> </v>
          </cell>
          <cell r="E45">
            <v>32503</v>
          </cell>
          <cell r="F45">
            <v>80504</v>
          </cell>
          <cell r="G45">
            <v>66175</v>
          </cell>
          <cell r="H45">
            <v>73505</v>
          </cell>
          <cell r="I45">
            <v>73073</v>
          </cell>
          <cell r="J45">
            <v>75582</v>
          </cell>
        </row>
        <row r="46">
          <cell r="A46">
            <v>456025</v>
          </cell>
          <cell r="C46" t="str">
            <v xml:space="preserve"> </v>
          </cell>
          <cell r="E46">
            <v>66722</v>
          </cell>
          <cell r="F46">
            <v>172028</v>
          </cell>
          <cell r="G46">
            <v>20831</v>
          </cell>
          <cell r="H46">
            <v>222875</v>
          </cell>
          <cell r="I46">
            <v>20</v>
          </cell>
          <cell r="J46">
            <v>52195</v>
          </cell>
        </row>
        <row r="47">
          <cell r="A47">
            <v>456040</v>
          </cell>
          <cell r="C47" t="str">
            <v xml:space="preserve"> </v>
          </cell>
          <cell r="E47">
            <v>50</v>
          </cell>
          <cell r="F47">
            <v>50</v>
          </cell>
          <cell r="G47">
            <v>50</v>
          </cell>
          <cell r="H47">
            <v>50</v>
          </cell>
          <cell r="I47">
            <v>50</v>
          </cell>
          <cell r="J47">
            <v>50</v>
          </cell>
        </row>
        <row r="48">
          <cell r="A48">
            <v>456110</v>
          </cell>
          <cell r="C48" t="str">
            <v xml:space="preserve"> </v>
          </cell>
          <cell r="E48">
            <v>5041</v>
          </cell>
          <cell r="F48">
            <v>5369</v>
          </cell>
          <cell r="G48">
            <v>6684</v>
          </cell>
          <cell r="H48">
            <v>4763</v>
          </cell>
          <cell r="I48">
            <v>3621</v>
          </cell>
          <cell r="J48">
            <v>4619</v>
          </cell>
        </row>
        <row r="49">
          <cell r="A49">
            <v>456111</v>
          </cell>
          <cell r="C49" t="str">
            <v>FACFTR</v>
          </cell>
          <cell r="E49">
            <v>304346</v>
          </cell>
          <cell r="F49">
            <v>60201</v>
          </cell>
          <cell r="G49">
            <v>-3379</v>
          </cell>
          <cell r="H49">
            <v>-552</v>
          </cell>
          <cell r="I49">
            <v>-43274</v>
          </cell>
          <cell r="J49">
            <v>121038</v>
          </cell>
        </row>
        <row r="50">
          <cell r="A50">
            <v>456610</v>
          </cell>
          <cell r="C50" t="str">
            <v>OTHER</v>
          </cell>
          <cell r="F50">
            <v>15633</v>
          </cell>
          <cell r="I50">
            <v>0</v>
          </cell>
        </row>
        <row r="51">
          <cell r="A51">
            <v>456970</v>
          </cell>
          <cell r="C51" t="str">
            <v xml:space="preserve"> </v>
          </cell>
          <cell r="E51">
            <v>4447</v>
          </cell>
          <cell r="F51">
            <v>5764</v>
          </cell>
          <cell r="G51">
            <v>5591</v>
          </cell>
          <cell r="H51">
            <v>4961</v>
          </cell>
          <cell r="I51">
            <v>5195</v>
          </cell>
          <cell r="J51">
            <v>4031</v>
          </cell>
        </row>
        <row r="52">
          <cell r="A52">
            <v>457100</v>
          </cell>
          <cell r="C52" t="str">
            <v xml:space="preserve"> </v>
          </cell>
          <cell r="E52">
            <v>0</v>
          </cell>
          <cell r="F52">
            <v>0</v>
          </cell>
          <cell r="G52">
            <v>0</v>
          </cell>
          <cell r="H52">
            <v>0</v>
          </cell>
          <cell r="J52">
            <v>0</v>
          </cell>
        </row>
        <row r="53">
          <cell r="A53">
            <v>457105</v>
          </cell>
          <cell r="C53" t="str">
            <v xml:space="preserve"> </v>
          </cell>
          <cell r="G53">
            <v>65634</v>
          </cell>
          <cell r="H53">
            <v>13301</v>
          </cell>
          <cell r="I53">
            <v>-2</v>
          </cell>
          <cell r="J53">
            <v>15078</v>
          </cell>
        </row>
        <row r="54">
          <cell r="A54">
            <v>457204</v>
          </cell>
          <cell r="C54" t="str">
            <v xml:space="preserve"> </v>
          </cell>
          <cell r="E54">
            <v>1100470</v>
          </cell>
          <cell r="F54">
            <v>24057</v>
          </cell>
          <cell r="G54">
            <v>-45057</v>
          </cell>
          <cell r="H54">
            <v>622802</v>
          </cell>
          <cell r="I54">
            <v>177769</v>
          </cell>
          <cell r="J54">
            <v>156769</v>
          </cell>
        </row>
      </sheetData>
      <sheetData sheetId="7">
        <row r="11">
          <cell r="A11">
            <v>403002</v>
          </cell>
          <cell r="B11" t="str">
            <v>Depr-Expense</v>
          </cell>
          <cell r="C11" t="str">
            <v>DEPR</v>
          </cell>
          <cell r="D11">
            <v>403</v>
          </cell>
          <cell r="E11">
            <v>43420349</v>
          </cell>
          <cell r="F11">
            <v>3460604</v>
          </cell>
          <cell r="G11">
            <v>3499468</v>
          </cell>
          <cell r="H11">
            <v>3503862</v>
          </cell>
          <cell r="I11">
            <v>3540592</v>
          </cell>
          <cell r="J11">
            <v>3537486</v>
          </cell>
          <cell r="K11">
            <v>3542479</v>
          </cell>
          <cell r="L11">
            <v>3561405</v>
          </cell>
          <cell r="M11">
            <v>3565170</v>
          </cell>
          <cell r="N11">
            <v>3649707</v>
          </cell>
          <cell r="O11">
            <v>3865620</v>
          </cell>
          <cell r="P11">
            <v>3867507</v>
          </cell>
          <cell r="Q11">
            <v>3826449</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AMORT</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1121913</v>
          </cell>
          <cell r="F14">
            <v>90064</v>
          </cell>
          <cell r="G14">
            <v>90064</v>
          </cell>
          <cell r="H14">
            <v>90064</v>
          </cell>
          <cell r="I14">
            <v>92265</v>
          </cell>
          <cell r="J14">
            <v>92265</v>
          </cell>
          <cell r="K14">
            <v>92265</v>
          </cell>
          <cell r="L14">
            <v>94718</v>
          </cell>
          <cell r="M14">
            <v>94718</v>
          </cell>
          <cell r="N14">
            <v>94718</v>
          </cell>
          <cell r="O14">
            <v>96924</v>
          </cell>
          <cell r="P14">
            <v>96924</v>
          </cell>
          <cell r="Q14">
            <v>96924</v>
          </cell>
        </row>
        <row r="15">
          <cell r="A15">
            <v>407354</v>
          </cell>
          <cell r="B15" t="str">
            <v>DSM Deferral - Electric</v>
          </cell>
          <cell r="C15" t="str">
            <v>OTH</v>
          </cell>
          <cell r="D15">
            <v>407</v>
          </cell>
          <cell r="E15">
            <v>-82500</v>
          </cell>
          <cell r="F15">
            <v>-11000</v>
          </cell>
          <cell r="G15">
            <v>-11000</v>
          </cell>
          <cell r="H15">
            <v>-11000</v>
          </cell>
          <cell r="I15">
            <v>-11000</v>
          </cell>
          <cell r="J15">
            <v>-11000</v>
          </cell>
          <cell r="K15">
            <v>-11000</v>
          </cell>
          <cell r="L15">
            <v>-11000</v>
          </cell>
          <cell r="M15">
            <v>-11000</v>
          </cell>
          <cell r="N15">
            <v>-11000</v>
          </cell>
          <cell r="O15">
            <v>5500</v>
          </cell>
          <cell r="P15">
            <v>5500</v>
          </cell>
          <cell r="Q15">
            <v>5500</v>
          </cell>
        </row>
        <row r="16">
          <cell r="A16">
            <v>407407</v>
          </cell>
          <cell r="B16" t="str">
            <v>Carrying Charges</v>
          </cell>
          <cell r="C16" t="str">
            <v>OTH</v>
          </cell>
          <cell r="D16">
            <v>407</v>
          </cell>
          <cell r="E16">
            <v>0</v>
          </cell>
          <cell r="F16">
            <v>0</v>
          </cell>
          <cell r="G16">
            <v>0</v>
          </cell>
          <cell r="H16">
            <v>0</v>
          </cell>
          <cell r="I16">
            <v>0</v>
          </cell>
          <cell r="J16">
            <v>0</v>
          </cell>
          <cell r="K16">
            <v>0</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0</v>
          </cell>
          <cell r="F18">
            <v>0</v>
          </cell>
          <cell r="G18">
            <v>0</v>
          </cell>
          <cell r="H18">
            <v>0</v>
          </cell>
          <cell r="I18">
            <v>0</v>
          </cell>
          <cell r="J18">
            <v>0</v>
          </cell>
          <cell r="K18">
            <v>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10714923</v>
          </cell>
          <cell r="F20">
            <v>841567</v>
          </cell>
          <cell r="G20">
            <v>841567</v>
          </cell>
          <cell r="H20">
            <v>841567</v>
          </cell>
          <cell r="I20">
            <v>841567</v>
          </cell>
          <cell r="J20">
            <v>841567</v>
          </cell>
          <cell r="K20">
            <v>841567</v>
          </cell>
          <cell r="L20">
            <v>841567</v>
          </cell>
          <cell r="M20">
            <v>841567</v>
          </cell>
          <cell r="N20">
            <v>841567</v>
          </cell>
          <cell r="O20">
            <v>1046940</v>
          </cell>
          <cell r="P20">
            <v>1046940</v>
          </cell>
          <cell r="Q20">
            <v>1046940</v>
          </cell>
        </row>
        <row r="21">
          <cell r="A21">
            <v>408150</v>
          </cell>
          <cell r="B21" t="str">
            <v>State Unemployment Tax</v>
          </cell>
          <cell r="C21" t="str">
            <v>OTHTX</v>
          </cell>
          <cell r="D21">
            <v>408</v>
          </cell>
          <cell r="E21">
            <v>0</v>
          </cell>
          <cell r="F21">
            <v>0</v>
          </cell>
          <cell r="G21">
            <v>0</v>
          </cell>
          <cell r="H21">
            <v>0</v>
          </cell>
          <cell r="I21">
            <v>0</v>
          </cell>
          <cell r="J21">
            <v>0</v>
          </cell>
          <cell r="K21">
            <v>0</v>
          </cell>
          <cell r="L21">
            <v>0</v>
          </cell>
          <cell r="M21">
            <v>0</v>
          </cell>
          <cell r="N21">
            <v>0</v>
          </cell>
          <cell r="O21">
            <v>0</v>
          </cell>
          <cell r="P21">
            <v>0</v>
          </cell>
          <cell r="Q21">
            <v>0</v>
          </cell>
        </row>
        <row r="22">
          <cell r="A22">
            <v>408151</v>
          </cell>
          <cell r="B22" t="str">
            <v>Federal Unemployment Tax</v>
          </cell>
          <cell r="C22" t="str">
            <v>OTHTX</v>
          </cell>
          <cell r="D22">
            <v>408</v>
          </cell>
          <cell r="E22">
            <v>0</v>
          </cell>
          <cell r="F22">
            <v>0</v>
          </cell>
          <cell r="G22">
            <v>0</v>
          </cell>
          <cell r="H22">
            <v>0</v>
          </cell>
          <cell r="I22">
            <v>0</v>
          </cell>
          <cell r="J22">
            <v>0</v>
          </cell>
          <cell r="K22">
            <v>0</v>
          </cell>
          <cell r="L22">
            <v>0</v>
          </cell>
          <cell r="M22">
            <v>0</v>
          </cell>
          <cell r="N22">
            <v>0</v>
          </cell>
          <cell r="O22">
            <v>0</v>
          </cell>
          <cell r="P22">
            <v>0</v>
          </cell>
          <cell r="Q22">
            <v>0</v>
          </cell>
        </row>
        <row r="23">
          <cell r="A23">
            <v>408152</v>
          </cell>
          <cell r="B23" t="str">
            <v>Employer FICA Tax</v>
          </cell>
          <cell r="C23" t="str">
            <v>OTHTX</v>
          </cell>
          <cell r="D23">
            <v>408</v>
          </cell>
          <cell r="E23">
            <v>0</v>
          </cell>
          <cell r="F23">
            <v>0</v>
          </cell>
          <cell r="G23">
            <v>0</v>
          </cell>
          <cell r="H23">
            <v>0</v>
          </cell>
          <cell r="I23">
            <v>0</v>
          </cell>
          <cell r="J23">
            <v>0</v>
          </cell>
          <cell r="K23">
            <v>0</v>
          </cell>
          <cell r="L23">
            <v>0</v>
          </cell>
          <cell r="M23">
            <v>0</v>
          </cell>
          <cell r="N23">
            <v>0</v>
          </cell>
          <cell r="O23">
            <v>0</v>
          </cell>
          <cell r="P23">
            <v>0</v>
          </cell>
          <cell r="Q23">
            <v>0</v>
          </cell>
        </row>
        <row r="24">
          <cell r="A24">
            <v>408153</v>
          </cell>
          <cell r="B24" t="str">
            <v>Employer Local Tax</v>
          </cell>
          <cell r="C24" t="str">
            <v>OTHTX</v>
          </cell>
          <cell r="D24">
            <v>408</v>
          </cell>
          <cell r="E24">
            <v>0</v>
          </cell>
          <cell r="F24">
            <v>0</v>
          </cell>
          <cell r="G24">
            <v>0</v>
          </cell>
          <cell r="H24">
            <v>0</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0</v>
          </cell>
          <cell r="F25">
            <v>0</v>
          </cell>
          <cell r="G25">
            <v>0</v>
          </cell>
          <cell r="H25">
            <v>0</v>
          </cell>
          <cell r="I25">
            <v>0</v>
          </cell>
          <cell r="J25">
            <v>0</v>
          </cell>
          <cell r="K25">
            <v>0</v>
          </cell>
          <cell r="L25">
            <v>0</v>
          </cell>
          <cell r="M25">
            <v>0</v>
          </cell>
          <cell r="N25">
            <v>0</v>
          </cell>
          <cell r="O25">
            <v>0</v>
          </cell>
          <cell r="P25">
            <v>0</v>
          </cell>
          <cell r="Q25">
            <v>0</v>
          </cell>
        </row>
        <row r="26">
          <cell r="A26">
            <v>408470</v>
          </cell>
          <cell r="B26" t="str">
            <v>Franchise Tax</v>
          </cell>
          <cell r="C26" t="str">
            <v>OTHTX</v>
          </cell>
          <cell r="D26">
            <v>408</v>
          </cell>
          <cell r="E26">
            <v>0</v>
          </cell>
          <cell r="F26">
            <v>0</v>
          </cell>
          <cell r="G26">
            <v>0</v>
          </cell>
          <cell r="H26">
            <v>0</v>
          </cell>
          <cell r="I26">
            <v>0</v>
          </cell>
          <cell r="J26">
            <v>0</v>
          </cell>
          <cell r="K26">
            <v>0</v>
          </cell>
          <cell r="L26">
            <v>0</v>
          </cell>
          <cell r="M26">
            <v>0</v>
          </cell>
          <cell r="N26">
            <v>0</v>
          </cell>
          <cell r="O26">
            <v>0</v>
          </cell>
          <cell r="P26">
            <v>0</v>
          </cell>
          <cell r="Q26">
            <v>0</v>
          </cell>
        </row>
        <row r="27">
          <cell r="A27">
            <v>408700</v>
          </cell>
          <cell r="B27" t="str">
            <v>Fed Social Security Tax-Elec</v>
          </cell>
          <cell r="C27" t="str">
            <v>OTHTX</v>
          </cell>
          <cell r="D27">
            <v>408</v>
          </cell>
          <cell r="E27">
            <v>0</v>
          </cell>
          <cell r="F27">
            <v>0</v>
          </cell>
          <cell r="G27">
            <v>0</v>
          </cell>
          <cell r="H27">
            <v>0</v>
          </cell>
          <cell r="I27">
            <v>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0</v>
          </cell>
          <cell r="F28">
            <v>0</v>
          </cell>
          <cell r="G28">
            <v>0</v>
          </cell>
          <cell r="H28">
            <v>0</v>
          </cell>
          <cell r="I28">
            <v>0</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0</v>
          </cell>
          <cell r="F29">
            <v>0</v>
          </cell>
          <cell r="G29">
            <v>0</v>
          </cell>
          <cell r="H29">
            <v>0</v>
          </cell>
          <cell r="I29">
            <v>0</v>
          </cell>
          <cell r="J29">
            <v>0</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2066143</v>
          </cell>
          <cell r="F30">
            <v>168590</v>
          </cell>
          <cell r="G30">
            <v>166523</v>
          </cell>
          <cell r="H30">
            <v>167034</v>
          </cell>
          <cell r="I30">
            <v>166545</v>
          </cell>
          <cell r="J30">
            <v>185895</v>
          </cell>
          <cell r="K30">
            <v>172996</v>
          </cell>
          <cell r="L30">
            <v>167290</v>
          </cell>
          <cell r="M30">
            <v>167318</v>
          </cell>
          <cell r="N30">
            <v>168288</v>
          </cell>
          <cell r="O30">
            <v>177374</v>
          </cell>
          <cell r="P30">
            <v>166520</v>
          </cell>
          <cell r="Q30">
            <v>191770</v>
          </cell>
        </row>
        <row r="31">
          <cell r="A31">
            <v>409102</v>
          </cell>
          <cell r="B31" t="str">
            <v>SIT Exp-Utility</v>
          </cell>
          <cell r="C31" t="str">
            <v>FIT</v>
          </cell>
          <cell r="D31">
            <v>409</v>
          </cell>
          <cell r="E31">
            <v>-280187</v>
          </cell>
          <cell r="F31">
            <v>-23349</v>
          </cell>
          <cell r="G31">
            <v>-23349</v>
          </cell>
          <cell r="H31">
            <v>-23349</v>
          </cell>
          <cell r="I31">
            <v>-23349</v>
          </cell>
          <cell r="J31">
            <v>-23349</v>
          </cell>
          <cell r="K31">
            <v>-23349</v>
          </cell>
          <cell r="L31">
            <v>-23349</v>
          </cell>
          <cell r="M31">
            <v>-23349</v>
          </cell>
          <cell r="N31">
            <v>-23349</v>
          </cell>
          <cell r="O31">
            <v>-23349</v>
          </cell>
          <cell r="P31">
            <v>-23349</v>
          </cell>
          <cell r="Q31">
            <v>-23348</v>
          </cell>
        </row>
        <row r="32">
          <cell r="A32">
            <v>409104</v>
          </cell>
          <cell r="B32" t="str">
            <v>Current State Income Tax - PY</v>
          </cell>
          <cell r="C32" t="str">
            <v>FIT</v>
          </cell>
          <cell r="D32">
            <v>409</v>
          </cell>
          <cell r="E32">
            <v>0</v>
          </cell>
          <cell r="F32">
            <v>0</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-21224297</v>
          </cell>
          <cell r="F33">
            <v>-1768691</v>
          </cell>
          <cell r="G33">
            <v>-1768691</v>
          </cell>
          <cell r="H33">
            <v>-1768691</v>
          </cell>
          <cell r="I33">
            <v>-1768691</v>
          </cell>
          <cell r="J33">
            <v>-1768691</v>
          </cell>
          <cell r="K33">
            <v>-1768691</v>
          </cell>
          <cell r="L33">
            <v>-1768691</v>
          </cell>
          <cell r="M33">
            <v>-1768691</v>
          </cell>
          <cell r="N33">
            <v>-1768691</v>
          </cell>
          <cell r="O33">
            <v>-1768691</v>
          </cell>
          <cell r="P33">
            <v>-1768691</v>
          </cell>
          <cell r="Q33">
            <v>-1768696</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0</v>
          </cell>
          <cell r="F35">
            <v>0</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0</v>
          </cell>
          <cell r="F37">
            <v>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24673074</v>
          </cell>
          <cell r="F38">
            <v>2056090</v>
          </cell>
          <cell r="G38">
            <v>2056090</v>
          </cell>
          <cell r="H38">
            <v>2056090</v>
          </cell>
          <cell r="I38">
            <v>2056090</v>
          </cell>
          <cell r="J38">
            <v>2056090</v>
          </cell>
          <cell r="K38">
            <v>2056090</v>
          </cell>
          <cell r="L38">
            <v>2056090</v>
          </cell>
          <cell r="M38">
            <v>2056090</v>
          </cell>
          <cell r="N38">
            <v>2056090</v>
          </cell>
          <cell r="O38">
            <v>2056090</v>
          </cell>
          <cell r="P38">
            <v>2056090</v>
          </cell>
          <cell r="Q38">
            <v>2056084</v>
          </cell>
        </row>
        <row r="39">
          <cell r="A39">
            <v>410102</v>
          </cell>
          <cell r="B39" t="str">
            <v>DSIT: Utility: Current Year</v>
          </cell>
          <cell r="C39" t="str">
            <v>FIT</v>
          </cell>
          <cell r="D39">
            <v>410</v>
          </cell>
          <cell r="E39">
            <v>921141</v>
          </cell>
          <cell r="F39">
            <v>76762</v>
          </cell>
          <cell r="G39">
            <v>76762</v>
          </cell>
          <cell r="H39">
            <v>76762</v>
          </cell>
          <cell r="I39">
            <v>76762</v>
          </cell>
          <cell r="J39">
            <v>76762</v>
          </cell>
          <cell r="K39">
            <v>76762</v>
          </cell>
          <cell r="L39">
            <v>76762</v>
          </cell>
          <cell r="M39">
            <v>76762</v>
          </cell>
          <cell r="N39">
            <v>76762</v>
          </cell>
          <cell r="O39">
            <v>76762</v>
          </cell>
          <cell r="P39">
            <v>76762</v>
          </cell>
          <cell r="Q39">
            <v>76759</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-11316</v>
          </cell>
          <cell r="F48">
            <v>-943</v>
          </cell>
          <cell r="G48">
            <v>-943</v>
          </cell>
          <cell r="H48">
            <v>-943</v>
          </cell>
          <cell r="I48">
            <v>-943</v>
          </cell>
          <cell r="J48">
            <v>-943</v>
          </cell>
          <cell r="K48">
            <v>-943</v>
          </cell>
          <cell r="L48">
            <v>-943</v>
          </cell>
          <cell r="M48">
            <v>-943</v>
          </cell>
          <cell r="N48">
            <v>-943</v>
          </cell>
          <cell r="O48">
            <v>-943</v>
          </cell>
          <cell r="P48">
            <v>-943</v>
          </cell>
          <cell r="Q48">
            <v>-943</v>
          </cell>
        </row>
        <row r="49">
          <cell r="A49">
            <v>426510</v>
          </cell>
          <cell r="B49" t="str">
            <v>Other</v>
          </cell>
          <cell r="C49" t="str">
            <v>CO</v>
          </cell>
          <cell r="D49">
            <v>426</v>
          </cell>
          <cell r="E49">
            <v>640064</v>
          </cell>
          <cell r="F49">
            <v>4738</v>
          </cell>
          <cell r="G49">
            <v>100541</v>
          </cell>
          <cell r="H49">
            <v>95780</v>
          </cell>
          <cell r="I49">
            <v>19473</v>
          </cell>
          <cell r="J49">
            <v>48608</v>
          </cell>
          <cell r="K49">
            <v>48405</v>
          </cell>
          <cell r="L49">
            <v>-54890</v>
          </cell>
          <cell r="M49">
            <v>-80473</v>
          </cell>
          <cell r="N49">
            <v>45672</v>
          </cell>
          <cell r="O49">
            <v>44016</v>
          </cell>
          <cell r="P49">
            <v>190598</v>
          </cell>
          <cell r="Q49">
            <v>177596</v>
          </cell>
        </row>
        <row r="50">
          <cell r="A50">
            <v>426891</v>
          </cell>
          <cell r="B50" t="str">
            <v>IC Sale of AR Fees VIE</v>
          </cell>
          <cell r="C50" t="str">
            <v>CO</v>
          </cell>
          <cell r="D50">
            <v>426</v>
          </cell>
          <cell r="E50">
            <v>359226</v>
          </cell>
          <cell r="F50">
            <v>25386</v>
          </cell>
          <cell r="G50">
            <v>29496</v>
          </cell>
          <cell r="H50">
            <v>31959</v>
          </cell>
          <cell r="I50">
            <v>33618</v>
          </cell>
          <cell r="J50">
            <v>34725</v>
          </cell>
          <cell r="K50">
            <v>28347</v>
          </cell>
          <cell r="L50">
            <v>26698</v>
          </cell>
          <cell r="M50">
            <v>28573</v>
          </cell>
          <cell r="N50">
            <v>30803</v>
          </cell>
          <cell r="O50">
            <v>31256</v>
          </cell>
          <cell r="P50">
            <v>29538</v>
          </cell>
          <cell r="Q50">
            <v>28827</v>
          </cell>
        </row>
        <row r="51">
          <cell r="A51">
            <v>440000</v>
          </cell>
          <cell r="B51" t="str">
            <v>Residential</v>
          </cell>
          <cell r="C51" t="str">
            <v>REV</v>
          </cell>
          <cell r="D51">
            <v>440</v>
          </cell>
          <cell r="E51">
            <v>122782221</v>
          </cell>
          <cell r="F51">
            <v>8934735</v>
          </cell>
          <cell r="G51">
            <v>7925129</v>
          </cell>
          <cell r="H51">
            <v>10013686</v>
          </cell>
          <cell r="I51">
            <v>12520159</v>
          </cell>
          <cell r="J51">
            <v>12272775</v>
          </cell>
          <cell r="K51">
            <v>10919997</v>
          </cell>
          <cell r="L51">
            <v>7896603</v>
          </cell>
          <cell r="M51">
            <v>7889835</v>
          </cell>
          <cell r="N51">
            <v>10359013</v>
          </cell>
          <cell r="O51">
            <v>12282393</v>
          </cell>
          <cell r="P51">
            <v>11329357</v>
          </cell>
          <cell r="Q51">
            <v>10438539</v>
          </cell>
        </row>
        <row r="52">
          <cell r="A52">
            <v>440990</v>
          </cell>
          <cell r="B52" t="str">
            <v>Residential Unbilled Rev</v>
          </cell>
          <cell r="C52" t="str">
            <v>REV</v>
          </cell>
          <cell r="D52">
            <v>440</v>
          </cell>
          <cell r="E52">
            <v>-3347169</v>
          </cell>
          <cell r="F52">
            <v>-1198901</v>
          </cell>
          <cell r="G52">
            <v>936109</v>
          </cell>
          <cell r="H52">
            <v>1074090</v>
          </cell>
          <cell r="I52">
            <v>20891</v>
          </cell>
          <cell r="J52">
            <v>-847995</v>
          </cell>
          <cell r="K52">
            <v>-2877714</v>
          </cell>
          <cell r="L52">
            <v>-111853</v>
          </cell>
          <cell r="M52">
            <v>1089319</v>
          </cell>
          <cell r="N52">
            <v>776017</v>
          </cell>
          <cell r="O52">
            <v>-504025</v>
          </cell>
          <cell r="P52">
            <v>-1136573</v>
          </cell>
          <cell r="Q52">
            <v>-566534</v>
          </cell>
        </row>
        <row r="53">
          <cell r="A53">
            <v>442100</v>
          </cell>
          <cell r="B53" t="str">
            <v>General Service</v>
          </cell>
          <cell r="C53" t="str">
            <v>REV</v>
          </cell>
          <cell r="D53">
            <v>442</v>
          </cell>
          <cell r="E53">
            <v>108909601</v>
          </cell>
          <cell r="F53">
            <v>8771351</v>
          </cell>
          <cell r="G53">
            <v>9066821</v>
          </cell>
          <cell r="H53">
            <v>10061979</v>
          </cell>
          <cell r="I53">
            <v>10358521</v>
          </cell>
          <cell r="J53">
            <v>9924206</v>
          </cell>
          <cell r="K53">
            <v>9695212</v>
          </cell>
          <cell r="L53">
            <v>8538247</v>
          </cell>
          <cell r="M53">
            <v>8280785</v>
          </cell>
          <cell r="N53">
            <v>8625375</v>
          </cell>
          <cell r="O53">
            <v>8809699</v>
          </cell>
          <cell r="P53">
            <v>8247499</v>
          </cell>
          <cell r="Q53">
            <v>8529906</v>
          </cell>
        </row>
        <row r="54">
          <cell r="A54">
            <v>442190</v>
          </cell>
          <cell r="B54" t="str">
            <v>General Service Unbilled Rev</v>
          </cell>
          <cell r="C54" t="str">
            <v>REV</v>
          </cell>
          <cell r="D54">
            <v>442</v>
          </cell>
          <cell r="E54">
            <v>-179600</v>
          </cell>
          <cell r="F54">
            <v>-433197</v>
          </cell>
          <cell r="G54">
            <v>874003</v>
          </cell>
          <cell r="H54">
            <v>599173</v>
          </cell>
          <cell r="I54">
            <v>5613</v>
          </cell>
          <cell r="J54">
            <v>-192897</v>
          </cell>
          <cell r="K54">
            <v>-425194</v>
          </cell>
          <cell r="L54">
            <v>357223</v>
          </cell>
          <cell r="M54">
            <v>-261365</v>
          </cell>
          <cell r="N54">
            <v>-515542</v>
          </cell>
          <cell r="O54">
            <v>-638601</v>
          </cell>
          <cell r="P54">
            <v>129963</v>
          </cell>
          <cell r="Q54">
            <v>321221</v>
          </cell>
        </row>
        <row r="55">
          <cell r="A55">
            <v>442200</v>
          </cell>
          <cell r="B55" t="str">
            <v>Industrial Service</v>
          </cell>
          <cell r="C55" t="str">
            <v>REV</v>
          </cell>
          <cell r="D55">
            <v>442</v>
          </cell>
          <cell r="E55">
            <v>53376993</v>
          </cell>
          <cell r="F55">
            <v>4483738</v>
          </cell>
          <cell r="G55">
            <v>4878894</v>
          </cell>
          <cell r="H55">
            <v>5023402</v>
          </cell>
          <cell r="I55">
            <v>4831375</v>
          </cell>
          <cell r="J55">
            <v>4645704</v>
          </cell>
          <cell r="K55">
            <v>4412155</v>
          </cell>
          <cell r="L55">
            <v>4261330</v>
          </cell>
          <cell r="M55">
            <v>4158561</v>
          </cell>
          <cell r="N55">
            <v>4015735</v>
          </cell>
          <cell r="O55">
            <v>4010035</v>
          </cell>
          <cell r="P55">
            <v>4238542</v>
          </cell>
          <cell r="Q55">
            <v>4417522</v>
          </cell>
        </row>
        <row r="56">
          <cell r="A56">
            <v>442290</v>
          </cell>
          <cell r="B56" t="str">
            <v>Industrial Svc Unbilled Rev</v>
          </cell>
          <cell r="C56" t="str">
            <v>REV</v>
          </cell>
          <cell r="D56">
            <v>442</v>
          </cell>
          <cell r="E56">
            <v>-56465</v>
          </cell>
          <cell r="F56">
            <v>45430</v>
          </cell>
          <cell r="G56">
            <v>448945</v>
          </cell>
          <cell r="H56">
            <v>218822</v>
          </cell>
          <cell r="I56">
            <v>-433087</v>
          </cell>
          <cell r="J56">
            <v>-305179</v>
          </cell>
          <cell r="K56">
            <v>-42039</v>
          </cell>
          <cell r="L56">
            <v>-121766</v>
          </cell>
          <cell r="M56">
            <v>-69322</v>
          </cell>
          <cell r="N56">
            <v>-55052</v>
          </cell>
          <cell r="O56">
            <v>55959</v>
          </cell>
          <cell r="P56">
            <v>102788</v>
          </cell>
          <cell r="Q56">
            <v>98036</v>
          </cell>
        </row>
        <row r="57">
          <cell r="A57">
            <v>444000</v>
          </cell>
          <cell r="B57" t="str">
            <v>Public St &amp; Highway Lighting</v>
          </cell>
          <cell r="C57" t="str">
            <v>REV</v>
          </cell>
          <cell r="D57">
            <v>444</v>
          </cell>
          <cell r="E57">
            <v>1639847</v>
          </cell>
          <cell r="F57">
            <v>135567</v>
          </cell>
          <cell r="G57">
            <v>145591</v>
          </cell>
          <cell r="H57">
            <v>141247</v>
          </cell>
          <cell r="I57">
            <v>139072</v>
          </cell>
          <cell r="J57">
            <v>135897</v>
          </cell>
          <cell r="K57">
            <v>135298</v>
          </cell>
          <cell r="L57">
            <v>134070</v>
          </cell>
          <cell r="M57">
            <v>134995</v>
          </cell>
          <cell r="N57">
            <v>130359</v>
          </cell>
          <cell r="O57">
            <v>134973</v>
          </cell>
          <cell r="P57">
            <v>136931</v>
          </cell>
          <cell r="Q57">
            <v>135847</v>
          </cell>
        </row>
        <row r="58">
          <cell r="A58">
            <v>445000</v>
          </cell>
          <cell r="B58" t="str">
            <v>Other Sales to Public Auth</v>
          </cell>
          <cell r="C58" t="str">
            <v>REV</v>
          </cell>
          <cell r="D58">
            <v>445</v>
          </cell>
          <cell r="E58">
            <v>19614000</v>
          </cell>
          <cell r="F58">
            <v>1509910</v>
          </cell>
          <cell r="G58">
            <v>1651276</v>
          </cell>
          <cell r="H58">
            <v>1796200</v>
          </cell>
          <cell r="I58">
            <v>1750101</v>
          </cell>
          <cell r="J58">
            <v>1741949</v>
          </cell>
          <cell r="K58">
            <v>1816705</v>
          </cell>
          <cell r="L58">
            <v>1614458</v>
          </cell>
          <cell r="M58">
            <v>1510025</v>
          </cell>
          <cell r="N58">
            <v>1521780</v>
          </cell>
          <cell r="O58">
            <v>1494625</v>
          </cell>
          <cell r="P58">
            <v>1566167</v>
          </cell>
          <cell r="Q58">
            <v>1640804</v>
          </cell>
        </row>
        <row r="59">
          <cell r="A59">
            <v>445090</v>
          </cell>
          <cell r="B59" t="str">
            <v>OPA Unbilled</v>
          </cell>
          <cell r="C59" t="str">
            <v>REV</v>
          </cell>
          <cell r="D59">
            <v>445</v>
          </cell>
          <cell r="E59">
            <v>324761</v>
          </cell>
          <cell r="F59">
            <v>-15962</v>
          </cell>
          <cell r="G59">
            <v>248175</v>
          </cell>
          <cell r="H59">
            <v>161545</v>
          </cell>
          <cell r="I59">
            <v>1733</v>
          </cell>
          <cell r="J59">
            <v>26614</v>
          </cell>
          <cell r="K59">
            <v>-103873</v>
          </cell>
          <cell r="L59">
            <v>88882</v>
          </cell>
          <cell r="M59">
            <v>-19247</v>
          </cell>
          <cell r="N59">
            <v>-135902</v>
          </cell>
          <cell r="O59">
            <v>-4048</v>
          </cell>
          <cell r="P59">
            <v>-25637</v>
          </cell>
          <cell r="Q59">
            <v>102481</v>
          </cell>
        </row>
        <row r="60">
          <cell r="A60">
            <v>447150</v>
          </cell>
          <cell r="B60" t="str">
            <v>Sales For Resale - Outside</v>
          </cell>
          <cell r="C60" t="str">
            <v>REV</v>
          </cell>
          <cell r="D60">
            <v>447</v>
          </cell>
          <cell r="E60">
            <v>11959000</v>
          </cell>
          <cell r="F60">
            <v>0</v>
          </cell>
          <cell r="G60">
            <v>403000</v>
          </cell>
          <cell r="H60">
            <v>536000</v>
          </cell>
          <cell r="I60">
            <v>981000</v>
          </cell>
          <cell r="J60">
            <v>345000</v>
          </cell>
          <cell r="K60">
            <v>774000</v>
          </cell>
          <cell r="L60">
            <v>1242000</v>
          </cell>
          <cell r="M60">
            <v>683000</v>
          </cell>
          <cell r="N60">
            <v>436000</v>
          </cell>
          <cell r="O60">
            <v>3588000</v>
          </cell>
          <cell r="P60">
            <v>1603000</v>
          </cell>
          <cell r="Q60">
            <v>1368000</v>
          </cell>
        </row>
        <row r="61">
          <cell r="A61">
            <v>448000</v>
          </cell>
          <cell r="B61" t="str">
            <v>Interdepartmental Sales-Elec</v>
          </cell>
          <cell r="C61" t="str">
            <v>REV</v>
          </cell>
          <cell r="D61">
            <v>448</v>
          </cell>
          <cell r="E61">
            <v>51773</v>
          </cell>
          <cell r="F61">
            <v>2069</v>
          </cell>
          <cell r="G61">
            <v>1584</v>
          </cell>
          <cell r="H61">
            <v>3215</v>
          </cell>
          <cell r="I61">
            <v>4348</v>
          </cell>
          <cell r="J61">
            <v>3817</v>
          </cell>
          <cell r="K61">
            <v>1726</v>
          </cell>
          <cell r="L61">
            <v>1885</v>
          </cell>
          <cell r="M61">
            <v>4090</v>
          </cell>
          <cell r="N61">
            <v>6734</v>
          </cell>
          <cell r="O61">
            <v>10198</v>
          </cell>
          <cell r="P61">
            <v>7277</v>
          </cell>
          <cell r="Q61">
            <v>4830</v>
          </cell>
        </row>
        <row r="62">
          <cell r="A62">
            <v>449100</v>
          </cell>
          <cell r="B62" t="str">
            <v>Provisions For Rate Refunds</v>
          </cell>
          <cell r="C62" t="str">
            <v>REV</v>
          </cell>
          <cell r="D62">
            <v>449</v>
          </cell>
          <cell r="E62">
            <v>0</v>
          </cell>
          <cell r="F62">
            <v>0</v>
          </cell>
          <cell r="G62">
            <v>0</v>
          </cell>
          <cell r="H62">
            <v>0</v>
          </cell>
          <cell r="I62">
            <v>0</v>
          </cell>
          <cell r="J62">
            <v>0</v>
          </cell>
          <cell r="K62">
            <v>0</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297504</v>
          </cell>
          <cell r="F64">
            <v>24792</v>
          </cell>
          <cell r="G64">
            <v>24792</v>
          </cell>
          <cell r="H64">
            <v>24792</v>
          </cell>
          <cell r="I64">
            <v>24792</v>
          </cell>
          <cell r="J64">
            <v>24792</v>
          </cell>
          <cell r="K64">
            <v>24792</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0</v>
          </cell>
          <cell r="F65">
            <v>24792</v>
          </cell>
          <cell r="G65">
            <v>24792</v>
          </cell>
          <cell r="H65">
            <v>24792</v>
          </cell>
          <cell r="I65">
            <v>24792</v>
          </cell>
          <cell r="J65">
            <v>24792</v>
          </cell>
          <cell r="K65">
            <v>24792</v>
          </cell>
          <cell r="L65">
            <v>24792</v>
          </cell>
          <cell r="M65">
            <v>24792</v>
          </cell>
          <cell r="N65">
            <v>24792</v>
          </cell>
          <cell r="O65">
            <v>24792</v>
          </cell>
          <cell r="P65">
            <v>24792</v>
          </cell>
          <cell r="Q65">
            <v>24792</v>
          </cell>
        </row>
        <row r="66">
          <cell r="A66">
            <v>454200</v>
          </cell>
          <cell r="B66" t="str">
            <v>Pole &amp; Line Attachments</v>
          </cell>
          <cell r="C66" t="str">
            <v>REV</v>
          </cell>
          <cell r="D66">
            <v>454</v>
          </cell>
          <cell r="E66">
            <v>170004</v>
          </cell>
          <cell r="F66">
            <v>14167</v>
          </cell>
          <cell r="G66">
            <v>14167</v>
          </cell>
          <cell r="H66">
            <v>14167</v>
          </cell>
          <cell r="I66">
            <v>14167</v>
          </cell>
          <cell r="J66">
            <v>14167</v>
          </cell>
          <cell r="K66">
            <v>14167</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0</v>
          </cell>
          <cell r="F67">
            <v>0</v>
          </cell>
          <cell r="G67">
            <v>0</v>
          </cell>
          <cell r="H67">
            <v>0</v>
          </cell>
          <cell r="I67">
            <v>0</v>
          </cell>
          <cell r="J67">
            <v>0</v>
          </cell>
          <cell r="K67">
            <v>0</v>
          </cell>
          <cell r="L67">
            <v>0</v>
          </cell>
          <cell r="M67">
            <v>0</v>
          </cell>
          <cell r="N67">
            <v>0</v>
          </cell>
          <cell r="O67">
            <v>0</v>
          </cell>
          <cell r="P67">
            <v>0</v>
          </cell>
          <cell r="Q67">
            <v>0</v>
          </cell>
        </row>
        <row r="68">
          <cell r="A68">
            <v>454400</v>
          </cell>
          <cell r="B68" t="str">
            <v>Other Electric Rents</v>
          </cell>
          <cell r="C68" t="str">
            <v>REV</v>
          </cell>
          <cell r="D68">
            <v>454</v>
          </cell>
          <cell r="E68">
            <v>1058004</v>
          </cell>
          <cell r="F68">
            <v>88167</v>
          </cell>
          <cell r="G68">
            <v>88167</v>
          </cell>
          <cell r="H68">
            <v>88167</v>
          </cell>
          <cell r="I68">
            <v>88167</v>
          </cell>
          <cell r="J68">
            <v>88167</v>
          </cell>
          <cell r="K68">
            <v>88167</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0</v>
          </cell>
          <cell r="G69">
            <v>0</v>
          </cell>
          <cell r="H69">
            <v>0</v>
          </cell>
          <cell r="I69">
            <v>0</v>
          </cell>
          <cell r="J69">
            <v>0</v>
          </cell>
          <cell r="K69">
            <v>0</v>
          </cell>
          <cell r="L69">
            <v>0</v>
          </cell>
          <cell r="M69">
            <v>0</v>
          </cell>
          <cell r="N69">
            <v>0</v>
          </cell>
          <cell r="O69">
            <v>0</v>
          </cell>
          <cell r="P69">
            <v>0</v>
          </cell>
          <cell r="Q69">
            <v>0</v>
          </cell>
        </row>
        <row r="70">
          <cell r="A70">
            <v>456025</v>
          </cell>
          <cell r="B70" t="str">
            <v>RSG Rev - MISO Make Whole</v>
          </cell>
          <cell r="C70" t="str">
            <v>REV</v>
          </cell>
          <cell r="D70">
            <v>456</v>
          </cell>
          <cell r="E70">
            <v>0</v>
          </cell>
          <cell r="F70">
            <v>0</v>
          </cell>
          <cell r="G70">
            <v>0</v>
          </cell>
          <cell r="H70">
            <v>0</v>
          </cell>
          <cell r="I70">
            <v>0</v>
          </cell>
          <cell r="J70">
            <v>0</v>
          </cell>
          <cell r="K70">
            <v>0</v>
          </cell>
          <cell r="L70">
            <v>0</v>
          </cell>
          <cell r="M70">
            <v>0</v>
          </cell>
          <cell r="N70">
            <v>0</v>
          </cell>
          <cell r="O70">
            <v>0</v>
          </cell>
          <cell r="P70">
            <v>0</v>
          </cell>
          <cell r="Q70">
            <v>0</v>
          </cell>
        </row>
        <row r="71">
          <cell r="A71">
            <v>456040</v>
          </cell>
          <cell r="B71" t="str">
            <v>Sales Use Tax Coll Fee</v>
          </cell>
          <cell r="C71" t="str">
            <v>REV</v>
          </cell>
          <cell r="D71">
            <v>456</v>
          </cell>
          <cell r="E71">
            <v>0</v>
          </cell>
          <cell r="F71">
            <v>0</v>
          </cell>
          <cell r="G71">
            <v>0</v>
          </cell>
          <cell r="H71">
            <v>0</v>
          </cell>
          <cell r="I71">
            <v>0</v>
          </cell>
          <cell r="J71">
            <v>0</v>
          </cell>
          <cell r="K71">
            <v>0</v>
          </cell>
          <cell r="L71">
            <v>0</v>
          </cell>
          <cell r="M71">
            <v>0</v>
          </cell>
          <cell r="N71">
            <v>0</v>
          </cell>
          <cell r="O71">
            <v>0</v>
          </cell>
          <cell r="P71">
            <v>0</v>
          </cell>
          <cell r="Q71">
            <v>0</v>
          </cell>
        </row>
        <row r="72">
          <cell r="A72">
            <v>456110</v>
          </cell>
          <cell r="B72" t="str">
            <v>Transmission Charge PTP</v>
          </cell>
          <cell r="C72" t="str">
            <v>REV</v>
          </cell>
          <cell r="D72">
            <v>456</v>
          </cell>
          <cell r="E72">
            <v>144996</v>
          </cell>
          <cell r="F72">
            <v>12083</v>
          </cell>
          <cell r="G72">
            <v>12083</v>
          </cell>
          <cell r="H72">
            <v>12083</v>
          </cell>
          <cell r="I72">
            <v>12083</v>
          </cell>
          <cell r="J72">
            <v>12083</v>
          </cell>
          <cell r="K72">
            <v>12083</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2667750</v>
          </cell>
          <cell r="F73">
            <v>224580</v>
          </cell>
          <cell r="G73">
            <v>224580</v>
          </cell>
          <cell r="H73">
            <v>224580</v>
          </cell>
          <cell r="I73">
            <v>224580</v>
          </cell>
          <cell r="J73">
            <v>224580</v>
          </cell>
          <cell r="K73">
            <v>224580</v>
          </cell>
          <cell r="L73">
            <v>224580</v>
          </cell>
          <cell r="M73">
            <v>224580</v>
          </cell>
          <cell r="N73">
            <v>224580</v>
          </cell>
          <cell r="O73">
            <v>215510</v>
          </cell>
          <cell r="P73">
            <v>215510</v>
          </cell>
          <cell r="Q73">
            <v>215510</v>
          </cell>
        </row>
        <row r="74">
          <cell r="A74">
            <v>456610</v>
          </cell>
          <cell r="B74" t="str">
            <v>Other Electric Revenues</v>
          </cell>
          <cell r="C74" t="str">
            <v>REV</v>
          </cell>
          <cell r="D74">
            <v>456</v>
          </cell>
          <cell r="E74">
            <v>0</v>
          </cell>
          <cell r="F74">
            <v>224580</v>
          </cell>
          <cell r="G74">
            <v>224580</v>
          </cell>
          <cell r="H74">
            <v>224580</v>
          </cell>
          <cell r="I74">
            <v>224580</v>
          </cell>
          <cell r="J74">
            <v>224580</v>
          </cell>
          <cell r="K74">
            <v>224580</v>
          </cell>
          <cell r="L74">
            <v>224580</v>
          </cell>
          <cell r="M74">
            <v>224580</v>
          </cell>
          <cell r="N74">
            <v>224580</v>
          </cell>
          <cell r="O74">
            <v>215510</v>
          </cell>
          <cell r="P74">
            <v>215510</v>
          </cell>
          <cell r="Q74">
            <v>215510</v>
          </cell>
        </row>
        <row r="75">
          <cell r="A75">
            <v>456970</v>
          </cell>
          <cell r="B75" t="str">
            <v>Wheel Transmission Rev - ED</v>
          </cell>
          <cell r="C75" t="str">
            <v>REV</v>
          </cell>
          <cell r="D75">
            <v>456</v>
          </cell>
          <cell r="E75">
            <v>24504</v>
          </cell>
          <cell r="F75">
            <v>2042</v>
          </cell>
          <cell r="G75">
            <v>2042</v>
          </cell>
          <cell r="H75">
            <v>2042</v>
          </cell>
          <cell r="I75">
            <v>2042</v>
          </cell>
          <cell r="J75">
            <v>2042</v>
          </cell>
          <cell r="K75">
            <v>2042</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0</v>
          </cell>
          <cell r="F77">
            <v>0</v>
          </cell>
          <cell r="G77">
            <v>0</v>
          </cell>
          <cell r="H77">
            <v>0</v>
          </cell>
          <cell r="I77">
            <v>0</v>
          </cell>
          <cell r="J77">
            <v>0</v>
          </cell>
          <cell r="K77">
            <v>0</v>
          </cell>
          <cell r="L77">
            <v>0</v>
          </cell>
          <cell r="M77">
            <v>0</v>
          </cell>
          <cell r="N77">
            <v>0</v>
          </cell>
          <cell r="O77">
            <v>0</v>
          </cell>
          <cell r="P77">
            <v>0</v>
          </cell>
          <cell r="Q77">
            <v>0</v>
          </cell>
        </row>
        <row r="78">
          <cell r="A78">
            <v>457204</v>
          </cell>
          <cell r="B78" t="str">
            <v>PJM Reactive Rev</v>
          </cell>
          <cell r="C78" t="str">
            <v>REV</v>
          </cell>
          <cell r="D78">
            <v>457</v>
          </cell>
          <cell r="E78">
            <v>1881230</v>
          </cell>
          <cell r="F78">
            <v>145608</v>
          </cell>
          <cell r="G78">
            <v>134405</v>
          </cell>
          <cell r="H78">
            <v>153188</v>
          </cell>
          <cell r="I78">
            <v>175953</v>
          </cell>
          <cell r="J78">
            <v>175572</v>
          </cell>
          <cell r="K78">
            <v>165738</v>
          </cell>
          <cell r="L78">
            <v>137659</v>
          </cell>
          <cell r="M78">
            <v>137773</v>
          </cell>
          <cell r="N78">
            <v>159048</v>
          </cell>
          <cell r="O78">
            <v>177993</v>
          </cell>
          <cell r="P78">
            <v>163703</v>
          </cell>
          <cell r="Q78">
            <v>154590</v>
          </cell>
        </row>
        <row r="79">
          <cell r="A79">
            <v>500000</v>
          </cell>
          <cell r="B79" t="str">
            <v>Suprvsn and Engrg - Steam Oper</v>
          </cell>
          <cell r="C79" t="str">
            <v>PO</v>
          </cell>
          <cell r="D79">
            <v>500</v>
          </cell>
          <cell r="E79">
            <v>1125130</v>
          </cell>
          <cell r="F79">
            <v>94484</v>
          </cell>
          <cell r="G79">
            <v>91391</v>
          </cell>
          <cell r="H79">
            <v>92395</v>
          </cell>
          <cell r="I79">
            <v>91713</v>
          </cell>
          <cell r="J79">
            <v>98897</v>
          </cell>
          <cell r="K79">
            <v>95997</v>
          </cell>
          <cell r="L79">
            <v>92946</v>
          </cell>
          <cell r="M79">
            <v>93299</v>
          </cell>
          <cell r="N79">
            <v>92089</v>
          </cell>
          <cell r="O79">
            <v>92807</v>
          </cell>
          <cell r="P79">
            <v>91227</v>
          </cell>
          <cell r="Q79">
            <v>97885</v>
          </cell>
        </row>
        <row r="80">
          <cell r="A80">
            <v>501110</v>
          </cell>
          <cell r="B80" t="str">
            <v>Coal Consumed-Fossil Steam</v>
          </cell>
          <cell r="C80" t="str">
            <v>Fuel</v>
          </cell>
          <cell r="D80">
            <v>501</v>
          </cell>
          <cell r="E80">
            <v>65505000</v>
          </cell>
          <cell r="F80">
            <v>0</v>
          </cell>
          <cell r="G80">
            <v>2534000</v>
          </cell>
          <cell r="H80">
            <v>5691000</v>
          </cell>
          <cell r="I80">
            <v>6653000</v>
          </cell>
          <cell r="J80">
            <v>6317000</v>
          </cell>
          <cell r="K80">
            <v>5719000</v>
          </cell>
          <cell r="L80">
            <v>6118000</v>
          </cell>
          <cell r="M80">
            <v>5843000</v>
          </cell>
          <cell r="N80">
            <v>6369000</v>
          </cell>
          <cell r="O80">
            <v>7166000</v>
          </cell>
          <cell r="P80">
            <v>6401000</v>
          </cell>
          <cell r="Q80">
            <v>6694000</v>
          </cell>
        </row>
        <row r="81">
          <cell r="A81">
            <v>501150</v>
          </cell>
          <cell r="B81" t="str">
            <v>Coal &amp; Other Fuel Handling</v>
          </cell>
          <cell r="C81" t="str">
            <v>PO</v>
          </cell>
          <cell r="D81">
            <v>501</v>
          </cell>
          <cell r="E81">
            <v>1769028</v>
          </cell>
          <cell r="F81">
            <v>143207</v>
          </cell>
          <cell r="G81">
            <v>142946</v>
          </cell>
          <cell r="H81">
            <v>143545</v>
          </cell>
          <cell r="I81">
            <v>142850</v>
          </cell>
          <cell r="J81">
            <v>164951</v>
          </cell>
          <cell r="K81">
            <v>142974</v>
          </cell>
          <cell r="L81">
            <v>142930</v>
          </cell>
          <cell r="M81">
            <v>142862</v>
          </cell>
          <cell r="N81">
            <v>143078</v>
          </cell>
          <cell r="O81">
            <v>151641</v>
          </cell>
          <cell r="P81">
            <v>142948</v>
          </cell>
          <cell r="Q81">
            <v>165096</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2347600</v>
          </cell>
          <cell r="F83">
            <v>195475</v>
          </cell>
          <cell r="G83">
            <v>195475</v>
          </cell>
          <cell r="H83">
            <v>195475</v>
          </cell>
          <cell r="I83">
            <v>195475</v>
          </cell>
          <cell r="J83">
            <v>195475</v>
          </cell>
          <cell r="K83">
            <v>195475</v>
          </cell>
          <cell r="L83">
            <v>195475</v>
          </cell>
          <cell r="M83">
            <v>195475</v>
          </cell>
          <cell r="N83">
            <v>191770</v>
          </cell>
          <cell r="O83">
            <v>197300</v>
          </cell>
          <cell r="P83">
            <v>197300</v>
          </cell>
          <cell r="Q83">
            <v>197430</v>
          </cell>
        </row>
        <row r="84">
          <cell r="A84">
            <v>501310</v>
          </cell>
          <cell r="B84" t="str">
            <v>Oil Consumed-Fossil Steam</v>
          </cell>
          <cell r="C84" t="str">
            <v>Fuel</v>
          </cell>
          <cell r="D84">
            <v>501</v>
          </cell>
          <cell r="E84">
            <v>0</v>
          </cell>
          <cell r="F84">
            <v>0</v>
          </cell>
          <cell r="G84">
            <v>0</v>
          </cell>
          <cell r="H84">
            <v>0</v>
          </cell>
          <cell r="I84">
            <v>0</v>
          </cell>
          <cell r="J84">
            <v>0</v>
          </cell>
          <cell r="K84">
            <v>0</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8758000</v>
          </cell>
          <cell r="F86">
            <v>0</v>
          </cell>
          <cell r="G86">
            <v>329000</v>
          </cell>
          <cell r="H86">
            <v>392000</v>
          </cell>
          <cell r="I86">
            <v>603000</v>
          </cell>
          <cell r="J86">
            <v>317000</v>
          </cell>
          <cell r="K86">
            <v>689000</v>
          </cell>
          <cell r="L86">
            <v>1038000</v>
          </cell>
          <cell r="M86">
            <v>471000</v>
          </cell>
          <cell r="N86">
            <v>313000</v>
          </cell>
          <cell r="O86">
            <v>2516000</v>
          </cell>
          <cell r="P86">
            <v>1095000</v>
          </cell>
          <cell r="Q86">
            <v>995000</v>
          </cell>
        </row>
        <row r="87">
          <cell r="A87">
            <v>502040</v>
          </cell>
          <cell r="B87" t="str">
            <v>COST OF LIME</v>
          </cell>
          <cell r="C87" t="str">
            <v>PO</v>
          </cell>
          <cell r="D87">
            <v>502</v>
          </cell>
          <cell r="E87">
            <v>9077251</v>
          </cell>
          <cell r="F87">
            <v>0</v>
          </cell>
          <cell r="G87">
            <v>383145</v>
          </cell>
          <cell r="H87">
            <v>633949</v>
          </cell>
          <cell r="I87">
            <v>1115783</v>
          </cell>
          <cell r="J87">
            <v>1112290</v>
          </cell>
          <cell r="K87">
            <v>373987</v>
          </cell>
          <cell r="L87">
            <v>421348</v>
          </cell>
          <cell r="M87">
            <v>1234868</v>
          </cell>
          <cell r="N87">
            <v>1334237</v>
          </cell>
          <cell r="O87">
            <v>689620</v>
          </cell>
          <cell r="P87">
            <v>714251</v>
          </cell>
          <cell r="Q87">
            <v>1063773</v>
          </cell>
        </row>
        <row r="88">
          <cell r="A88">
            <v>502070</v>
          </cell>
          <cell r="B88" t="str">
            <v>Gypsum - Qualifying</v>
          </cell>
          <cell r="C88" t="str">
            <v>PO</v>
          </cell>
          <cell r="D88">
            <v>502</v>
          </cell>
          <cell r="E88">
            <v>25000</v>
          </cell>
          <cell r="F88">
            <v>0</v>
          </cell>
          <cell r="G88">
            <v>0</v>
          </cell>
          <cell r="H88">
            <v>5000</v>
          </cell>
          <cell r="I88">
            <v>5000</v>
          </cell>
          <cell r="J88">
            <v>5000</v>
          </cell>
          <cell r="K88">
            <v>5000</v>
          </cell>
          <cell r="L88">
            <v>5000</v>
          </cell>
          <cell r="M88">
            <v>0</v>
          </cell>
          <cell r="N88">
            <v>0</v>
          </cell>
          <cell r="O88">
            <v>0</v>
          </cell>
          <cell r="P88">
            <v>0</v>
          </cell>
          <cell r="Q88">
            <v>0</v>
          </cell>
        </row>
        <row r="89">
          <cell r="A89">
            <v>502100</v>
          </cell>
          <cell r="B89" t="str">
            <v>Fossil Steam Exp-Other</v>
          </cell>
          <cell r="C89" t="str">
            <v>PO</v>
          </cell>
          <cell r="D89">
            <v>502</v>
          </cell>
          <cell r="E89">
            <v>13611279</v>
          </cell>
          <cell r="F89">
            <v>760470</v>
          </cell>
          <cell r="G89">
            <v>927564</v>
          </cell>
          <cell r="H89">
            <v>1071486</v>
          </cell>
          <cell r="I89">
            <v>1239097</v>
          </cell>
          <cell r="J89">
            <v>1347627</v>
          </cell>
          <cell r="K89">
            <v>982234</v>
          </cell>
          <cell r="L89">
            <v>1000958</v>
          </cell>
          <cell r="M89">
            <v>1277460</v>
          </cell>
          <cell r="N89">
            <v>1316014</v>
          </cell>
          <cell r="O89">
            <v>1353398</v>
          </cell>
          <cell r="P89">
            <v>1286287</v>
          </cell>
          <cell r="Q89">
            <v>1048684</v>
          </cell>
        </row>
        <row r="90">
          <cell r="A90">
            <v>505000</v>
          </cell>
          <cell r="B90" t="str">
            <v>Electric Expenses-Steam Oper</v>
          </cell>
          <cell r="C90" t="str">
            <v>PO</v>
          </cell>
          <cell r="D90">
            <v>505</v>
          </cell>
          <cell r="E90">
            <v>598467</v>
          </cell>
          <cell r="F90">
            <v>45972</v>
          </cell>
          <cell r="G90">
            <v>46052</v>
          </cell>
          <cell r="H90">
            <v>46078</v>
          </cell>
          <cell r="I90">
            <v>45965</v>
          </cell>
          <cell r="J90">
            <v>66148</v>
          </cell>
          <cell r="K90">
            <v>46078</v>
          </cell>
          <cell r="L90">
            <v>46038</v>
          </cell>
          <cell r="M90">
            <v>45976</v>
          </cell>
          <cell r="N90">
            <v>46173</v>
          </cell>
          <cell r="O90">
            <v>53417</v>
          </cell>
          <cell r="P90">
            <v>45456</v>
          </cell>
          <cell r="Q90">
            <v>65114</v>
          </cell>
        </row>
        <row r="91">
          <cell r="A91">
            <v>506000</v>
          </cell>
          <cell r="B91" t="str">
            <v>Misc Fossil Power Expenses</v>
          </cell>
          <cell r="C91" t="str">
            <v>PO</v>
          </cell>
          <cell r="D91">
            <v>506</v>
          </cell>
          <cell r="E91">
            <v>2095135</v>
          </cell>
          <cell r="F91">
            <v>165794</v>
          </cell>
          <cell r="G91">
            <v>109809</v>
          </cell>
          <cell r="H91">
            <v>115408</v>
          </cell>
          <cell r="I91">
            <v>166820</v>
          </cell>
          <cell r="J91">
            <v>114260</v>
          </cell>
          <cell r="K91">
            <v>120698</v>
          </cell>
          <cell r="L91">
            <v>165751</v>
          </cell>
          <cell r="M91">
            <v>111891</v>
          </cell>
          <cell r="N91">
            <v>600786</v>
          </cell>
          <cell r="O91">
            <v>183784</v>
          </cell>
          <cell r="P91">
            <v>113401</v>
          </cell>
          <cell r="Q91">
            <v>126733</v>
          </cell>
        </row>
        <row r="92">
          <cell r="A92">
            <v>509030</v>
          </cell>
          <cell r="B92" t="str">
            <v>SO2 Emission Expense</v>
          </cell>
          <cell r="C92" t="str">
            <v>EA</v>
          </cell>
          <cell r="D92">
            <v>509</v>
          </cell>
          <cell r="E92">
            <v>2357</v>
          </cell>
          <cell r="F92">
            <v>0</v>
          </cell>
          <cell r="G92">
            <v>214</v>
          </cell>
          <cell r="H92">
            <v>496</v>
          </cell>
          <cell r="I92">
            <v>595</v>
          </cell>
          <cell r="J92">
            <v>552</v>
          </cell>
          <cell r="K92">
            <v>500</v>
          </cell>
          <cell r="L92">
            <v>0</v>
          </cell>
          <cell r="M92">
            <v>0</v>
          </cell>
          <cell r="N92">
            <v>0</v>
          </cell>
          <cell r="O92">
            <v>0</v>
          </cell>
          <cell r="P92">
            <v>0</v>
          </cell>
          <cell r="Q92">
            <v>0</v>
          </cell>
        </row>
        <row r="93">
          <cell r="A93">
            <v>509210</v>
          </cell>
          <cell r="B93" t="str">
            <v>Seasonal NOx Emission Expense</v>
          </cell>
          <cell r="C93" t="str">
            <v>EA</v>
          </cell>
          <cell r="D93">
            <v>509</v>
          </cell>
          <cell r="E93">
            <v>701</v>
          </cell>
          <cell r="F93">
            <v>0</v>
          </cell>
          <cell r="G93">
            <v>28</v>
          </cell>
          <cell r="H93">
            <v>64</v>
          </cell>
          <cell r="I93">
            <v>76</v>
          </cell>
          <cell r="J93">
            <v>72</v>
          </cell>
          <cell r="K93">
            <v>65</v>
          </cell>
          <cell r="L93">
            <v>71</v>
          </cell>
          <cell r="M93">
            <v>66</v>
          </cell>
          <cell r="N93">
            <v>73</v>
          </cell>
          <cell r="O93">
            <v>63</v>
          </cell>
          <cell r="P93">
            <v>60</v>
          </cell>
          <cell r="Q93">
            <v>63</v>
          </cell>
        </row>
        <row r="94">
          <cell r="A94">
            <v>509212</v>
          </cell>
          <cell r="B94" t="str">
            <v>Annual NOx Emission Expense</v>
          </cell>
          <cell r="C94" t="str">
            <v>EA</v>
          </cell>
          <cell r="D94">
            <v>509</v>
          </cell>
          <cell r="E94">
            <v>0</v>
          </cell>
          <cell r="F94">
            <v>0</v>
          </cell>
          <cell r="G94">
            <v>0</v>
          </cell>
          <cell r="H94">
            <v>0</v>
          </cell>
          <cell r="I94">
            <v>0</v>
          </cell>
          <cell r="J94">
            <v>0</v>
          </cell>
          <cell r="K94">
            <v>0</v>
          </cell>
          <cell r="L94">
            <v>0</v>
          </cell>
          <cell r="M94">
            <v>0</v>
          </cell>
          <cell r="N94">
            <v>0</v>
          </cell>
          <cell r="O94">
            <v>0</v>
          </cell>
          <cell r="P94">
            <v>0</v>
          </cell>
          <cell r="Q94">
            <v>0</v>
          </cell>
        </row>
        <row r="95">
          <cell r="A95">
            <v>510000</v>
          </cell>
          <cell r="B95" t="str">
            <v>Suprvsn and Engrng-Steam Maint</v>
          </cell>
          <cell r="C95" t="str">
            <v>PM</v>
          </cell>
          <cell r="D95">
            <v>510</v>
          </cell>
          <cell r="E95">
            <v>2271824</v>
          </cell>
          <cell r="F95">
            <v>194776</v>
          </cell>
          <cell r="G95">
            <v>188968</v>
          </cell>
          <cell r="H95">
            <v>189061</v>
          </cell>
          <cell r="I95">
            <v>188643</v>
          </cell>
          <cell r="J95">
            <v>187149</v>
          </cell>
          <cell r="K95">
            <v>189208</v>
          </cell>
          <cell r="L95">
            <v>194968</v>
          </cell>
          <cell r="M95">
            <v>188683</v>
          </cell>
          <cell r="N95">
            <v>189456</v>
          </cell>
          <cell r="O95">
            <v>185887</v>
          </cell>
          <cell r="P95">
            <v>185541</v>
          </cell>
          <cell r="Q95">
            <v>189484</v>
          </cell>
        </row>
        <row r="96">
          <cell r="A96">
            <v>510100</v>
          </cell>
          <cell r="B96" t="str">
            <v>Suprvsn &amp; Engrng-Steam Maint R</v>
          </cell>
          <cell r="C96" t="str">
            <v>PM</v>
          </cell>
          <cell r="D96">
            <v>510</v>
          </cell>
          <cell r="E96">
            <v>46543</v>
          </cell>
          <cell r="F96">
            <v>3895</v>
          </cell>
          <cell r="G96">
            <v>3897</v>
          </cell>
          <cell r="H96">
            <v>3896</v>
          </cell>
          <cell r="I96">
            <v>3897</v>
          </cell>
          <cell r="J96">
            <v>3897</v>
          </cell>
          <cell r="K96">
            <v>3896</v>
          </cell>
          <cell r="L96">
            <v>3897</v>
          </cell>
          <cell r="M96">
            <v>3896</v>
          </cell>
          <cell r="N96">
            <v>3897</v>
          </cell>
          <cell r="O96">
            <v>3776</v>
          </cell>
          <cell r="P96">
            <v>3764</v>
          </cell>
          <cell r="Q96">
            <v>3935</v>
          </cell>
        </row>
        <row r="97">
          <cell r="A97">
            <v>511000</v>
          </cell>
          <cell r="B97" t="str">
            <v>Maint of Structures-Steam</v>
          </cell>
          <cell r="C97" t="str">
            <v>PM</v>
          </cell>
          <cell r="D97">
            <v>511</v>
          </cell>
          <cell r="E97">
            <v>2881553</v>
          </cell>
          <cell r="F97">
            <v>235176</v>
          </cell>
          <cell r="G97">
            <v>234522</v>
          </cell>
          <cell r="H97">
            <v>234540</v>
          </cell>
          <cell r="I97">
            <v>234424</v>
          </cell>
          <cell r="J97">
            <v>261037</v>
          </cell>
          <cell r="K97">
            <v>234579</v>
          </cell>
          <cell r="L97">
            <v>234487</v>
          </cell>
          <cell r="M97">
            <v>234420</v>
          </cell>
          <cell r="N97">
            <v>234679</v>
          </cell>
          <cell r="O97">
            <v>246286</v>
          </cell>
          <cell r="P97">
            <v>235226</v>
          </cell>
          <cell r="Q97">
            <v>262177</v>
          </cell>
        </row>
        <row r="98">
          <cell r="A98">
            <v>512100</v>
          </cell>
          <cell r="B98" t="str">
            <v>Maint of Boiler Plant-Other</v>
          </cell>
          <cell r="C98" t="str">
            <v>PM</v>
          </cell>
          <cell r="D98">
            <v>512</v>
          </cell>
          <cell r="E98">
            <v>10527395</v>
          </cell>
          <cell r="F98">
            <v>2812128</v>
          </cell>
          <cell r="G98">
            <v>2289625</v>
          </cell>
          <cell r="H98">
            <v>392152</v>
          </cell>
          <cell r="I98">
            <v>379934</v>
          </cell>
          <cell r="J98">
            <v>418278</v>
          </cell>
          <cell r="K98">
            <v>380158</v>
          </cell>
          <cell r="L98">
            <v>380074</v>
          </cell>
          <cell r="M98">
            <v>379955</v>
          </cell>
          <cell r="N98">
            <v>380330</v>
          </cell>
          <cell r="O98">
            <v>64687</v>
          </cell>
          <cell r="P98">
            <v>240293</v>
          </cell>
          <cell r="Q98">
            <v>2409781</v>
          </cell>
        </row>
        <row r="99">
          <cell r="A99">
            <v>513100</v>
          </cell>
          <cell r="B99" t="str">
            <v>Maint of Electric Plant-Other</v>
          </cell>
          <cell r="C99" t="str">
            <v>PM</v>
          </cell>
          <cell r="D99">
            <v>513</v>
          </cell>
          <cell r="E99">
            <v>5474702</v>
          </cell>
          <cell r="F99">
            <v>1575747</v>
          </cell>
          <cell r="G99">
            <v>1418140</v>
          </cell>
          <cell r="H99">
            <v>142628</v>
          </cell>
          <cell r="I99">
            <v>16481</v>
          </cell>
          <cell r="J99">
            <v>16481</v>
          </cell>
          <cell r="K99">
            <v>16492</v>
          </cell>
          <cell r="L99">
            <v>16482</v>
          </cell>
          <cell r="M99">
            <v>16481</v>
          </cell>
          <cell r="N99">
            <v>16482</v>
          </cell>
          <cell r="O99">
            <v>177476</v>
          </cell>
          <cell r="P99">
            <v>533125</v>
          </cell>
          <cell r="Q99">
            <v>1528687</v>
          </cell>
        </row>
        <row r="100">
          <cell r="A100">
            <v>514000</v>
          </cell>
          <cell r="B100" t="str">
            <v>Maintenance - Misc Steam Plant</v>
          </cell>
          <cell r="C100" t="str">
            <v>PM</v>
          </cell>
          <cell r="D100">
            <v>514</v>
          </cell>
          <cell r="E100">
            <v>348465</v>
          </cell>
          <cell r="F100">
            <v>26184</v>
          </cell>
          <cell r="G100">
            <v>36625</v>
          </cell>
          <cell r="H100">
            <v>26237</v>
          </cell>
          <cell r="I100">
            <v>26180</v>
          </cell>
          <cell r="J100">
            <v>36261</v>
          </cell>
          <cell r="K100">
            <v>26239</v>
          </cell>
          <cell r="L100">
            <v>26217</v>
          </cell>
          <cell r="M100">
            <v>26185</v>
          </cell>
          <cell r="N100">
            <v>26284</v>
          </cell>
          <cell r="O100">
            <v>30319</v>
          </cell>
          <cell r="P100">
            <v>25956</v>
          </cell>
          <cell r="Q100">
            <v>35778</v>
          </cell>
        </row>
        <row r="101">
          <cell r="A101">
            <v>514300</v>
          </cell>
          <cell r="B101" t="str">
            <v>Maintenance - Misc Steam Plant</v>
          </cell>
          <cell r="C101" t="str">
            <v>PM</v>
          </cell>
          <cell r="D101">
            <v>514</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546000</v>
          </cell>
          <cell r="B102" t="str">
            <v>Suprvsn and Enginring-CT Oper</v>
          </cell>
          <cell r="C102" t="str">
            <v>PO</v>
          </cell>
          <cell r="D102">
            <v>546</v>
          </cell>
          <cell r="E102">
            <v>316008</v>
          </cell>
          <cell r="F102">
            <v>26046</v>
          </cell>
          <cell r="G102">
            <v>26081</v>
          </cell>
          <cell r="H102">
            <v>26086</v>
          </cell>
          <cell r="I102">
            <v>26050</v>
          </cell>
          <cell r="J102">
            <v>25905</v>
          </cell>
          <cell r="K102">
            <v>27827</v>
          </cell>
          <cell r="L102">
            <v>26079</v>
          </cell>
          <cell r="M102">
            <v>26052</v>
          </cell>
          <cell r="N102">
            <v>26143</v>
          </cell>
          <cell r="O102">
            <v>26349</v>
          </cell>
          <cell r="P102">
            <v>25589</v>
          </cell>
          <cell r="Q102">
            <v>27801</v>
          </cell>
        </row>
        <row r="103">
          <cell r="A103">
            <v>547100</v>
          </cell>
          <cell r="B103" t="str">
            <v>Natural Gas</v>
          </cell>
          <cell r="C103" t="str">
            <v>Fuel</v>
          </cell>
          <cell r="D103">
            <v>547</v>
          </cell>
          <cell r="E103">
            <v>447000</v>
          </cell>
          <cell r="F103">
            <v>0</v>
          </cell>
          <cell r="G103">
            <v>26000</v>
          </cell>
          <cell r="H103">
            <v>77000</v>
          </cell>
          <cell r="I103">
            <v>343000</v>
          </cell>
          <cell r="J103">
            <v>0</v>
          </cell>
          <cell r="K103">
            <v>1000</v>
          </cell>
          <cell r="L103">
            <v>0</v>
          </cell>
          <cell r="M103">
            <v>0</v>
          </cell>
          <cell r="N103">
            <v>0</v>
          </cell>
          <cell r="O103">
            <v>0</v>
          </cell>
          <cell r="P103">
            <v>0</v>
          </cell>
          <cell r="Q103">
            <v>0</v>
          </cell>
        </row>
        <row r="104">
          <cell r="A104">
            <v>547150</v>
          </cell>
          <cell r="B104" t="str">
            <v>Natural Gas Handling-CT</v>
          </cell>
          <cell r="C104" t="str">
            <v>PO</v>
          </cell>
          <cell r="D104">
            <v>547</v>
          </cell>
          <cell r="E104">
            <v>11590</v>
          </cell>
          <cell r="F104">
            <v>968</v>
          </cell>
          <cell r="G104">
            <v>968</v>
          </cell>
          <cell r="H104">
            <v>968</v>
          </cell>
          <cell r="I104">
            <v>968</v>
          </cell>
          <cell r="J104">
            <v>968</v>
          </cell>
          <cell r="K104">
            <v>968</v>
          </cell>
          <cell r="L104">
            <v>968</v>
          </cell>
          <cell r="M104">
            <v>968</v>
          </cell>
          <cell r="N104">
            <v>968</v>
          </cell>
          <cell r="O104">
            <v>950</v>
          </cell>
          <cell r="P104">
            <v>950</v>
          </cell>
          <cell r="Q104">
            <v>978</v>
          </cell>
        </row>
        <row r="105">
          <cell r="A105">
            <v>547701</v>
          </cell>
          <cell r="B105" t="str">
            <v>Propane Gas</v>
          </cell>
          <cell r="C105" t="str">
            <v>Fuel</v>
          </cell>
          <cell r="D105">
            <v>547</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548100</v>
          </cell>
          <cell r="B106" t="str">
            <v>Generation Expenses-Other CT</v>
          </cell>
          <cell r="C106" t="str">
            <v>PO</v>
          </cell>
          <cell r="D106">
            <v>548</v>
          </cell>
          <cell r="E106">
            <v>23110</v>
          </cell>
          <cell r="F106">
            <v>1876</v>
          </cell>
          <cell r="G106">
            <v>1889</v>
          </cell>
          <cell r="H106">
            <v>1997</v>
          </cell>
          <cell r="I106">
            <v>1929</v>
          </cell>
          <cell r="J106">
            <v>1886</v>
          </cell>
          <cell r="K106">
            <v>1996</v>
          </cell>
          <cell r="L106">
            <v>1864</v>
          </cell>
          <cell r="M106">
            <v>1885</v>
          </cell>
          <cell r="N106">
            <v>2047</v>
          </cell>
          <cell r="O106">
            <v>1853</v>
          </cell>
          <cell r="P106">
            <v>1851</v>
          </cell>
          <cell r="Q106">
            <v>2037</v>
          </cell>
        </row>
        <row r="107">
          <cell r="A107">
            <v>548200</v>
          </cell>
          <cell r="B107" t="str">
            <v>Prime Movers - Generators- CT</v>
          </cell>
          <cell r="C107" t="str">
            <v>PO</v>
          </cell>
          <cell r="D107">
            <v>548</v>
          </cell>
          <cell r="E107">
            <v>344747</v>
          </cell>
          <cell r="F107">
            <v>26255</v>
          </cell>
          <cell r="G107">
            <v>26305</v>
          </cell>
          <cell r="H107">
            <v>26322</v>
          </cell>
          <cell r="I107">
            <v>26250</v>
          </cell>
          <cell r="J107">
            <v>38999</v>
          </cell>
          <cell r="K107">
            <v>26322</v>
          </cell>
          <cell r="L107">
            <v>26297</v>
          </cell>
          <cell r="M107">
            <v>26257</v>
          </cell>
          <cell r="N107">
            <v>26381</v>
          </cell>
          <cell r="O107">
            <v>31148</v>
          </cell>
          <cell r="P107">
            <v>25899</v>
          </cell>
          <cell r="Q107">
            <v>38312</v>
          </cell>
        </row>
        <row r="108">
          <cell r="A108">
            <v>549000</v>
          </cell>
          <cell r="B108" t="str">
            <v>Misc-Power Generation Expenses</v>
          </cell>
          <cell r="C108" t="str">
            <v>PO</v>
          </cell>
          <cell r="D108">
            <v>549</v>
          </cell>
          <cell r="E108">
            <v>805958</v>
          </cell>
          <cell r="F108">
            <v>58729</v>
          </cell>
          <cell r="G108">
            <v>80331</v>
          </cell>
          <cell r="H108">
            <v>66551</v>
          </cell>
          <cell r="I108">
            <v>61552</v>
          </cell>
          <cell r="J108">
            <v>75607</v>
          </cell>
          <cell r="K108">
            <v>66550</v>
          </cell>
          <cell r="L108">
            <v>61201</v>
          </cell>
          <cell r="M108">
            <v>63791</v>
          </cell>
          <cell r="N108">
            <v>64462</v>
          </cell>
          <cell r="O108">
            <v>66798</v>
          </cell>
          <cell r="P108">
            <v>60880</v>
          </cell>
          <cell r="Q108">
            <v>79506</v>
          </cell>
        </row>
        <row r="109">
          <cell r="A109">
            <v>551000</v>
          </cell>
          <cell r="B109" t="str">
            <v>Suprvsn and Enginring-CT Maint</v>
          </cell>
          <cell r="C109" t="str">
            <v>PM</v>
          </cell>
          <cell r="D109">
            <v>551</v>
          </cell>
          <cell r="E109">
            <v>361559</v>
          </cell>
          <cell r="F109">
            <v>31068</v>
          </cell>
          <cell r="G109">
            <v>32140</v>
          </cell>
          <cell r="H109">
            <v>29096</v>
          </cell>
          <cell r="I109">
            <v>31837</v>
          </cell>
          <cell r="J109">
            <v>28831</v>
          </cell>
          <cell r="K109">
            <v>29193</v>
          </cell>
          <cell r="L109">
            <v>31874</v>
          </cell>
          <cell r="M109">
            <v>29043</v>
          </cell>
          <cell r="N109">
            <v>29916</v>
          </cell>
          <cell r="O109">
            <v>30572</v>
          </cell>
          <cell r="P109">
            <v>28735</v>
          </cell>
          <cell r="Q109">
            <v>29254</v>
          </cell>
        </row>
        <row r="110">
          <cell r="A110">
            <v>552000</v>
          </cell>
          <cell r="B110" t="str">
            <v>Maintenance of Structures-CT</v>
          </cell>
          <cell r="C110" t="str">
            <v>PM</v>
          </cell>
          <cell r="D110">
            <v>552</v>
          </cell>
          <cell r="E110">
            <v>334337</v>
          </cell>
          <cell r="F110">
            <v>8542</v>
          </cell>
          <cell r="G110">
            <v>52087</v>
          </cell>
          <cell r="H110">
            <v>176542</v>
          </cell>
          <cell r="I110">
            <v>8542</v>
          </cell>
          <cell r="J110">
            <v>8542</v>
          </cell>
          <cell r="K110">
            <v>28543</v>
          </cell>
          <cell r="L110">
            <v>8542</v>
          </cell>
          <cell r="M110">
            <v>8542</v>
          </cell>
          <cell r="N110">
            <v>8573</v>
          </cell>
          <cell r="O110">
            <v>8627</v>
          </cell>
          <cell r="P110">
            <v>8627</v>
          </cell>
          <cell r="Q110">
            <v>8628</v>
          </cell>
        </row>
        <row r="111">
          <cell r="A111">
            <v>553000</v>
          </cell>
          <cell r="B111" t="str">
            <v>Maint-Gentg and Elect Equip-CT</v>
          </cell>
          <cell r="C111" t="str">
            <v>PM</v>
          </cell>
          <cell r="D111">
            <v>553</v>
          </cell>
          <cell r="E111">
            <v>287717</v>
          </cell>
          <cell r="F111">
            <v>6511</v>
          </cell>
          <cell r="G111">
            <v>54538</v>
          </cell>
          <cell r="H111">
            <v>15611</v>
          </cell>
          <cell r="I111">
            <v>6508</v>
          </cell>
          <cell r="J111">
            <v>8078</v>
          </cell>
          <cell r="K111">
            <v>101132</v>
          </cell>
          <cell r="L111">
            <v>6518</v>
          </cell>
          <cell r="M111">
            <v>6509</v>
          </cell>
          <cell r="N111">
            <v>10111</v>
          </cell>
          <cell r="O111">
            <v>7096</v>
          </cell>
          <cell r="P111">
            <v>6476</v>
          </cell>
          <cell r="Q111">
            <v>58629</v>
          </cell>
        </row>
        <row r="112">
          <cell r="A112">
            <v>554000</v>
          </cell>
          <cell r="B112" t="str">
            <v>Misc Power Generation Plant-CT</v>
          </cell>
          <cell r="C112" t="str">
            <v>PM</v>
          </cell>
          <cell r="D112">
            <v>554</v>
          </cell>
          <cell r="E112">
            <v>169788</v>
          </cell>
          <cell r="F112">
            <v>11887</v>
          </cell>
          <cell r="G112">
            <v>32298</v>
          </cell>
          <cell r="H112">
            <v>11901</v>
          </cell>
          <cell r="I112">
            <v>11886</v>
          </cell>
          <cell r="J112">
            <v>14608</v>
          </cell>
          <cell r="K112">
            <v>11901</v>
          </cell>
          <cell r="L112">
            <v>11896</v>
          </cell>
          <cell r="M112">
            <v>11888</v>
          </cell>
          <cell r="N112">
            <v>11930</v>
          </cell>
          <cell r="O112">
            <v>13195</v>
          </cell>
          <cell r="P112">
            <v>11875</v>
          </cell>
          <cell r="Q112">
            <v>14523</v>
          </cell>
        </row>
        <row r="113">
          <cell r="A113">
            <v>555028</v>
          </cell>
          <cell r="B113" t="str">
            <v>Purch Pwr - Non-native - net</v>
          </cell>
          <cell r="C113" t="str">
            <v>PP</v>
          </cell>
          <cell r="D113">
            <v>555</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37662808</v>
          </cell>
          <cell r="F115">
            <v>9464331</v>
          </cell>
          <cell r="G115">
            <v>6280976</v>
          </cell>
          <cell r="H115">
            <v>3336000</v>
          </cell>
          <cell r="I115">
            <v>2810000</v>
          </cell>
          <cell r="J115">
            <v>2947000</v>
          </cell>
          <cell r="K115">
            <v>1989000</v>
          </cell>
          <cell r="L115">
            <v>1028000</v>
          </cell>
          <cell r="M115">
            <v>1584000</v>
          </cell>
          <cell r="N115">
            <v>2078000</v>
          </cell>
          <cell r="O115">
            <v>2628167</v>
          </cell>
          <cell r="P115">
            <v>2235167</v>
          </cell>
          <cell r="Q115">
            <v>1282167</v>
          </cell>
        </row>
        <row r="116">
          <cell r="A116">
            <v>556000</v>
          </cell>
          <cell r="B116" t="str">
            <v>System Cnts &amp; Load Dispatching</v>
          </cell>
          <cell r="C116" t="str">
            <v>OPS</v>
          </cell>
          <cell r="D116">
            <v>556</v>
          </cell>
          <cell r="E116">
            <v>288</v>
          </cell>
          <cell r="F116">
            <v>24</v>
          </cell>
          <cell r="G116">
            <v>24</v>
          </cell>
          <cell r="H116">
            <v>24</v>
          </cell>
          <cell r="I116">
            <v>24</v>
          </cell>
          <cell r="J116">
            <v>24</v>
          </cell>
          <cell r="K116">
            <v>24</v>
          </cell>
          <cell r="L116">
            <v>24</v>
          </cell>
          <cell r="M116">
            <v>24</v>
          </cell>
          <cell r="N116">
            <v>24</v>
          </cell>
          <cell r="O116">
            <v>24</v>
          </cell>
          <cell r="P116">
            <v>24</v>
          </cell>
          <cell r="Q116">
            <v>24</v>
          </cell>
        </row>
        <row r="117">
          <cell r="A117">
            <v>557000</v>
          </cell>
          <cell r="B117" t="str">
            <v>Other Expenses-Oper</v>
          </cell>
          <cell r="C117" t="str">
            <v>OPS</v>
          </cell>
          <cell r="D117">
            <v>557</v>
          </cell>
          <cell r="E117">
            <v>8841445</v>
          </cell>
          <cell r="F117">
            <v>776593</v>
          </cell>
          <cell r="G117">
            <v>774614</v>
          </cell>
          <cell r="H117">
            <v>774584</v>
          </cell>
          <cell r="I117">
            <v>776569</v>
          </cell>
          <cell r="J117">
            <v>774615</v>
          </cell>
          <cell r="K117">
            <v>774603</v>
          </cell>
          <cell r="L117">
            <v>776589</v>
          </cell>
          <cell r="M117">
            <v>774609</v>
          </cell>
          <cell r="N117">
            <v>774628</v>
          </cell>
          <cell r="O117">
            <v>622642</v>
          </cell>
          <cell r="P117">
            <v>620590</v>
          </cell>
          <cell r="Q117">
            <v>620809</v>
          </cell>
        </row>
        <row r="118">
          <cell r="A118">
            <v>557450</v>
          </cell>
          <cell r="B118" t="str">
            <v>Commissions/Brokerage Expense</v>
          </cell>
          <cell r="C118" t="str">
            <v>OPS</v>
          </cell>
          <cell r="D118">
            <v>557</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2298018</v>
          </cell>
          <cell r="F119">
            <v>-1898409</v>
          </cell>
          <cell r="G119">
            <v>1601565</v>
          </cell>
          <cell r="H119">
            <v>2161536</v>
          </cell>
          <cell r="I119">
            <v>453505</v>
          </cell>
          <cell r="J119">
            <v>-325184</v>
          </cell>
          <cell r="K119">
            <v>543501</v>
          </cell>
          <cell r="L119">
            <v>575422</v>
          </cell>
          <cell r="M119">
            <v>-54928</v>
          </cell>
          <cell r="N119">
            <v>-429892</v>
          </cell>
          <cell r="O119">
            <v>-991743</v>
          </cell>
          <cell r="P119">
            <v>-413408</v>
          </cell>
          <cell r="Q119">
            <v>1076053</v>
          </cell>
        </row>
        <row r="120">
          <cell r="A120">
            <v>560000</v>
          </cell>
          <cell r="B120" t="str">
            <v>Supervsn and Engrng-Trans Oper</v>
          </cell>
          <cell r="C120" t="str">
            <v>TO</v>
          </cell>
          <cell r="D120">
            <v>560</v>
          </cell>
          <cell r="E120">
            <v>39904</v>
          </cell>
          <cell r="F120">
            <v>2689</v>
          </cell>
          <cell r="G120">
            <v>2689</v>
          </cell>
          <cell r="H120">
            <v>2689</v>
          </cell>
          <cell r="I120">
            <v>2689</v>
          </cell>
          <cell r="J120">
            <v>2689</v>
          </cell>
          <cell r="K120">
            <v>2698</v>
          </cell>
          <cell r="L120">
            <v>2652</v>
          </cell>
          <cell r="M120">
            <v>2652</v>
          </cell>
          <cell r="N120">
            <v>10312</v>
          </cell>
          <cell r="O120">
            <v>2715</v>
          </cell>
          <cell r="P120">
            <v>2715</v>
          </cell>
          <cell r="Q120">
            <v>2715</v>
          </cell>
        </row>
        <row r="121">
          <cell r="A121">
            <v>561100</v>
          </cell>
          <cell r="B121" t="str">
            <v>Load Dispatch-Reliability</v>
          </cell>
          <cell r="C121" t="str">
            <v>TO</v>
          </cell>
          <cell r="D121">
            <v>561</v>
          </cell>
          <cell r="E121">
            <v>124837</v>
          </cell>
          <cell r="F121">
            <v>10381</v>
          </cell>
          <cell r="G121">
            <v>10382</v>
          </cell>
          <cell r="H121">
            <v>10381</v>
          </cell>
          <cell r="I121">
            <v>10382</v>
          </cell>
          <cell r="J121">
            <v>10382</v>
          </cell>
          <cell r="K121">
            <v>10382</v>
          </cell>
          <cell r="L121">
            <v>10382</v>
          </cell>
          <cell r="M121">
            <v>10382</v>
          </cell>
          <cell r="N121">
            <v>10382</v>
          </cell>
          <cell r="O121">
            <v>10460</v>
          </cell>
          <cell r="P121">
            <v>10455</v>
          </cell>
          <cell r="Q121">
            <v>10486</v>
          </cell>
        </row>
        <row r="122">
          <cell r="A122">
            <v>561200</v>
          </cell>
          <cell r="B122" t="str">
            <v>Load Dispatch-Mnitor&amp;OprTrnSys</v>
          </cell>
          <cell r="C122" t="str">
            <v>TO</v>
          </cell>
          <cell r="D122">
            <v>561</v>
          </cell>
          <cell r="E122">
            <v>685426</v>
          </cell>
          <cell r="F122">
            <v>45242</v>
          </cell>
          <cell r="G122">
            <v>45244</v>
          </cell>
          <cell r="H122">
            <v>45324</v>
          </cell>
          <cell r="I122">
            <v>45326</v>
          </cell>
          <cell r="J122">
            <v>45285</v>
          </cell>
          <cell r="K122">
            <v>45243</v>
          </cell>
          <cell r="L122">
            <v>45245</v>
          </cell>
          <cell r="M122">
            <v>45243</v>
          </cell>
          <cell r="N122">
            <v>45245</v>
          </cell>
          <cell r="O122">
            <v>92663</v>
          </cell>
          <cell r="P122">
            <v>92646</v>
          </cell>
          <cell r="Q122">
            <v>92720</v>
          </cell>
        </row>
        <row r="123">
          <cell r="A123">
            <v>561300</v>
          </cell>
          <cell r="B123" t="str">
            <v>Load Dispatch - TransSvc&amp;Sch</v>
          </cell>
          <cell r="C123" t="str">
            <v>TO</v>
          </cell>
          <cell r="D123">
            <v>561</v>
          </cell>
          <cell r="E123">
            <v>73607</v>
          </cell>
          <cell r="F123">
            <v>6120</v>
          </cell>
          <cell r="G123">
            <v>6120</v>
          </cell>
          <cell r="H123">
            <v>6120</v>
          </cell>
          <cell r="I123">
            <v>6120</v>
          </cell>
          <cell r="J123">
            <v>6120</v>
          </cell>
          <cell r="K123">
            <v>6120</v>
          </cell>
          <cell r="L123">
            <v>6120</v>
          </cell>
          <cell r="M123">
            <v>6120</v>
          </cell>
          <cell r="N123">
            <v>6121</v>
          </cell>
          <cell r="O123">
            <v>6173</v>
          </cell>
          <cell r="P123">
            <v>6171</v>
          </cell>
          <cell r="Q123">
            <v>6182</v>
          </cell>
        </row>
        <row r="124">
          <cell r="A124">
            <v>561400</v>
          </cell>
          <cell r="B124" t="str">
            <v>Scheduling-Sys Cntrl&amp;Disp Svs</v>
          </cell>
          <cell r="C124" t="str">
            <v>TO</v>
          </cell>
          <cell r="D124">
            <v>561</v>
          </cell>
          <cell r="E124">
            <v>1062000</v>
          </cell>
          <cell r="F124">
            <v>82199</v>
          </cell>
          <cell r="G124">
            <v>75875</v>
          </cell>
          <cell r="H124">
            <v>86478</v>
          </cell>
          <cell r="I124">
            <v>99330</v>
          </cell>
          <cell r="J124">
            <v>99114</v>
          </cell>
          <cell r="K124">
            <v>93563</v>
          </cell>
          <cell r="L124">
            <v>77713</v>
          </cell>
          <cell r="M124">
            <v>77776</v>
          </cell>
          <cell r="N124">
            <v>89786</v>
          </cell>
          <cell r="O124">
            <v>100481</v>
          </cell>
          <cell r="P124">
            <v>92415</v>
          </cell>
          <cell r="Q124">
            <v>87270</v>
          </cell>
        </row>
        <row r="125">
          <cell r="A125">
            <v>561500</v>
          </cell>
          <cell r="B125" t="str">
            <v>ReliabilityPlanning&amp;StdsDev</v>
          </cell>
          <cell r="C125" t="str">
            <v>TO</v>
          </cell>
          <cell r="D125">
            <v>561</v>
          </cell>
          <cell r="E125">
            <v>2586</v>
          </cell>
          <cell r="F125">
            <v>215</v>
          </cell>
          <cell r="G125">
            <v>215</v>
          </cell>
          <cell r="H125">
            <v>215</v>
          </cell>
          <cell r="I125">
            <v>215</v>
          </cell>
          <cell r="J125">
            <v>215</v>
          </cell>
          <cell r="K125">
            <v>215</v>
          </cell>
          <cell r="L125">
            <v>215</v>
          </cell>
          <cell r="M125">
            <v>215</v>
          </cell>
          <cell r="N125">
            <v>215</v>
          </cell>
          <cell r="O125">
            <v>217</v>
          </cell>
          <cell r="P125">
            <v>217</v>
          </cell>
          <cell r="Q125">
            <v>217</v>
          </cell>
        </row>
        <row r="126">
          <cell r="A126">
            <v>561800</v>
          </cell>
          <cell r="B126" t="str">
            <v>ReliabilityPlanning&amp;StdsDev</v>
          </cell>
          <cell r="C126" t="str">
            <v>TO</v>
          </cell>
          <cell r="D126">
            <v>561</v>
          </cell>
          <cell r="E126">
            <v>2050560</v>
          </cell>
          <cell r="F126">
            <v>170880</v>
          </cell>
          <cell r="G126">
            <v>170880</v>
          </cell>
          <cell r="H126">
            <v>170880</v>
          </cell>
          <cell r="I126">
            <v>170880</v>
          </cell>
          <cell r="J126">
            <v>170880</v>
          </cell>
          <cell r="K126">
            <v>170880</v>
          </cell>
          <cell r="L126">
            <v>170880</v>
          </cell>
          <cell r="M126">
            <v>170880</v>
          </cell>
          <cell r="N126">
            <v>170880</v>
          </cell>
          <cell r="O126">
            <v>170880</v>
          </cell>
          <cell r="P126">
            <v>170880</v>
          </cell>
          <cell r="Q126">
            <v>170880</v>
          </cell>
        </row>
        <row r="127">
          <cell r="A127">
            <v>562000</v>
          </cell>
          <cell r="B127" t="str">
            <v>Station Expenses</v>
          </cell>
          <cell r="C127" t="str">
            <v>TO</v>
          </cell>
          <cell r="D127">
            <v>562</v>
          </cell>
          <cell r="E127">
            <v>108794</v>
          </cell>
          <cell r="F127">
            <v>9035</v>
          </cell>
          <cell r="G127">
            <v>9116</v>
          </cell>
          <cell r="H127">
            <v>9072</v>
          </cell>
          <cell r="I127">
            <v>9026</v>
          </cell>
          <cell r="J127">
            <v>9035</v>
          </cell>
          <cell r="K127">
            <v>9154</v>
          </cell>
          <cell r="L127">
            <v>9042</v>
          </cell>
          <cell r="M127">
            <v>9027</v>
          </cell>
          <cell r="N127">
            <v>9042</v>
          </cell>
          <cell r="O127">
            <v>9012</v>
          </cell>
          <cell r="P127">
            <v>9032</v>
          </cell>
          <cell r="Q127">
            <v>9201</v>
          </cell>
        </row>
        <row r="128">
          <cell r="A128">
            <v>563000</v>
          </cell>
          <cell r="B128" t="str">
            <v>Overhead Line Expenses-Trans</v>
          </cell>
          <cell r="C128" t="str">
            <v>TO</v>
          </cell>
          <cell r="D128">
            <v>563</v>
          </cell>
          <cell r="E128">
            <v>22478</v>
          </cell>
          <cell r="F128">
            <v>1867</v>
          </cell>
          <cell r="G128">
            <v>1884</v>
          </cell>
          <cell r="H128">
            <v>1874</v>
          </cell>
          <cell r="I128">
            <v>1865</v>
          </cell>
          <cell r="J128">
            <v>1867</v>
          </cell>
          <cell r="K128">
            <v>1892</v>
          </cell>
          <cell r="L128">
            <v>1868</v>
          </cell>
          <cell r="M128">
            <v>1865</v>
          </cell>
          <cell r="N128">
            <v>1868</v>
          </cell>
          <cell r="O128">
            <v>1861</v>
          </cell>
          <cell r="P128">
            <v>1865</v>
          </cell>
          <cell r="Q128">
            <v>1902</v>
          </cell>
        </row>
        <row r="129">
          <cell r="A129">
            <v>565000</v>
          </cell>
          <cell r="B129" t="str">
            <v>Transm of Elec By Others</v>
          </cell>
          <cell r="C129" t="str">
            <v>TO</v>
          </cell>
          <cell r="D129">
            <v>565</v>
          </cell>
          <cell r="E129">
            <v>13361709</v>
          </cell>
          <cell r="F129">
            <v>1075006</v>
          </cell>
          <cell r="G129">
            <v>1075006</v>
          </cell>
          <cell r="H129">
            <v>1075006</v>
          </cell>
          <cell r="I129">
            <v>1075006</v>
          </cell>
          <cell r="J129">
            <v>1075006</v>
          </cell>
          <cell r="K129">
            <v>1075006</v>
          </cell>
          <cell r="L129">
            <v>1075006</v>
          </cell>
          <cell r="M129">
            <v>1075006</v>
          </cell>
          <cell r="N129">
            <v>1075006</v>
          </cell>
          <cell r="O129">
            <v>1228885</v>
          </cell>
          <cell r="P129">
            <v>1228885</v>
          </cell>
          <cell r="Q129">
            <v>1228885</v>
          </cell>
        </row>
        <row r="130">
          <cell r="A130">
            <v>566000</v>
          </cell>
          <cell r="B130" t="str">
            <v>Misc Trans Exp-Other</v>
          </cell>
          <cell r="C130" t="str">
            <v>TO</v>
          </cell>
          <cell r="D130">
            <v>566</v>
          </cell>
          <cell r="E130">
            <v>331678</v>
          </cell>
          <cell r="F130">
            <v>67950</v>
          </cell>
          <cell r="G130">
            <v>7414</v>
          </cell>
          <cell r="H130">
            <v>7395</v>
          </cell>
          <cell r="I130">
            <v>67964</v>
          </cell>
          <cell r="J130">
            <v>7365</v>
          </cell>
          <cell r="K130">
            <v>7440</v>
          </cell>
          <cell r="L130">
            <v>67882</v>
          </cell>
          <cell r="M130">
            <v>7358</v>
          </cell>
          <cell r="N130">
            <v>7456</v>
          </cell>
          <cell r="O130">
            <v>68514</v>
          </cell>
          <cell r="P130">
            <v>7356</v>
          </cell>
          <cell r="Q130">
            <v>7584</v>
          </cell>
        </row>
        <row r="131">
          <cell r="A131">
            <v>566100</v>
          </cell>
          <cell r="B131" t="str">
            <v>Misc Trans-Trans Lines Related</v>
          </cell>
          <cell r="C131" t="str">
            <v>TO</v>
          </cell>
          <cell r="D131">
            <v>566</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569100</v>
          </cell>
          <cell r="B134" t="str">
            <v>Maint of Computer Hardware</v>
          </cell>
          <cell r="C134" t="str">
            <v>TM</v>
          </cell>
          <cell r="D134">
            <v>569</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258690</v>
          </cell>
          <cell r="F135">
            <v>40620</v>
          </cell>
          <cell r="G135">
            <v>23347</v>
          </cell>
          <cell r="H135">
            <v>13827</v>
          </cell>
          <cell r="I135">
            <v>14956</v>
          </cell>
          <cell r="J135">
            <v>14208</v>
          </cell>
          <cell r="K135">
            <v>12473</v>
          </cell>
          <cell r="L135">
            <v>16385</v>
          </cell>
          <cell r="M135">
            <v>12169</v>
          </cell>
          <cell r="N135">
            <v>12238</v>
          </cell>
          <cell r="O135">
            <v>18838</v>
          </cell>
          <cell r="P135">
            <v>49223</v>
          </cell>
          <cell r="Q135">
            <v>30406</v>
          </cell>
        </row>
        <row r="136">
          <cell r="A136">
            <v>570100</v>
          </cell>
          <cell r="B136" t="str">
            <v>Maint  Stat Equip-Other- Trans</v>
          </cell>
          <cell r="C136" t="str">
            <v>TM</v>
          </cell>
          <cell r="D136">
            <v>570</v>
          </cell>
          <cell r="E136">
            <v>76249</v>
          </cell>
          <cell r="F136">
            <v>6332</v>
          </cell>
          <cell r="G136">
            <v>6385</v>
          </cell>
          <cell r="H136">
            <v>6357</v>
          </cell>
          <cell r="I136">
            <v>6326</v>
          </cell>
          <cell r="J136">
            <v>6332</v>
          </cell>
          <cell r="K136">
            <v>6414</v>
          </cell>
          <cell r="L136">
            <v>6337</v>
          </cell>
          <cell r="M136">
            <v>6327</v>
          </cell>
          <cell r="N136">
            <v>6337</v>
          </cell>
          <cell r="O136">
            <v>6320</v>
          </cell>
          <cell r="P136">
            <v>6333</v>
          </cell>
          <cell r="Q136">
            <v>6449</v>
          </cell>
        </row>
        <row r="137">
          <cell r="A137">
            <v>570200</v>
          </cell>
          <cell r="B137" t="str">
            <v>Main-Cir BrkrsTrnsf Mtrs-Trans</v>
          </cell>
          <cell r="C137" t="str">
            <v>TM</v>
          </cell>
          <cell r="D137">
            <v>570</v>
          </cell>
          <cell r="E137">
            <v>204428</v>
          </cell>
          <cell r="F137">
            <v>16976</v>
          </cell>
          <cell r="G137">
            <v>17129</v>
          </cell>
          <cell r="H137">
            <v>17046</v>
          </cell>
          <cell r="I137">
            <v>16960</v>
          </cell>
          <cell r="J137">
            <v>16976</v>
          </cell>
          <cell r="K137">
            <v>17200</v>
          </cell>
          <cell r="L137">
            <v>16991</v>
          </cell>
          <cell r="M137">
            <v>16962</v>
          </cell>
          <cell r="N137">
            <v>16991</v>
          </cell>
          <cell r="O137">
            <v>16935</v>
          </cell>
          <cell r="P137">
            <v>16972</v>
          </cell>
          <cell r="Q137">
            <v>17290</v>
          </cell>
        </row>
        <row r="138">
          <cell r="A138">
            <v>571000</v>
          </cell>
          <cell r="B138" t="str">
            <v>Maint of Overhead Lines-Trans</v>
          </cell>
          <cell r="C138" t="str">
            <v>TM</v>
          </cell>
          <cell r="D138">
            <v>571</v>
          </cell>
          <cell r="E138">
            <v>612194</v>
          </cell>
          <cell r="F138">
            <v>44352</v>
          </cell>
          <cell r="G138">
            <v>44507</v>
          </cell>
          <cell r="H138">
            <v>44423</v>
          </cell>
          <cell r="I138">
            <v>44335</v>
          </cell>
          <cell r="J138">
            <v>44352</v>
          </cell>
          <cell r="K138">
            <v>44580</v>
          </cell>
          <cell r="L138">
            <v>44367</v>
          </cell>
          <cell r="M138">
            <v>44337</v>
          </cell>
          <cell r="N138">
            <v>44367</v>
          </cell>
          <cell r="O138">
            <v>70725</v>
          </cell>
          <cell r="P138">
            <v>70763</v>
          </cell>
          <cell r="Q138">
            <v>71086</v>
          </cell>
        </row>
        <row r="139">
          <cell r="A139">
            <v>575700</v>
          </cell>
          <cell r="B139" t="str">
            <v>Market Faciliation-Mntr&amp;Comp</v>
          </cell>
          <cell r="C139" t="str">
            <v>RMO</v>
          </cell>
          <cell r="D139">
            <v>575</v>
          </cell>
          <cell r="E139">
            <v>1716657</v>
          </cell>
          <cell r="F139">
            <v>142066</v>
          </cell>
          <cell r="G139">
            <v>142066</v>
          </cell>
          <cell r="H139">
            <v>142066</v>
          </cell>
          <cell r="I139">
            <v>142066</v>
          </cell>
          <cell r="J139">
            <v>142066</v>
          </cell>
          <cell r="K139">
            <v>142066</v>
          </cell>
          <cell r="L139">
            <v>142066</v>
          </cell>
          <cell r="M139">
            <v>142066</v>
          </cell>
          <cell r="N139">
            <v>142066</v>
          </cell>
          <cell r="O139">
            <v>146021</v>
          </cell>
          <cell r="P139">
            <v>146021</v>
          </cell>
          <cell r="Q139">
            <v>146021</v>
          </cell>
        </row>
        <row r="140">
          <cell r="A140">
            <v>580000</v>
          </cell>
          <cell r="B140" t="str">
            <v>Supervsn and Engring-Dist Oper</v>
          </cell>
          <cell r="C140" t="str">
            <v>DO</v>
          </cell>
          <cell r="D140">
            <v>580</v>
          </cell>
          <cell r="E140">
            <v>163986</v>
          </cell>
          <cell r="F140">
            <v>11536</v>
          </cell>
          <cell r="G140">
            <v>11536</v>
          </cell>
          <cell r="H140">
            <v>11536</v>
          </cell>
          <cell r="I140">
            <v>11536</v>
          </cell>
          <cell r="J140">
            <v>11536</v>
          </cell>
          <cell r="K140">
            <v>11760</v>
          </cell>
          <cell r="L140">
            <v>11264</v>
          </cell>
          <cell r="M140">
            <v>11264</v>
          </cell>
          <cell r="N140">
            <v>31878</v>
          </cell>
          <cell r="O140">
            <v>11647</v>
          </cell>
          <cell r="P140">
            <v>11646</v>
          </cell>
          <cell r="Q140">
            <v>16847</v>
          </cell>
        </row>
        <row r="141">
          <cell r="A141">
            <v>581004</v>
          </cell>
          <cell r="B141" t="str">
            <v>Load Dispatch-Dist of Elec</v>
          </cell>
          <cell r="C141" t="str">
            <v>DO</v>
          </cell>
          <cell r="D141">
            <v>581</v>
          </cell>
          <cell r="E141">
            <v>469682</v>
          </cell>
          <cell r="F141">
            <v>40169</v>
          </cell>
          <cell r="G141">
            <v>37730</v>
          </cell>
          <cell r="H141">
            <v>38443</v>
          </cell>
          <cell r="I141">
            <v>37717</v>
          </cell>
          <cell r="J141">
            <v>36789</v>
          </cell>
          <cell r="K141">
            <v>39625</v>
          </cell>
          <cell r="L141">
            <v>38603</v>
          </cell>
          <cell r="M141">
            <v>38859</v>
          </cell>
          <cell r="N141">
            <v>40584</v>
          </cell>
          <cell r="O141">
            <v>41555</v>
          </cell>
          <cell r="P141">
            <v>40810</v>
          </cell>
          <cell r="Q141">
            <v>38798</v>
          </cell>
        </row>
        <row r="142">
          <cell r="A142">
            <v>582100</v>
          </cell>
          <cell r="B142" t="str">
            <v>Station Expenses-Other-Dist</v>
          </cell>
          <cell r="C142" t="str">
            <v>DO</v>
          </cell>
          <cell r="D142">
            <v>582</v>
          </cell>
          <cell r="E142">
            <v>136438</v>
          </cell>
          <cell r="F142">
            <v>11330</v>
          </cell>
          <cell r="G142">
            <v>11432</v>
          </cell>
          <cell r="H142">
            <v>11377</v>
          </cell>
          <cell r="I142">
            <v>11319</v>
          </cell>
          <cell r="J142">
            <v>11330</v>
          </cell>
          <cell r="K142">
            <v>11479</v>
          </cell>
          <cell r="L142">
            <v>11340</v>
          </cell>
          <cell r="M142">
            <v>11321</v>
          </cell>
          <cell r="N142">
            <v>11340</v>
          </cell>
          <cell r="O142">
            <v>11303</v>
          </cell>
          <cell r="P142">
            <v>11328</v>
          </cell>
          <cell r="Q142">
            <v>11539</v>
          </cell>
        </row>
        <row r="143">
          <cell r="A143">
            <v>583100</v>
          </cell>
          <cell r="B143" t="str">
            <v>Overhead Line Exps-Other-Dist</v>
          </cell>
          <cell r="C143" t="str">
            <v>DO</v>
          </cell>
          <cell r="D143">
            <v>583</v>
          </cell>
          <cell r="E143">
            <v>584686</v>
          </cell>
          <cell r="F143">
            <v>38654</v>
          </cell>
          <cell r="G143">
            <v>36136</v>
          </cell>
          <cell r="H143">
            <v>70205</v>
          </cell>
          <cell r="I143">
            <v>36123</v>
          </cell>
          <cell r="J143">
            <v>35165</v>
          </cell>
          <cell r="K143">
            <v>71426</v>
          </cell>
          <cell r="L143">
            <v>37038</v>
          </cell>
          <cell r="M143">
            <v>37301</v>
          </cell>
          <cell r="N143">
            <v>72416</v>
          </cell>
          <cell r="O143">
            <v>48474</v>
          </cell>
          <cell r="P143">
            <v>47704</v>
          </cell>
          <cell r="Q143">
            <v>54044</v>
          </cell>
        </row>
        <row r="144">
          <cell r="A144">
            <v>583200</v>
          </cell>
          <cell r="B144" t="str">
            <v>Transf Set Rem Reset Test-Dist</v>
          </cell>
          <cell r="C144" t="str">
            <v>DO</v>
          </cell>
          <cell r="D144">
            <v>583</v>
          </cell>
          <cell r="E144">
            <v>103922</v>
          </cell>
          <cell r="F144">
            <v>8074</v>
          </cell>
          <cell r="G144">
            <v>8074</v>
          </cell>
          <cell r="H144">
            <v>8074</v>
          </cell>
          <cell r="I144">
            <v>8074</v>
          </cell>
          <cell r="J144">
            <v>8074</v>
          </cell>
          <cell r="K144">
            <v>11175</v>
          </cell>
          <cell r="L144">
            <v>8260</v>
          </cell>
          <cell r="M144">
            <v>8260</v>
          </cell>
          <cell r="N144">
            <v>8260</v>
          </cell>
          <cell r="O144">
            <v>8155</v>
          </cell>
          <cell r="P144">
            <v>8155</v>
          </cell>
          <cell r="Q144">
            <v>11287</v>
          </cell>
        </row>
        <row r="145">
          <cell r="A145">
            <v>584000</v>
          </cell>
          <cell r="B145" t="str">
            <v>Underground Line Expenses-Dist</v>
          </cell>
          <cell r="C145" t="str">
            <v>DO</v>
          </cell>
          <cell r="D145">
            <v>584</v>
          </cell>
          <cell r="E145">
            <v>505404</v>
          </cell>
          <cell r="F145">
            <v>43310</v>
          </cell>
          <cell r="G145">
            <v>40500</v>
          </cell>
          <cell r="H145">
            <v>41321</v>
          </cell>
          <cell r="I145">
            <v>40484</v>
          </cell>
          <cell r="J145">
            <v>39416</v>
          </cell>
          <cell r="K145">
            <v>42683</v>
          </cell>
          <cell r="L145">
            <v>41506</v>
          </cell>
          <cell r="M145">
            <v>41800</v>
          </cell>
          <cell r="N145">
            <v>43788</v>
          </cell>
          <cell r="O145">
            <v>44878</v>
          </cell>
          <cell r="P145">
            <v>44018</v>
          </cell>
          <cell r="Q145">
            <v>41700</v>
          </cell>
        </row>
        <row r="146">
          <cell r="A146">
            <v>586000</v>
          </cell>
          <cell r="B146" t="str">
            <v>Meter Expenses-Dist</v>
          </cell>
          <cell r="C146" t="str">
            <v>DO</v>
          </cell>
          <cell r="D146">
            <v>586</v>
          </cell>
          <cell r="E146">
            <v>55056</v>
          </cell>
          <cell r="F146">
            <v>3522</v>
          </cell>
          <cell r="G146">
            <v>3278</v>
          </cell>
          <cell r="H146">
            <v>3350</v>
          </cell>
          <cell r="I146">
            <v>3277</v>
          </cell>
          <cell r="J146">
            <v>3184</v>
          </cell>
          <cell r="K146">
            <v>9617</v>
          </cell>
          <cell r="L146">
            <v>3366</v>
          </cell>
          <cell r="M146">
            <v>3391</v>
          </cell>
          <cell r="N146">
            <v>3564</v>
          </cell>
          <cell r="O146">
            <v>6274</v>
          </cell>
          <cell r="P146">
            <v>3185</v>
          </cell>
          <cell r="Q146">
            <v>9048</v>
          </cell>
        </row>
        <row r="147">
          <cell r="A147">
            <v>587000</v>
          </cell>
          <cell r="B147" t="str">
            <v>Cust Install Exp-Other Dist</v>
          </cell>
          <cell r="C147" t="str">
            <v>DO</v>
          </cell>
          <cell r="D147">
            <v>587</v>
          </cell>
          <cell r="E147">
            <v>1175448</v>
          </cell>
          <cell r="F147">
            <v>99846</v>
          </cell>
          <cell r="G147">
            <v>94667</v>
          </cell>
          <cell r="H147">
            <v>96180</v>
          </cell>
          <cell r="I147">
            <v>94638</v>
          </cell>
          <cell r="J147">
            <v>92670</v>
          </cell>
          <cell r="K147">
            <v>100032</v>
          </cell>
          <cell r="L147">
            <v>96521</v>
          </cell>
          <cell r="M147">
            <v>97063</v>
          </cell>
          <cell r="N147">
            <v>100728</v>
          </cell>
          <cell r="O147">
            <v>103514</v>
          </cell>
          <cell r="P147">
            <v>101273</v>
          </cell>
          <cell r="Q147">
            <v>98316</v>
          </cell>
        </row>
        <row r="148">
          <cell r="A148">
            <v>588100</v>
          </cell>
          <cell r="B148" t="str">
            <v>Misc Distribution Exp-Other</v>
          </cell>
          <cell r="C148" t="str">
            <v>DO</v>
          </cell>
          <cell r="D148">
            <v>588</v>
          </cell>
          <cell r="E148">
            <v>3656514</v>
          </cell>
          <cell r="F148">
            <v>304290</v>
          </cell>
          <cell r="G148">
            <v>262916</v>
          </cell>
          <cell r="H148">
            <v>331408</v>
          </cell>
          <cell r="I148">
            <v>296720</v>
          </cell>
          <cell r="J148">
            <v>261122</v>
          </cell>
          <cell r="K148">
            <v>347069</v>
          </cell>
          <cell r="L148">
            <v>299653</v>
          </cell>
          <cell r="M148">
            <v>267620</v>
          </cell>
          <cell r="N148">
            <v>340818</v>
          </cell>
          <cell r="O148">
            <v>313508</v>
          </cell>
          <cell r="P148">
            <v>280585</v>
          </cell>
          <cell r="Q148">
            <v>350805</v>
          </cell>
        </row>
        <row r="149">
          <cell r="A149">
            <v>589000</v>
          </cell>
          <cell r="B149" t="str">
            <v>Rents-Dist Oper</v>
          </cell>
          <cell r="C149" t="str">
            <v>DO</v>
          </cell>
          <cell r="D149">
            <v>589</v>
          </cell>
          <cell r="E149">
            <v>65579</v>
          </cell>
          <cell r="F149">
            <v>5624</v>
          </cell>
          <cell r="G149">
            <v>5250</v>
          </cell>
          <cell r="H149">
            <v>5359</v>
          </cell>
          <cell r="I149">
            <v>5248</v>
          </cell>
          <cell r="J149">
            <v>5105</v>
          </cell>
          <cell r="K149">
            <v>5541</v>
          </cell>
          <cell r="L149">
            <v>5384</v>
          </cell>
          <cell r="M149">
            <v>5423</v>
          </cell>
          <cell r="N149">
            <v>5688</v>
          </cell>
          <cell r="O149">
            <v>5832</v>
          </cell>
          <cell r="P149">
            <v>5717</v>
          </cell>
          <cell r="Q149">
            <v>5408</v>
          </cell>
        </row>
        <row r="150">
          <cell r="A150">
            <v>591000</v>
          </cell>
          <cell r="B150" t="str">
            <v>Maintenance of Structures-Dist</v>
          </cell>
          <cell r="C150" t="str">
            <v>DM</v>
          </cell>
          <cell r="D150">
            <v>591</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135221</v>
          </cell>
          <cell r="F151">
            <v>11231</v>
          </cell>
          <cell r="G151">
            <v>11313</v>
          </cell>
          <cell r="H151">
            <v>11269</v>
          </cell>
          <cell r="I151">
            <v>11223</v>
          </cell>
          <cell r="J151">
            <v>11231</v>
          </cell>
          <cell r="K151">
            <v>11351</v>
          </cell>
          <cell r="L151">
            <v>11239</v>
          </cell>
          <cell r="M151">
            <v>11224</v>
          </cell>
          <cell r="N151">
            <v>11239</v>
          </cell>
          <cell r="O151">
            <v>11230</v>
          </cell>
          <cell r="P151">
            <v>11250</v>
          </cell>
          <cell r="Q151">
            <v>11421</v>
          </cell>
        </row>
        <row r="152">
          <cell r="A152">
            <v>592200</v>
          </cell>
          <cell r="B152" t="str">
            <v>Cir BrkrsTrnsf Mters Rely-Dist</v>
          </cell>
          <cell r="C152" t="str">
            <v>DM</v>
          </cell>
          <cell r="D152">
            <v>592</v>
          </cell>
          <cell r="E152">
            <v>284671</v>
          </cell>
          <cell r="F152">
            <v>23637</v>
          </cell>
          <cell r="G152">
            <v>23873</v>
          </cell>
          <cell r="H152">
            <v>23746</v>
          </cell>
          <cell r="I152">
            <v>23612</v>
          </cell>
          <cell r="J152">
            <v>23637</v>
          </cell>
          <cell r="K152">
            <v>23983</v>
          </cell>
          <cell r="L152">
            <v>23660</v>
          </cell>
          <cell r="M152">
            <v>23615</v>
          </cell>
          <cell r="N152">
            <v>23660</v>
          </cell>
          <cell r="O152">
            <v>23548</v>
          </cell>
          <cell r="P152">
            <v>23605</v>
          </cell>
          <cell r="Q152">
            <v>24095</v>
          </cell>
        </row>
        <row r="153">
          <cell r="A153">
            <v>593000</v>
          </cell>
          <cell r="B153" t="str">
            <v>Maint Overhd Lines-Other-Dist</v>
          </cell>
          <cell r="C153" t="str">
            <v>DM</v>
          </cell>
          <cell r="D153">
            <v>593</v>
          </cell>
          <cell r="E153">
            <v>5662285</v>
          </cell>
          <cell r="F153">
            <v>550973</v>
          </cell>
          <cell r="G153">
            <v>540013</v>
          </cell>
          <cell r="H153">
            <v>545282</v>
          </cell>
          <cell r="I153">
            <v>546557</v>
          </cell>
          <cell r="J153">
            <v>541543</v>
          </cell>
          <cell r="K153">
            <v>557407</v>
          </cell>
          <cell r="L153">
            <v>406692</v>
          </cell>
          <cell r="M153">
            <v>405606</v>
          </cell>
          <cell r="N153">
            <v>416190</v>
          </cell>
          <cell r="O153">
            <v>384726</v>
          </cell>
          <cell r="P153">
            <v>385137</v>
          </cell>
          <cell r="Q153">
            <v>382159</v>
          </cell>
        </row>
        <row r="154">
          <cell r="A154">
            <v>593100</v>
          </cell>
          <cell r="B154" t="str">
            <v>Right-of-Way Maintenance-Dist</v>
          </cell>
          <cell r="C154" t="str">
            <v>DM</v>
          </cell>
          <cell r="D154">
            <v>593</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A155">
            <v>594000</v>
          </cell>
          <cell r="B155" t="str">
            <v>Maint-Underground Lines-Dist</v>
          </cell>
          <cell r="C155" t="str">
            <v>DM</v>
          </cell>
          <cell r="D155">
            <v>594</v>
          </cell>
          <cell r="E155">
            <v>356244</v>
          </cell>
          <cell r="F155">
            <v>30461</v>
          </cell>
          <cell r="G155">
            <v>28625</v>
          </cell>
          <cell r="H155">
            <v>29162</v>
          </cell>
          <cell r="I155">
            <v>28615</v>
          </cell>
          <cell r="J155">
            <v>27918</v>
          </cell>
          <cell r="K155">
            <v>30051</v>
          </cell>
          <cell r="L155">
            <v>29282</v>
          </cell>
          <cell r="M155">
            <v>29475</v>
          </cell>
          <cell r="N155">
            <v>30773</v>
          </cell>
          <cell r="O155">
            <v>31506</v>
          </cell>
          <cell r="P155">
            <v>30945</v>
          </cell>
          <cell r="Q155">
            <v>29431</v>
          </cell>
        </row>
        <row r="156">
          <cell r="A156">
            <v>595100</v>
          </cell>
          <cell r="B156" t="str">
            <v>Maint Line Transfrs-Other-Dist</v>
          </cell>
          <cell r="C156" t="str">
            <v>DM</v>
          </cell>
          <cell r="D156">
            <v>595</v>
          </cell>
          <cell r="E156">
            <v>112939</v>
          </cell>
          <cell r="F156">
            <v>9234</v>
          </cell>
          <cell r="G156">
            <v>8975</v>
          </cell>
          <cell r="H156">
            <v>9052</v>
          </cell>
          <cell r="I156">
            <v>8967</v>
          </cell>
          <cell r="J156">
            <v>8876</v>
          </cell>
          <cell r="K156">
            <v>10555</v>
          </cell>
          <cell r="L156">
            <v>9148</v>
          </cell>
          <cell r="M156">
            <v>9163</v>
          </cell>
          <cell r="N156">
            <v>9358</v>
          </cell>
          <cell r="O156">
            <v>9971</v>
          </cell>
          <cell r="P156">
            <v>9227</v>
          </cell>
          <cell r="Q156">
            <v>10413</v>
          </cell>
        </row>
        <row r="157">
          <cell r="A157">
            <v>596000</v>
          </cell>
          <cell r="B157" t="str">
            <v>Maint-StreetLightng/Signl-Dist</v>
          </cell>
          <cell r="C157" t="str">
            <v>DM</v>
          </cell>
          <cell r="D157">
            <v>596</v>
          </cell>
          <cell r="E157">
            <v>372671</v>
          </cell>
          <cell r="F157">
            <v>31958</v>
          </cell>
          <cell r="G157">
            <v>29837</v>
          </cell>
          <cell r="H157">
            <v>30457</v>
          </cell>
          <cell r="I157">
            <v>29825</v>
          </cell>
          <cell r="J157">
            <v>29019</v>
          </cell>
          <cell r="K157">
            <v>31485</v>
          </cell>
          <cell r="L157">
            <v>30596</v>
          </cell>
          <cell r="M157">
            <v>30819</v>
          </cell>
          <cell r="N157">
            <v>32319</v>
          </cell>
          <cell r="O157">
            <v>33134</v>
          </cell>
          <cell r="P157">
            <v>32486</v>
          </cell>
          <cell r="Q157">
            <v>30736</v>
          </cell>
        </row>
        <row r="158">
          <cell r="A158">
            <v>597000</v>
          </cell>
          <cell r="B158" t="str">
            <v>Maintenance of Meters-Dist</v>
          </cell>
          <cell r="C158" t="str">
            <v>DM</v>
          </cell>
          <cell r="D158">
            <v>597</v>
          </cell>
          <cell r="E158">
            <v>309662</v>
          </cell>
          <cell r="F158">
            <v>24399</v>
          </cell>
          <cell r="G158">
            <v>24399</v>
          </cell>
          <cell r="H158">
            <v>24399</v>
          </cell>
          <cell r="I158">
            <v>24399</v>
          </cell>
          <cell r="J158">
            <v>24399</v>
          </cell>
          <cell r="K158">
            <v>31976</v>
          </cell>
          <cell r="L158">
            <v>24399</v>
          </cell>
          <cell r="M158">
            <v>24399</v>
          </cell>
          <cell r="N158">
            <v>24399</v>
          </cell>
          <cell r="O158">
            <v>26861</v>
          </cell>
          <cell r="P158">
            <v>23875</v>
          </cell>
          <cell r="Q158">
            <v>31758</v>
          </cell>
        </row>
        <row r="159">
          <cell r="A159">
            <v>901000</v>
          </cell>
          <cell r="B159" t="str">
            <v>Supervision-Cust Accts</v>
          </cell>
          <cell r="C159" t="str">
            <v>CO</v>
          </cell>
          <cell r="D159">
            <v>901</v>
          </cell>
          <cell r="E159">
            <v>302389</v>
          </cell>
          <cell r="F159">
            <v>24251</v>
          </cell>
          <cell r="G159">
            <v>24254</v>
          </cell>
          <cell r="H159">
            <v>24251</v>
          </cell>
          <cell r="I159">
            <v>24255</v>
          </cell>
          <cell r="J159">
            <v>24255</v>
          </cell>
          <cell r="K159">
            <v>29079</v>
          </cell>
          <cell r="L159">
            <v>24256</v>
          </cell>
          <cell r="M159">
            <v>24253</v>
          </cell>
          <cell r="N159">
            <v>24257</v>
          </cell>
          <cell r="O159">
            <v>26311</v>
          </cell>
          <cell r="P159">
            <v>23883</v>
          </cell>
          <cell r="Q159">
            <v>29084</v>
          </cell>
        </row>
        <row r="160">
          <cell r="A160">
            <v>902000</v>
          </cell>
          <cell r="B160" t="str">
            <v>Meter Reading Expense</v>
          </cell>
          <cell r="C160" t="str">
            <v>CO</v>
          </cell>
          <cell r="D160">
            <v>902</v>
          </cell>
          <cell r="E160">
            <v>448743</v>
          </cell>
          <cell r="F160">
            <v>46491</v>
          </cell>
          <cell r="G160">
            <v>45650</v>
          </cell>
          <cell r="H160">
            <v>45896</v>
          </cell>
          <cell r="I160">
            <v>45645</v>
          </cell>
          <cell r="J160">
            <v>45325</v>
          </cell>
          <cell r="K160">
            <v>61061</v>
          </cell>
          <cell r="L160">
            <v>45951</v>
          </cell>
          <cell r="M160">
            <v>46039</v>
          </cell>
          <cell r="N160">
            <v>46634</v>
          </cell>
          <cell r="O160">
            <v>7976</v>
          </cell>
          <cell r="P160">
            <v>21380</v>
          </cell>
          <cell r="Q160">
            <v>-9305</v>
          </cell>
        </row>
        <row r="161">
          <cell r="A161">
            <v>903000</v>
          </cell>
          <cell r="B161" t="str">
            <v>Cust Records &amp; Collection Exp</v>
          </cell>
          <cell r="C161" t="str">
            <v>CO</v>
          </cell>
          <cell r="D161">
            <v>903</v>
          </cell>
          <cell r="E161">
            <v>2279541</v>
          </cell>
          <cell r="F161">
            <v>157300</v>
          </cell>
          <cell r="G161">
            <v>206178</v>
          </cell>
          <cell r="H161">
            <v>158994</v>
          </cell>
          <cell r="I161">
            <v>157760</v>
          </cell>
          <cell r="J161">
            <v>203213</v>
          </cell>
          <cell r="K161">
            <v>172025</v>
          </cell>
          <cell r="L161">
            <v>154915</v>
          </cell>
          <cell r="M161">
            <v>206066</v>
          </cell>
          <cell r="N161">
            <v>214060</v>
          </cell>
          <cell r="O161">
            <v>204487</v>
          </cell>
          <cell r="P161">
            <v>252540</v>
          </cell>
          <cell r="Q161">
            <v>192003</v>
          </cell>
        </row>
        <row r="162">
          <cell r="A162">
            <v>903100</v>
          </cell>
          <cell r="B162" t="str">
            <v>Cust Contracts &amp; Orders-Local</v>
          </cell>
          <cell r="C162" t="str">
            <v>CO</v>
          </cell>
          <cell r="D162">
            <v>903</v>
          </cell>
          <cell r="E162">
            <v>583713</v>
          </cell>
          <cell r="F162">
            <v>48247</v>
          </cell>
          <cell r="G162">
            <v>48728</v>
          </cell>
          <cell r="H162">
            <v>48043</v>
          </cell>
          <cell r="I162">
            <v>48613</v>
          </cell>
          <cell r="J162">
            <v>49898</v>
          </cell>
          <cell r="K162">
            <v>50424</v>
          </cell>
          <cell r="L162">
            <v>48570</v>
          </cell>
          <cell r="M162">
            <v>46569</v>
          </cell>
          <cell r="N162">
            <v>45392</v>
          </cell>
          <cell r="O162">
            <v>48971</v>
          </cell>
          <cell r="P162">
            <v>49357</v>
          </cell>
          <cell r="Q162">
            <v>50901</v>
          </cell>
        </row>
        <row r="163">
          <cell r="A163">
            <v>903200</v>
          </cell>
          <cell r="B163" t="str">
            <v>Cust Billing &amp; Acct</v>
          </cell>
          <cell r="C163" t="str">
            <v>CO</v>
          </cell>
          <cell r="D163">
            <v>903</v>
          </cell>
          <cell r="E163">
            <v>877364</v>
          </cell>
          <cell r="F163">
            <v>71260</v>
          </cell>
          <cell r="G163">
            <v>71715</v>
          </cell>
          <cell r="H163">
            <v>71440</v>
          </cell>
          <cell r="I163">
            <v>71605</v>
          </cell>
          <cell r="J163">
            <v>72821</v>
          </cell>
          <cell r="K163">
            <v>81566</v>
          </cell>
          <cell r="L163">
            <v>71610</v>
          </cell>
          <cell r="M163">
            <v>69946</v>
          </cell>
          <cell r="N163">
            <v>68600</v>
          </cell>
          <cell r="O163">
            <v>69059</v>
          </cell>
          <cell r="P163">
            <v>75484</v>
          </cell>
          <cell r="Q163">
            <v>82258</v>
          </cell>
        </row>
        <row r="164">
          <cell r="A164">
            <v>903250</v>
          </cell>
          <cell r="B164" t="str">
            <v>Cust Billing - Common</v>
          </cell>
          <cell r="C164" t="str">
            <v>CO</v>
          </cell>
          <cell r="D164">
            <v>903</v>
          </cell>
          <cell r="E164">
            <v>-1317889</v>
          </cell>
          <cell r="F164">
            <v>-48061</v>
          </cell>
          <cell r="G164">
            <v>-99548</v>
          </cell>
          <cell r="H164">
            <v>-122506</v>
          </cell>
          <cell r="I164">
            <v>-127680</v>
          </cell>
          <cell r="J164">
            <v>-117202</v>
          </cell>
          <cell r="K164">
            <v>-80438</v>
          </cell>
          <cell r="L164">
            <v>-60979</v>
          </cell>
          <cell r="M164">
            <v>-69721</v>
          </cell>
          <cell r="N164">
            <v>-104192</v>
          </cell>
          <cell r="O164">
            <v>-141603</v>
          </cell>
          <cell r="P164">
            <v>-193070</v>
          </cell>
          <cell r="Q164">
            <v>-152889</v>
          </cell>
        </row>
        <row r="165">
          <cell r="A165">
            <v>903300</v>
          </cell>
          <cell r="B165" t="str">
            <v>Cust Collecting-Local</v>
          </cell>
          <cell r="C165" t="str">
            <v>CO</v>
          </cell>
          <cell r="D165">
            <v>903</v>
          </cell>
          <cell r="E165">
            <v>521623</v>
          </cell>
          <cell r="F165">
            <v>42820</v>
          </cell>
          <cell r="G165">
            <v>43184</v>
          </cell>
          <cell r="H165">
            <v>42725</v>
          </cell>
          <cell r="I165">
            <v>43096</v>
          </cell>
          <cell r="J165">
            <v>48410</v>
          </cell>
          <cell r="K165">
            <v>45163</v>
          </cell>
          <cell r="L165">
            <v>43100</v>
          </cell>
          <cell r="M165">
            <v>42086</v>
          </cell>
          <cell r="N165">
            <v>40775</v>
          </cell>
          <cell r="O165">
            <v>41014</v>
          </cell>
          <cell r="P165">
            <v>43685</v>
          </cell>
          <cell r="Q165">
            <v>45565</v>
          </cell>
        </row>
        <row r="166">
          <cell r="A166">
            <v>903400</v>
          </cell>
          <cell r="B166" t="str">
            <v>Cust Receiv &amp; Collect Exp-Edp</v>
          </cell>
          <cell r="C166" t="str">
            <v>CO</v>
          </cell>
          <cell r="D166">
            <v>903</v>
          </cell>
          <cell r="E166">
            <v>88573</v>
          </cell>
          <cell r="F166">
            <v>7166</v>
          </cell>
          <cell r="G166">
            <v>7243</v>
          </cell>
          <cell r="H166">
            <v>7319</v>
          </cell>
          <cell r="I166">
            <v>7396</v>
          </cell>
          <cell r="J166">
            <v>7473</v>
          </cell>
          <cell r="K166">
            <v>7663</v>
          </cell>
          <cell r="L166">
            <v>7636</v>
          </cell>
          <cell r="M166">
            <v>7712</v>
          </cell>
          <cell r="N166">
            <v>7779</v>
          </cell>
          <cell r="O166">
            <v>6901</v>
          </cell>
          <cell r="P166">
            <v>7020</v>
          </cell>
          <cell r="Q166">
            <v>7265</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v>904001</v>
          </cell>
          <cell r="B169" t="str">
            <v>BAD DEBT EXPENSE</v>
          </cell>
          <cell r="C169" t="str">
            <v>CO</v>
          </cell>
          <cell r="D169">
            <v>904</v>
          </cell>
          <cell r="E169">
            <v>55338</v>
          </cell>
          <cell r="F169">
            <v>4600</v>
          </cell>
          <cell r="G169">
            <v>4600</v>
          </cell>
          <cell r="H169">
            <v>4600</v>
          </cell>
          <cell r="I169">
            <v>4600</v>
          </cell>
          <cell r="J169">
            <v>4600</v>
          </cell>
          <cell r="K169">
            <v>4600</v>
          </cell>
          <cell r="L169">
            <v>4600</v>
          </cell>
          <cell r="M169">
            <v>4600</v>
          </cell>
          <cell r="N169">
            <v>4600</v>
          </cell>
          <cell r="O169">
            <v>4646</v>
          </cell>
          <cell r="P169">
            <v>4646</v>
          </cell>
          <cell r="Q169">
            <v>4646</v>
          </cell>
        </row>
        <row r="170">
          <cell r="A170">
            <v>904003</v>
          </cell>
          <cell r="B170" t="str">
            <v>Cust Acctg-Loss On Sale-A/R</v>
          </cell>
          <cell r="C170" t="str">
            <v>CO</v>
          </cell>
          <cell r="D170">
            <v>904</v>
          </cell>
          <cell r="E170">
            <v>1910160</v>
          </cell>
          <cell r="F170">
            <v>137908</v>
          </cell>
          <cell r="G170">
            <v>108904</v>
          </cell>
          <cell r="H170">
            <v>145802</v>
          </cell>
          <cell r="I170">
            <v>233461</v>
          </cell>
          <cell r="J170">
            <v>197974</v>
          </cell>
          <cell r="K170">
            <v>137649</v>
          </cell>
          <cell r="L170">
            <v>215342</v>
          </cell>
          <cell r="M170">
            <v>256654</v>
          </cell>
          <cell r="N170">
            <v>173288</v>
          </cell>
          <cell r="O170">
            <v>173431</v>
          </cell>
          <cell r="P170">
            <v>79743</v>
          </cell>
          <cell r="Q170">
            <v>50004</v>
          </cell>
        </row>
        <row r="171">
          <cell r="A171">
            <v>904891</v>
          </cell>
          <cell r="B171" t="str">
            <v>IC Loss on Sale of AR VIE</v>
          </cell>
          <cell r="C171" t="str">
            <v>CO</v>
          </cell>
          <cell r="D171">
            <v>904</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v>908000</v>
          </cell>
          <cell r="B173" t="str">
            <v>Cust Asst Exp-Conservation Pro</v>
          </cell>
          <cell r="C173" t="str">
            <v>CSI</v>
          </cell>
          <cell r="D173">
            <v>908</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v>909650</v>
          </cell>
          <cell r="B174" t="str">
            <v>Misc Advertising Expenses</v>
          </cell>
          <cell r="C174" t="str">
            <v>CSI</v>
          </cell>
          <cell r="D174">
            <v>909</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400820</v>
          </cell>
          <cell r="F175">
            <v>32224</v>
          </cell>
          <cell r="G175">
            <v>34075</v>
          </cell>
          <cell r="H175">
            <v>36392</v>
          </cell>
          <cell r="I175">
            <v>32147</v>
          </cell>
          <cell r="J175">
            <v>31207</v>
          </cell>
          <cell r="K175">
            <v>34676</v>
          </cell>
          <cell r="L175">
            <v>34231</v>
          </cell>
          <cell r="M175">
            <v>29750</v>
          </cell>
          <cell r="N175">
            <v>34501</v>
          </cell>
          <cell r="O175">
            <v>35584</v>
          </cell>
          <cell r="P175">
            <v>33884</v>
          </cell>
          <cell r="Q175">
            <v>32149</v>
          </cell>
        </row>
        <row r="176">
          <cell r="A176">
            <v>910100</v>
          </cell>
          <cell r="B176" t="str">
            <v>Exp-Rs Reg Prod/Svces-CstAccts</v>
          </cell>
          <cell r="C176" t="str">
            <v>CSI</v>
          </cell>
          <cell r="D176">
            <v>910</v>
          </cell>
          <cell r="E176">
            <v>680378</v>
          </cell>
          <cell r="F176">
            <v>56914</v>
          </cell>
          <cell r="G176">
            <v>56914</v>
          </cell>
          <cell r="H176">
            <v>56914</v>
          </cell>
          <cell r="I176">
            <v>56914</v>
          </cell>
          <cell r="J176">
            <v>56914</v>
          </cell>
          <cell r="K176">
            <v>56914</v>
          </cell>
          <cell r="L176">
            <v>56914</v>
          </cell>
          <cell r="M176">
            <v>57047</v>
          </cell>
          <cell r="N176">
            <v>57047</v>
          </cell>
          <cell r="O176">
            <v>54671</v>
          </cell>
          <cell r="P176">
            <v>56633</v>
          </cell>
          <cell r="Q176">
            <v>56582</v>
          </cell>
        </row>
        <row r="177">
          <cell r="A177">
            <v>912000</v>
          </cell>
          <cell r="B177" t="str">
            <v>Demonstrating &amp; Selling Exp</v>
          </cell>
          <cell r="C177" t="str">
            <v>SE</v>
          </cell>
          <cell r="D177">
            <v>912</v>
          </cell>
          <cell r="E177">
            <v>793281</v>
          </cell>
          <cell r="F177">
            <v>66201</v>
          </cell>
          <cell r="G177">
            <v>66211</v>
          </cell>
          <cell r="H177">
            <v>66191</v>
          </cell>
          <cell r="I177">
            <v>66214</v>
          </cell>
          <cell r="J177">
            <v>66534</v>
          </cell>
          <cell r="K177">
            <v>66300</v>
          </cell>
          <cell r="L177">
            <v>66323</v>
          </cell>
          <cell r="M177">
            <v>66305</v>
          </cell>
          <cell r="N177">
            <v>66329</v>
          </cell>
          <cell r="O177">
            <v>64967</v>
          </cell>
          <cell r="P177">
            <v>64824</v>
          </cell>
          <cell r="Q177">
            <v>66882</v>
          </cell>
        </row>
        <row r="178">
          <cell r="A178">
            <v>913001</v>
          </cell>
          <cell r="B178" t="str">
            <v>Advertising Expense</v>
          </cell>
          <cell r="C178" t="str">
            <v>SE</v>
          </cell>
          <cell r="D178">
            <v>913</v>
          </cell>
          <cell r="E178">
            <v>1857</v>
          </cell>
          <cell r="F178">
            <v>155</v>
          </cell>
          <cell r="G178">
            <v>155</v>
          </cell>
          <cell r="H178">
            <v>155</v>
          </cell>
          <cell r="I178">
            <v>155</v>
          </cell>
          <cell r="J178">
            <v>155</v>
          </cell>
          <cell r="K178">
            <v>155</v>
          </cell>
          <cell r="L178">
            <v>155</v>
          </cell>
          <cell r="M178">
            <v>155</v>
          </cell>
          <cell r="N178">
            <v>155</v>
          </cell>
          <cell r="O178">
            <v>153</v>
          </cell>
          <cell r="P178">
            <v>152</v>
          </cell>
          <cell r="Q178">
            <v>157</v>
          </cell>
        </row>
        <row r="179">
          <cell r="A179">
            <v>920000</v>
          </cell>
          <cell r="B179" t="str">
            <v>A &amp; G Salaries</v>
          </cell>
          <cell r="C179" t="str">
            <v>AGO</v>
          </cell>
          <cell r="D179">
            <v>920</v>
          </cell>
          <cell r="E179">
            <v>4088055</v>
          </cell>
          <cell r="F179">
            <v>434300</v>
          </cell>
          <cell r="G179">
            <v>434367</v>
          </cell>
          <cell r="H179">
            <v>472110</v>
          </cell>
          <cell r="I179">
            <v>434209</v>
          </cell>
          <cell r="J179">
            <v>433819</v>
          </cell>
          <cell r="K179">
            <v>444669</v>
          </cell>
          <cell r="L179">
            <v>434247</v>
          </cell>
          <cell r="M179">
            <v>434133</v>
          </cell>
          <cell r="N179">
            <v>466742</v>
          </cell>
          <cell r="O179">
            <v>122518</v>
          </cell>
          <cell r="P179">
            <v>123249</v>
          </cell>
          <cell r="Q179">
            <v>-146308</v>
          </cell>
        </row>
        <row r="180">
          <cell r="A180">
            <v>921100</v>
          </cell>
          <cell r="B180" t="str">
            <v>Employee Expenses</v>
          </cell>
          <cell r="C180" t="str">
            <v>AGO</v>
          </cell>
          <cell r="D180">
            <v>921</v>
          </cell>
          <cell r="E180">
            <v>349340</v>
          </cell>
          <cell r="F180">
            <v>28482</v>
          </cell>
          <cell r="G180">
            <v>28048</v>
          </cell>
          <cell r="H180">
            <v>30078</v>
          </cell>
          <cell r="I180">
            <v>27690</v>
          </cell>
          <cell r="J180">
            <v>27938</v>
          </cell>
          <cell r="K180">
            <v>30949</v>
          </cell>
          <cell r="L180">
            <v>28176</v>
          </cell>
          <cell r="M180">
            <v>28564</v>
          </cell>
          <cell r="N180">
            <v>33990</v>
          </cell>
          <cell r="O180">
            <v>27914</v>
          </cell>
          <cell r="P180">
            <v>27894</v>
          </cell>
          <cell r="Q180">
            <v>29617</v>
          </cell>
        </row>
        <row r="181">
          <cell r="A181">
            <v>921101</v>
          </cell>
          <cell r="B181" t="str">
            <v>Employee Exp - NC</v>
          </cell>
          <cell r="C181" t="str">
            <v>AGO</v>
          </cell>
          <cell r="D181">
            <v>921</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921200</v>
          </cell>
          <cell r="B183" t="str">
            <v>Office Expenses</v>
          </cell>
          <cell r="C183" t="str">
            <v>AGO</v>
          </cell>
          <cell r="D183">
            <v>921</v>
          </cell>
          <cell r="E183">
            <v>796529</v>
          </cell>
          <cell r="F183">
            <v>57022</v>
          </cell>
          <cell r="G183">
            <v>59230</v>
          </cell>
          <cell r="H183">
            <v>82983</v>
          </cell>
          <cell r="I183">
            <v>57568</v>
          </cell>
          <cell r="J183">
            <v>56474</v>
          </cell>
          <cell r="K183">
            <v>86935</v>
          </cell>
          <cell r="L183">
            <v>56092</v>
          </cell>
          <cell r="M183">
            <v>55421</v>
          </cell>
          <cell r="N183">
            <v>81440</v>
          </cell>
          <cell r="O183">
            <v>59328</v>
          </cell>
          <cell r="P183">
            <v>57893</v>
          </cell>
          <cell r="Q183">
            <v>86143</v>
          </cell>
        </row>
        <row r="184">
          <cell r="A184">
            <v>921300</v>
          </cell>
          <cell r="B184" t="str">
            <v>Telephone And Telegraph Exp</v>
          </cell>
          <cell r="C184" t="str">
            <v>AGO</v>
          </cell>
          <cell r="D184">
            <v>921</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192358</v>
          </cell>
          <cell r="F185">
            <v>16694</v>
          </cell>
          <cell r="G185">
            <v>11998</v>
          </cell>
          <cell r="H185">
            <v>34393</v>
          </cell>
          <cell r="I185">
            <v>18976</v>
          </cell>
          <cell r="J185">
            <v>8590</v>
          </cell>
          <cell r="K185">
            <v>9620</v>
          </cell>
          <cell r="L185">
            <v>12884</v>
          </cell>
          <cell r="M185">
            <v>9095</v>
          </cell>
          <cell r="N185">
            <v>13660</v>
          </cell>
          <cell r="O185">
            <v>15265</v>
          </cell>
          <cell r="P185">
            <v>28049</v>
          </cell>
          <cell r="Q185">
            <v>13134</v>
          </cell>
        </row>
        <row r="186">
          <cell r="A186">
            <v>921540</v>
          </cell>
          <cell r="B186" t="str">
            <v>Computer Rent (Go Only)</v>
          </cell>
          <cell r="C186" t="str">
            <v>AGO</v>
          </cell>
          <cell r="D186">
            <v>921</v>
          </cell>
          <cell r="E186">
            <v>1324</v>
          </cell>
          <cell r="F186">
            <v>44</v>
          </cell>
          <cell r="G186">
            <v>44</v>
          </cell>
          <cell r="H186">
            <v>44</v>
          </cell>
          <cell r="I186">
            <v>836</v>
          </cell>
          <cell r="J186">
            <v>44</v>
          </cell>
          <cell r="K186">
            <v>44</v>
          </cell>
          <cell r="L186">
            <v>44</v>
          </cell>
          <cell r="M186">
            <v>44</v>
          </cell>
          <cell r="N186">
            <v>44</v>
          </cell>
          <cell r="O186">
            <v>44</v>
          </cell>
          <cell r="P186">
            <v>48</v>
          </cell>
          <cell r="Q186">
            <v>44</v>
          </cell>
        </row>
        <row r="187">
          <cell r="A187">
            <v>921600</v>
          </cell>
          <cell r="B187" t="str">
            <v>Other</v>
          </cell>
          <cell r="C187" t="str">
            <v>AGO</v>
          </cell>
          <cell r="D187">
            <v>921</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v>921980</v>
          </cell>
          <cell r="B188" t="str">
            <v>Office Supplies &amp; Expenses</v>
          </cell>
          <cell r="C188" t="str">
            <v>AGO</v>
          </cell>
          <cell r="D188">
            <v>921</v>
          </cell>
          <cell r="E188">
            <v>1315198</v>
          </cell>
          <cell r="F188">
            <v>110454</v>
          </cell>
          <cell r="G188">
            <v>110460</v>
          </cell>
          <cell r="H188">
            <v>110474</v>
          </cell>
          <cell r="I188">
            <v>110451</v>
          </cell>
          <cell r="J188">
            <v>110446</v>
          </cell>
          <cell r="K188">
            <v>109941</v>
          </cell>
          <cell r="L188">
            <v>110394</v>
          </cell>
          <cell r="M188">
            <v>110374</v>
          </cell>
          <cell r="N188">
            <v>110381</v>
          </cell>
          <cell r="O188">
            <v>107433</v>
          </cell>
          <cell r="P188">
            <v>107546</v>
          </cell>
          <cell r="Q188">
            <v>106844</v>
          </cell>
        </row>
        <row r="189">
          <cell r="A189">
            <v>922000</v>
          </cell>
          <cell r="B189" t="str">
            <v>Admin Expense Transfer</v>
          </cell>
          <cell r="C189" t="str">
            <v>AGO</v>
          </cell>
          <cell r="D189">
            <v>922</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2100342</v>
          </cell>
          <cell r="F190">
            <v>138944</v>
          </cell>
          <cell r="G190">
            <v>144676</v>
          </cell>
          <cell r="H190">
            <v>204497</v>
          </cell>
          <cell r="I190">
            <v>127155</v>
          </cell>
          <cell r="J190">
            <v>139577</v>
          </cell>
          <cell r="K190">
            <v>199675</v>
          </cell>
          <cell r="L190">
            <v>143697</v>
          </cell>
          <cell r="M190">
            <v>132595</v>
          </cell>
          <cell r="N190">
            <v>334291</v>
          </cell>
          <cell r="O190">
            <v>163618</v>
          </cell>
          <cell r="P190">
            <v>164056</v>
          </cell>
          <cell r="Q190">
            <v>207561</v>
          </cell>
        </row>
        <row r="191">
          <cell r="A191">
            <v>923980</v>
          </cell>
          <cell r="B191" t="str">
            <v>Outside Services Employee &amp;</v>
          </cell>
          <cell r="C191" t="str">
            <v>AGO</v>
          </cell>
          <cell r="D191">
            <v>923</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924000</v>
          </cell>
          <cell r="B192" t="str">
            <v>Property Insurance</v>
          </cell>
          <cell r="C192" t="str">
            <v>AGO</v>
          </cell>
          <cell r="D192">
            <v>924</v>
          </cell>
          <cell r="E192">
            <v>2363</v>
          </cell>
          <cell r="F192">
            <v>0</v>
          </cell>
          <cell r="G192">
            <v>0</v>
          </cell>
          <cell r="H192">
            <v>0</v>
          </cell>
          <cell r="I192">
            <v>2363</v>
          </cell>
          <cell r="J192">
            <v>0</v>
          </cell>
          <cell r="K192">
            <v>0</v>
          </cell>
          <cell r="L192">
            <v>0</v>
          </cell>
          <cell r="M192">
            <v>0</v>
          </cell>
          <cell r="N192">
            <v>0</v>
          </cell>
          <cell r="O192">
            <v>0</v>
          </cell>
          <cell r="P192">
            <v>0</v>
          </cell>
          <cell r="Q192">
            <v>0</v>
          </cell>
        </row>
        <row r="193">
          <cell r="A193">
            <v>924050</v>
          </cell>
          <cell r="B193" t="str">
            <v>Inter-Co Prop Ins Exp</v>
          </cell>
          <cell r="C193" t="str">
            <v>AGO</v>
          </cell>
          <cell r="D193">
            <v>924</v>
          </cell>
          <cell r="E193">
            <v>173328</v>
          </cell>
          <cell r="F193">
            <v>14408</v>
          </cell>
          <cell r="G193">
            <v>14408</v>
          </cell>
          <cell r="H193">
            <v>14408</v>
          </cell>
          <cell r="I193">
            <v>14408</v>
          </cell>
          <cell r="J193">
            <v>14408</v>
          </cell>
          <cell r="K193">
            <v>14408</v>
          </cell>
          <cell r="L193">
            <v>14408</v>
          </cell>
          <cell r="M193">
            <v>14408</v>
          </cell>
          <cell r="N193">
            <v>14408</v>
          </cell>
          <cell r="O193">
            <v>14552</v>
          </cell>
          <cell r="P193">
            <v>14552</v>
          </cell>
          <cell r="Q193">
            <v>14552</v>
          </cell>
        </row>
        <row r="194">
          <cell r="A194">
            <v>924980</v>
          </cell>
          <cell r="B194" t="str">
            <v>Property Insurance For Corp.</v>
          </cell>
          <cell r="C194" t="str">
            <v>AGO</v>
          </cell>
          <cell r="D194">
            <v>924</v>
          </cell>
          <cell r="E194">
            <v>179814</v>
          </cell>
          <cell r="F194">
            <v>14947</v>
          </cell>
          <cell r="G194">
            <v>14947</v>
          </cell>
          <cell r="H194">
            <v>14947</v>
          </cell>
          <cell r="I194">
            <v>14947</v>
          </cell>
          <cell r="J194">
            <v>14947</v>
          </cell>
          <cell r="K194">
            <v>14947</v>
          </cell>
          <cell r="L194">
            <v>14947</v>
          </cell>
          <cell r="M194">
            <v>14947</v>
          </cell>
          <cell r="N194">
            <v>14947</v>
          </cell>
          <cell r="O194">
            <v>15097</v>
          </cell>
          <cell r="P194">
            <v>15097</v>
          </cell>
          <cell r="Q194">
            <v>15097</v>
          </cell>
        </row>
        <row r="195">
          <cell r="A195">
            <v>925000</v>
          </cell>
          <cell r="B195" t="str">
            <v>Injuries &amp; Damages</v>
          </cell>
          <cell r="C195" t="str">
            <v>AGO</v>
          </cell>
          <cell r="D195">
            <v>925</v>
          </cell>
          <cell r="E195">
            <v>242572</v>
          </cell>
          <cell r="F195">
            <v>20031</v>
          </cell>
          <cell r="G195">
            <v>19961</v>
          </cell>
          <cell r="H195">
            <v>19982</v>
          </cell>
          <cell r="I195">
            <v>19961</v>
          </cell>
          <cell r="J195">
            <v>19934</v>
          </cell>
          <cell r="K195">
            <v>20015</v>
          </cell>
          <cell r="L195">
            <v>19986</v>
          </cell>
          <cell r="M195">
            <v>19993</v>
          </cell>
          <cell r="N195">
            <v>20043</v>
          </cell>
          <cell r="O195">
            <v>20922</v>
          </cell>
          <cell r="P195">
            <v>20901</v>
          </cell>
          <cell r="Q195">
            <v>20843</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827028</v>
          </cell>
          <cell r="F197">
            <v>67550</v>
          </cell>
          <cell r="G197">
            <v>67550</v>
          </cell>
          <cell r="H197">
            <v>67550</v>
          </cell>
          <cell r="I197">
            <v>67550</v>
          </cell>
          <cell r="J197">
            <v>67550</v>
          </cell>
          <cell r="K197">
            <v>67550</v>
          </cell>
          <cell r="L197">
            <v>67550</v>
          </cell>
          <cell r="M197">
            <v>67550</v>
          </cell>
          <cell r="N197">
            <v>67550</v>
          </cell>
          <cell r="O197">
            <v>73026</v>
          </cell>
          <cell r="P197">
            <v>73026</v>
          </cell>
          <cell r="Q197">
            <v>73026</v>
          </cell>
        </row>
        <row r="198">
          <cell r="A198">
            <v>925200</v>
          </cell>
          <cell r="B198" t="str">
            <v>Injuries And Damages-Other</v>
          </cell>
          <cell r="C198" t="str">
            <v>AGO</v>
          </cell>
          <cell r="D198">
            <v>925</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925980</v>
          </cell>
          <cell r="B199" t="str">
            <v>Injuries And Damages For Corp.</v>
          </cell>
          <cell r="C199" t="str">
            <v>AGO</v>
          </cell>
          <cell r="D199">
            <v>925</v>
          </cell>
          <cell r="E199">
            <v>6255</v>
          </cell>
          <cell r="F199">
            <v>520</v>
          </cell>
          <cell r="G199">
            <v>520</v>
          </cell>
          <cell r="H199">
            <v>520</v>
          </cell>
          <cell r="I199">
            <v>520</v>
          </cell>
          <cell r="J199">
            <v>520</v>
          </cell>
          <cell r="K199">
            <v>520</v>
          </cell>
          <cell r="L199">
            <v>520</v>
          </cell>
          <cell r="M199">
            <v>520</v>
          </cell>
          <cell r="N199">
            <v>520</v>
          </cell>
          <cell r="O199">
            <v>525</v>
          </cell>
          <cell r="P199">
            <v>525</v>
          </cell>
          <cell r="Q199">
            <v>525</v>
          </cell>
        </row>
        <row r="200">
          <cell r="A200">
            <v>926000</v>
          </cell>
          <cell r="B200" t="str">
            <v>EMPL PENSIONS AND BENEFITS</v>
          </cell>
          <cell r="C200" t="str">
            <v>AGO</v>
          </cell>
          <cell r="D200">
            <v>926</v>
          </cell>
          <cell r="E200">
            <v>3935791</v>
          </cell>
          <cell r="F200">
            <v>315121</v>
          </cell>
          <cell r="G200">
            <v>312199</v>
          </cell>
          <cell r="H200">
            <v>325420</v>
          </cell>
          <cell r="I200">
            <v>309693</v>
          </cell>
          <cell r="J200">
            <v>308917</v>
          </cell>
          <cell r="K200">
            <v>308586</v>
          </cell>
          <cell r="L200">
            <v>308413</v>
          </cell>
          <cell r="M200">
            <v>308192</v>
          </cell>
          <cell r="N200">
            <v>451661</v>
          </cell>
          <cell r="O200">
            <v>375290</v>
          </cell>
          <cell r="P200">
            <v>367430</v>
          </cell>
          <cell r="Q200">
            <v>244869</v>
          </cell>
        </row>
        <row r="201">
          <cell r="A201">
            <v>926430</v>
          </cell>
          <cell r="B201" t="str">
            <v>Employees'Recreation Expense</v>
          </cell>
          <cell r="C201" t="str">
            <v>AGO</v>
          </cell>
          <cell r="D201">
            <v>926</v>
          </cell>
          <cell r="E201">
            <v>1695</v>
          </cell>
          <cell r="F201">
            <v>141</v>
          </cell>
          <cell r="G201">
            <v>141</v>
          </cell>
          <cell r="H201">
            <v>141</v>
          </cell>
          <cell r="I201">
            <v>141</v>
          </cell>
          <cell r="J201">
            <v>141</v>
          </cell>
          <cell r="K201">
            <v>141</v>
          </cell>
          <cell r="L201">
            <v>141</v>
          </cell>
          <cell r="M201">
            <v>141</v>
          </cell>
          <cell r="N201">
            <v>141</v>
          </cell>
          <cell r="O201">
            <v>142</v>
          </cell>
          <cell r="P201">
            <v>142</v>
          </cell>
          <cell r="Q201">
            <v>142</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2254165</v>
          </cell>
          <cell r="F203">
            <v>204306</v>
          </cell>
          <cell r="G203">
            <v>176405</v>
          </cell>
          <cell r="H203">
            <v>184964</v>
          </cell>
          <cell r="I203">
            <v>179952</v>
          </cell>
          <cell r="J203">
            <v>164077</v>
          </cell>
          <cell r="K203">
            <v>205510</v>
          </cell>
          <cell r="L203">
            <v>163190</v>
          </cell>
          <cell r="M203">
            <v>159617</v>
          </cell>
          <cell r="N203">
            <v>156093</v>
          </cell>
          <cell r="O203">
            <v>223601</v>
          </cell>
          <cell r="P203">
            <v>210435</v>
          </cell>
          <cell r="Q203">
            <v>226015</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712416</v>
          </cell>
          <cell r="F205">
            <v>59220</v>
          </cell>
          <cell r="G205">
            <v>59220</v>
          </cell>
          <cell r="H205">
            <v>59220</v>
          </cell>
          <cell r="I205">
            <v>59220</v>
          </cell>
          <cell r="J205">
            <v>59220</v>
          </cell>
          <cell r="K205">
            <v>59220</v>
          </cell>
          <cell r="L205">
            <v>59220</v>
          </cell>
          <cell r="M205">
            <v>59220</v>
          </cell>
          <cell r="N205">
            <v>59220</v>
          </cell>
          <cell r="O205">
            <v>59812</v>
          </cell>
          <cell r="P205">
            <v>59812</v>
          </cell>
          <cell r="Q205">
            <v>59812</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929500</v>
          </cell>
          <cell r="B208" t="str">
            <v>Admin Exp Transf</v>
          </cell>
          <cell r="C208" t="str">
            <v>AGO</v>
          </cell>
          <cell r="D208">
            <v>929</v>
          </cell>
          <cell r="E208">
            <v>-348693</v>
          </cell>
          <cell r="F208">
            <v>-26685</v>
          </cell>
          <cell r="G208">
            <v>-26685</v>
          </cell>
          <cell r="H208">
            <v>-26685</v>
          </cell>
          <cell r="I208">
            <v>-26685</v>
          </cell>
          <cell r="J208">
            <v>-38500</v>
          </cell>
          <cell r="K208">
            <v>-27555</v>
          </cell>
          <cell r="L208">
            <v>-26685</v>
          </cell>
          <cell r="M208">
            <v>-26685</v>
          </cell>
          <cell r="N208">
            <v>-26685</v>
          </cell>
          <cell r="O208">
            <v>-30962</v>
          </cell>
          <cell r="P208">
            <v>-26221</v>
          </cell>
          <cell r="Q208">
            <v>-38660</v>
          </cell>
        </row>
        <row r="209">
          <cell r="A209">
            <v>930150</v>
          </cell>
          <cell r="B209" t="str">
            <v>Miscellaneous Advertising Exp</v>
          </cell>
          <cell r="C209" t="str">
            <v>AGO</v>
          </cell>
          <cell r="D209">
            <v>930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v>930200</v>
          </cell>
          <cell r="B210" t="str">
            <v>Misc General Expenses</v>
          </cell>
          <cell r="C210" t="str">
            <v>AGO</v>
          </cell>
          <cell r="D210">
            <v>930</v>
          </cell>
          <cell r="E210">
            <v>609189</v>
          </cell>
          <cell r="F210">
            <v>49460</v>
          </cell>
          <cell r="G210">
            <v>49428</v>
          </cell>
          <cell r="H210">
            <v>49351</v>
          </cell>
          <cell r="I210">
            <v>49472</v>
          </cell>
          <cell r="J210">
            <v>49503</v>
          </cell>
          <cell r="K210">
            <v>52203</v>
          </cell>
          <cell r="L210">
            <v>49779</v>
          </cell>
          <cell r="M210">
            <v>49887</v>
          </cell>
          <cell r="N210">
            <v>49847</v>
          </cell>
          <cell r="O210">
            <v>59896</v>
          </cell>
          <cell r="P210">
            <v>48308</v>
          </cell>
          <cell r="Q210">
            <v>52055</v>
          </cell>
        </row>
        <row r="211">
          <cell r="A211">
            <v>930210</v>
          </cell>
          <cell r="B211" t="str">
            <v>Industry Association Dues</v>
          </cell>
          <cell r="C211" t="str">
            <v>AGO</v>
          </cell>
          <cell r="D211">
            <v>930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23500</v>
          </cell>
          <cell r="F212">
            <v>23500</v>
          </cell>
          <cell r="G212">
            <v>0</v>
          </cell>
          <cell r="H212">
            <v>0</v>
          </cell>
          <cell r="I212">
            <v>0</v>
          </cell>
          <cell r="J212">
            <v>0</v>
          </cell>
          <cell r="K212">
            <v>0</v>
          </cell>
          <cell r="L212">
            <v>0</v>
          </cell>
          <cell r="M212">
            <v>0</v>
          </cell>
          <cell r="N212">
            <v>0</v>
          </cell>
          <cell r="O212">
            <v>0</v>
          </cell>
          <cell r="P212">
            <v>0</v>
          </cell>
          <cell r="Q212">
            <v>0</v>
          </cell>
        </row>
        <row r="213">
          <cell r="A213">
            <v>930230</v>
          </cell>
          <cell r="B213" t="str">
            <v>Dues To Various Organizations</v>
          </cell>
          <cell r="C213" t="str">
            <v>AGO</v>
          </cell>
          <cell r="D213">
            <v>930</v>
          </cell>
          <cell r="E213">
            <v>28921</v>
          </cell>
          <cell r="F213">
            <v>1956</v>
          </cell>
          <cell r="G213">
            <v>4139</v>
          </cell>
          <cell r="H213">
            <v>1467</v>
          </cell>
          <cell r="I213">
            <v>1550</v>
          </cell>
          <cell r="J213">
            <v>3004</v>
          </cell>
          <cell r="K213">
            <v>1194</v>
          </cell>
          <cell r="L213">
            <v>4219</v>
          </cell>
          <cell r="M213">
            <v>6166</v>
          </cell>
          <cell r="N213">
            <v>1194</v>
          </cell>
          <cell r="O213">
            <v>1219</v>
          </cell>
          <cell r="P213">
            <v>1479</v>
          </cell>
          <cell r="Q213">
            <v>1334</v>
          </cell>
        </row>
        <row r="214">
          <cell r="A214">
            <v>930240</v>
          </cell>
          <cell r="B214" t="str">
            <v>Director'S Expenses</v>
          </cell>
          <cell r="C214" t="str">
            <v>AGO</v>
          </cell>
          <cell r="D214">
            <v>930</v>
          </cell>
          <cell r="E214">
            <v>19250</v>
          </cell>
          <cell r="F214">
            <v>0</v>
          </cell>
          <cell r="G214">
            <v>19250</v>
          </cell>
          <cell r="H214">
            <v>0</v>
          </cell>
          <cell r="I214">
            <v>0</v>
          </cell>
          <cell r="J214">
            <v>0</v>
          </cell>
          <cell r="K214">
            <v>0</v>
          </cell>
          <cell r="L214">
            <v>0</v>
          </cell>
          <cell r="M214">
            <v>0</v>
          </cell>
          <cell r="N214">
            <v>0</v>
          </cell>
          <cell r="O214">
            <v>0</v>
          </cell>
          <cell r="P214">
            <v>0</v>
          </cell>
          <cell r="Q214">
            <v>0</v>
          </cell>
        </row>
        <row r="215">
          <cell r="A215">
            <v>930250</v>
          </cell>
          <cell r="B215" t="str">
            <v>Buy\Sell Transf Employee Homes</v>
          </cell>
          <cell r="C215" t="str">
            <v>AGO</v>
          </cell>
          <cell r="D215">
            <v>930</v>
          </cell>
          <cell r="E215">
            <v>20680</v>
          </cell>
          <cell r="F215">
            <v>251</v>
          </cell>
          <cell r="G215">
            <v>251</v>
          </cell>
          <cell r="H215">
            <v>4654</v>
          </cell>
          <cell r="I215">
            <v>251</v>
          </cell>
          <cell r="J215">
            <v>251</v>
          </cell>
          <cell r="K215">
            <v>4654</v>
          </cell>
          <cell r="L215">
            <v>251</v>
          </cell>
          <cell r="M215">
            <v>251</v>
          </cell>
          <cell r="N215">
            <v>4654</v>
          </cell>
          <cell r="O215">
            <v>257</v>
          </cell>
          <cell r="P215">
            <v>254</v>
          </cell>
          <cell r="Q215">
            <v>4701</v>
          </cell>
        </row>
        <row r="216">
          <cell r="A216">
            <v>930600</v>
          </cell>
          <cell r="B216" t="str">
            <v>Leased Circuit Charges - Other</v>
          </cell>
          <cell r="C216" t="str">
            <v>AGO</v>
          </cell>
          <cell r="D216">
            <v>930</v>
          </cell>
          <cell r="E216">
            <v>0</v>
          </cell>
          <cell r="F216">
            <v>0</v>
          </cell>
          <cell r="G216">
            <v>0</v>
          </cell>
          <cell r="H216">
            <v>0</v>
          </cell>
          <cell r="I216">
            <v>0</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0</v>
          </cell>
          <cell r="F217">
            <v>0</v>
          </cell>
          <cell r="G217">
            <v>0</v>
          </cell>
          <cell r="H217">
            <v>0</v>
          </cell>
          <cell r="I217">
            <v>0</v>
          </cell>
          <cell r="J217">
            <v>0</v>
          </cell>
          <cell r="K217">
            <v>0</v>
          </cell>
          <cell r="L217">
            <v>0</v>
          </cell>
          <cell r="M217">
            <v>0</v>
          </cell>
          <cell r="N217">
            <v>0</v>
          </cell>
          <cell r="O217">
            <v>0</v>
          </cell>
          <cell r="P217">
            <v>0</v>
          </cell>
          <cell r="Q217">
            <v>0</v>
          </cell>
        </row>
        <row r="218">
          <cell r="A218">
            <v>930940</v>
          </cell>
          <cell r="B218" t="str">
            <v>General Expenses</v>
          </cell>
          <cell r="C218" t="str">
            <v>AGO</v>
          </cell>
          <cell r="D218">
            <v>930</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931001</v>
          </cell>
          <cell r="B219" t="str">
            <v>Rents-A&amp;G</v>
          </cell>
          <cell r="C219" t="str">
            <v>AGO</v>
          </cell>
          <cell r="D219">
            <v>931</v>
          </cell>
          <cell r="E219">
            <v>214588</v>
          </cell>
          <cell r="F219">
            <v>17891</v>
          </cell>
          <cell r="G219">
            <v>17856</v>
          </cell>
          <cell r="H219">
            <v>17844</v>
          </cell>
          <cell r="I219">
            <v>17728</v>
          </cell>
          <cell r="J219">
            <v>17838</v>
          </cell>
          <cell r="K219">
            <v>17854</v>
          </cell>
          <cell r="L219">
            <v>17854</v>
          </cell>
          <cell r="M219">
            <v>17854</v>
          </cell>
          <cell r="N219">
            <v>17854</v>
          </cell>
          <cell r="O219">
            <v>18004</v>
          </cell>
          <cell r="P219">
            <v>18004</v>
          </cell>
          <cell r="Q219">
            <v>18007</v>
          </cell>
        </row>
        <row r="220">
          <cell r="A220">
            <v>931008</v>
          </cell>
          <cell r="B220" t="str">
            <v>A&amp;G Rents-IC</v>
          </cell>
          <cell r="C220" t="str">
            <v>AGO</v>
          </cell>
          <cell r="D220">
            <v>931</v>
          </cell>
          <cell r="E220">
            <v>1107588</v>
          </cell>
          <cell r="F220">
            <v>92069</v>
          </cell>
          <cell r="G220">
            <v>92069</v>
          </cell>
          <cell r="H220">
            <v>92069</v>
          </cell>
          <cell r="I220">
            <v>92069</v>
          </cell>
          <cell r="J220">
            <v>92069</v>
          </cell>
          <cell r="K220">
            <v>92069</v>
          </cell>
          <cell r="L220">
            <v>92069</v>
          </cell>
          <cell r="M220">
            <v>92069</v>
          </cell>
          <cell r="N220">
            <v>92069</v>
          </cell>
          <cell r="O220">
            <v>92989</v>
          </cell>
          <cell r="P220">
            <v>92989</v>
          </cell>
          <cell r="Q220">
            <v>92989</v>
          </cell>
        </row>
        <row r="221">
          <cell r="A221">
            <v>935100</v>
          </cell>
          <cell r="B221" t="str">
            <v>Maint General Plant-Elec</v>
          </cell>
          <cell r="C221" t="str">
            <v>AGM</v>
          </cell>
          <cell r="D221">
            <v>935</v>
          </cell>
          <cell r="E221">
            <v>56247</v>
          </cell>
          <cell r="F221">
            <v>4716</v>
          </cell>
          <cell r="G221">
            <v>4628</v>
          </cell>
          <cell r="H221">
            <v>4654</v>
          </cell>
          <cell r="I221">
            <v>4627</v>
          </cell>
          <cell r="J221">
            <v>4594</v>
          </cell>
          <cell r="K221">
            <v>4697</v>
          </cell>
          <cell r="L221">
            <v>4660</v>
          </cell>
          <cell r="M221">
            <v>4669</v>
          </cell>
          <cell r="N221">
            <v>4732</v>
          </cell>
          <cell r="O221">
            <v>4799</v>
          </cell>
          <cell r="P221">
            <v>4772</v>
          </cell>
          <cell r="Q221">
            <v>4699</v>
          </cell>
        </row>
        <row r="222">
          <cell r="A222">
            <v>935200</v>
          </cell>
          <cell r="B222" t="str">
            <v>Cust Infor &amp; Computer Control</v>
          </cell>
          <cell r="C222" t="str">
            <v>AGM</v>
          </cell>
          <cell r="D222">
            <v>935</v>
          </cell>
          <cell r="E222">
            <v>0</v>
          </cell>
          <cell r="F222">
            <v>0</v>
          </cell>
          <cell r="G222">
            <v>0</v>
          </cell>
          <cell r="H222">
            <v>0</v>
          </cell>
          <cell r="I222">
            <v>0</v>
          </cell>
          <cell r="J222">
            <v>0</v>
          </cell>
          <cell r="K222">
            <v>0</v>
          </cell>
          <cell r="L222">
            <v>0</v>
          </cell>
          <cell r="M222">
            <v>0</v>
          </cell>
          <cell r="N222">
            <v>0</v>
          </cell>
          <cell r="O222">
            <v>0</v>
          </cell>
          <cell r="P222">
            <v>0</v>
          </cell>
          <cell r="Q222">
            <v>0</v>
          </cell>
        </row>
      </sheetData>
      <sheetData sheetId="8">
        <row r="12">
          <cell r="A12">
            <v>440000</v>
          </cell>
          <cell r="D12" t="str">
            <v>BBEREV</v>
          </cell>
          <cell r="G12">
            <v>2440461</v>
          </cell>
          <cell r="H12">
            <v>2031673</v>
          </cell>
          <cell r="I12">
            <v>2551896</v>
          </cell>
          <cell r="J12">
            <v>3296425</v>
          </cell>
          <cell r="K12">
            <v>3331744</v>
          </cell>
          <cell r="L12">
            <v>2980778</v>
          </cell>
          <cell r="M12">
            <v>2135026</v>
          </cell>
          <cell r="N12">
            <v>2211520</v>
          </cell>
          <cell r="O12">
            <v>2938103</v>
          </cell>
          <cell r="P12">
            <v>3581662</v>
          </cell>
          <cell r="Q12">
            <v>3241220</v>
          </cell>
          <cell r="R12">
            <v>2878157</v>
          </cell>
        </row>
        <row r="13">
          <cell r="A13">
            <v>440000</v>
          </cell>
          <cell r="D13" t="str">
            <v>BEFREV</v>
          </cell>
          <cell r="G13">
            <v>2725062</v>
          </cell>
          <cell r="H13">
            <v>2221863</v>
          </cell>
          <cell r="I13">
            <v>2862938</v>
          </cell>
          <cell r="J13">
            <v>3779531</v>
          </cell>
          <cell r="K13">
            <v>3823095</v>
          </cell>
          <cell r="L13">
            <v>3390494</v>
          </cell>
          <cell r="M13">
            <v>2348616</v>
          </cell>
          <cell r="N13">
            <v>2442566</v>
          </cell>
          <cell r="O13">
            <v>3336554</v>
          </cell>
          <cell r="P13">
            <v>4128737</v>
          </cell>
          <cell r="Q13">
            <v>3709654</v>
          </cell>
          <cell r="R13">
            <v>3261887</v>
          </cell>
        </row>
        <row r="14">
          <cell r="A14">
            <v>440000</v>
          </cell>
          <cell r="D14" t="str">
            <v>BBEREV</v>
          </cell>
          <cell r="G14">
            <v>3327302</v>
          </cell>
          <cell r="H14">
            <v>2769966</v>
          </cell>
          <cell r="I14">
            <v>3479233</v>
          </cell>
          <cell r="J14">
            <v>4494317</v>
          </cell>
          <cell r="K14">
            <v>4542471</v>
          </cell>
          <cell r="L14">
            <v>4063968</v>
          </cell>
          <cell r="M14">
            <v>2910876</v>
          </cell>
          <cell r="N14">
            <v>3015168</v>
          </cell>
          <cell r="O14">
            <v>4005784</v>
          </cell>
          <cell r="P14">
            <v>4883208</v>
          </cell>
          <cell r="Q14">
            <v>4419052</v>
          </cell>
          <cell r="R14">
            <v>3924055</v>
          </cell>
        </row>
        <row r="15">
          <cell r="A15">
            <v>440000</v>
          </cell>
          <cell r="D15" t="str">
            <v>BBEREV</v>
          </cell>
          <cell r="G15">
            <v>258169</v>
          </cell>
          <cell r="H15">
            <v>214925</v>
          </cell>
          <cell r="I15">
            <v>269957</v>
          </cell>
          <cell r="J15">
            <v>348719</v>
          </cell>
          <cell r="K15">
            <v>352455</v>
          </cell>
          <cell r="L15">
            <v>315328</v>
          </cell>
          <cell r="M15">
            <v>225858</v>
          </cell>
          <cell r="N15">
            <v>233950</v>
          </cell>
          <cell r="O15">
            <v>310813</v>
          </cell>
          <cell r="P15">
            <v>378893</v>
          </cell>
          <cell r="Q15">
            <v>342879</v>
          </cell>
          <cell r="R15">
            <v>304472</v>
          </cell>
        </row>
        <row r="16">
          <cell r="A16">
            <v>440000</v>
          </cell>
          <cell r="D16" t="str">
            <v>REDSM</v>
          </cell>
          <cell r="G16">
            <v>423360</v>
          </cell>
          <cell r="H16">
            <v>422850</v>
          </cell>
          <cell r="I16">
            <v>500378</v>
          </cell>
          <cell r="J16">
            <v>689937</v>
          </cell>
          <cell r="K16">
            <v>608797</v>
          </cell>
          <cell r="L16">
            <v>513572</v>
          </cell>
          <cell r="M16">
            <v>583802</v>
          </cell>
          <cell r="N16">
            <v>426906</v>
          </cell>
          <cell r="O16">
            <v>440606</v>
          </cell>
          <cell r="P16">
            <v>352788</v>
          </cell>
          <cell r="Q16">
            <v>345794</v>
          </cell>
          <cell r="R16">
            <v>367401</v>
          </cell>
        </row>
        <row r="17">
          <cell r="A17">
            <v>440000</v>
          </cell>
          <cell r="D17" t="str">
            <v>REFC</v>
          </cell>
          <cell r="G17">
            <v>-239619</v>
          </cell>
          <cell r="H17">
            <v>280395</v>
          </cell>
          <cell r="I17">
            <v>385821</v>
          </cell>
          <cell r="J17">
            <v>21036</v>
          </cell>
          <cell r="K17">
            <v>-377512</v>
          </cell>
          <cell r="L17">
            <v>-320681</v>
          </cell>
          <cell r="M17">
            <v>-260639</v>
          </cell>
          <cell r="N17">
            <v>-389517</v>
          </cell>
          <cell r="O17">
            <v>-637900</v>
          </cell>
          <cell r="P17">
            <v>-704069</v>
          </cell>
          <cell r="Q17">
            <v>-572880</v>
          </cell>
          <cell r="R17">
            <v>-190531</v>
          </cell>
        </row>
        <row r="18">
          <cell r="A18">
            <v>440000</v>
          </cell>
          <cell r="D18" t="str">
            <v>RKEPSM</v>
          </cell>
          <cell r="G18">
            <v>0</v>
          </cell>
          <cell r="H18">
            <v>-16543</v>
          </cell>
          <cell r="I18">
            <v>-36537</v>
          </cell>
          <cell r="J18">
            <v>-109806</v>
          </cell>
          <cell r="K18">
            <v>-8275</v>
          </cell>
          <cell r="L18">
            <v>-23462</v>
          </cell>
          <cell r="M18">
            <v>-46936</v>
          </cell>
          <cell r="N18">
            <v>-50758</v>
          </cell>
          <cell r="O18">
            <v>-34947</v>
          </cell>
          <cell r="P18">
            <v>-338826</v>
          </cell>
          <cell r="Q18">
            <v>-156362</v>
          </cell>
          <cell r="R18">
            <v>-106902</v>
          </cell>
        </row>
        <row r="19">
          <cell r="A19">
            <v>440990</v>
          </cell>
          <cell r="D19" t="str">
            <v>UNBILL</v>
          </cell>
          <cell r="G19">
            <v>-1198901</v>
          </cell>
          <cell r="H19">
            <v>936109</v>
          </cell>
          <cell r="I19">
            <v>1074090</v>
          </cell>
          <cell r="J19">
            <v>20891</v>
          </cell>
          <cell r="K19">
            <v>-847995</v>
          </cell>
          <cell r="L19">
            <v>-2877714</v>
          </cell>
          <cell r="M19">
            <v>-111853</v>
          </cell>
          <cell r="N19">
            <v>1089319</v>
          </cell>
          <cell r="O19">
            <v>776017</v>
          </cell>
          <cell r="P19">
            <v>-504025</v>
          </cell>
          <cell r="Q19">
            <v>-1136573</v>
          </cell>
          <cell r="R19">
            <v>-566534</v>
          </cell>
        </row>
        <row r="20">
          <cell r="A20">
            <v>442100</v>
          </cell>
          <cell r="D20" t="str">
            <v>BBEREV</v>
          </cell>
          <cell r="G20">
            <v>1577128</v>
          </cell>
          <cell r="H20">
            <v>1524746</v>
          </cell>
          <cell r="I20">
            <v>1677564</v>
          </cell>
          <cell r="J20">
            <v>1797499</v>
          </cell>
          <cell r="K20">
            <v>1773101</v>
          </cell>
          <cell r="L20">
            <v>1730765</v>
          </cell>
          <cell r="M20">
            <v>1553472</v>
          </cell>
          <cell r="N20">
            <v>1546352</v>
          </cell>
          <cell r="O20">
            <v>1599923</v>
          </cell>
          <cell r="P20">
            <v>1671264</v>
          </cell>
          <cell r="Q20">
            <v>1554243</v>
          </cell>
          <cell r="R20">
            <v>1555036</v>
          </cell>
        </row>
        <row r="21">
          <cell r="A21">
            <v>442100</v>
          </cell>
          <cell r="D21" t="str">
            <v>BEFREV</v>
          </cell>
          <cell r="G21">
            <v>3013171</v>
          </cell>
          <cell r="H21">
            <v>2890487</v>
          </cell>
          <cell r="I21">
            <v>3244663</v>
          </cell>
          <cell r="J21">
            <v>3543534</v>
          </cell>
          <cell r="K21">
            <v>3471417</v>
          </cell>
          <cell r="L21">
            <v>3398913</v>
          </cell>
          <cell r="M21">
            <v>2958974</v>
          </cell>
          <cell r="N21">
            <v>2913942</v>
          </cell>
          <cell r="O21">
            <v>3173446</v>
          </cell>
          <cell r="P21">
            <v>3307717</v>
          </cell>
          <cell r="Q21">
            <v>2936420</v>
          </cell>
          <cell r="R21">
            <v>2892881</v>
          </cell>
        </row>
        <row r="22">
          <cell r="A22">
            <v>442100</v>
          </cell>
          <cell r="D22" t="str">
            <v>BBEREV</v>
          </cell>
          <cell r="G22">
            <v>3918670</v>
          </cell>
          <cell r="H22">
            <v>3788517</v>
          </cell>
          <cell r="I22">
            <v>4168224</v>
          </cell>
          <cell r="J22">
            <v>4466225</v>
          </cell>
          <cell r="K22">
            <v>4405603</v>
          </cell>
          <cell r="L22">
            <v>4300410</v>
          </cell>
          <cell r="M22">
            <v>3859894</v>
          </cell>
          <cell r="N22">
            <v>3842203</v>
          </cell>
          <cell r="O22">
            <v>3975308</v>
          </cell>
          <cell r="P22">
            <v>4152569</v>
          </cell>
          <cell r="Q22">
            <v>3861809</v>
          </cell>
          <cell r="R22">
            <v>3863779</v>
          </cell>
        </row>
        <row r="23">
          <cell r="A23">
            <v>442100</v>
          </cell>
          <cell r="D23" t="str">
            <v>BBEREV</v>
          </cell>
          <cell r="G23">
            <v>363493</v>
          </cell>
          <cell r="H23">
            <v>351420</v>
          </cell>
          <cell r="I23">
            <v>386641</v>
          </cell>
          <cell r="J23">
            <v>414284</v>
          </cell>
          <cell r="K23">
            <v>408660</v>
          </cell>
          <cell r="L23">
            <v>398903</v>
          </cell>
          <cell r="M23">
            <v>358041</v>
          </cell>
          <cell r="N23">
            <v>356400</v>
          </cell>
          <cell r="O23">
            <v>368747</v>
          </cell>
          <cell r="P23">
            <v>385189</v>
          </cell>
          <cell r="Q23">
            <v>358218</v>
          </cell>
          <cell r="R23">
            <v>358401</v>
          </cell>
        </row>
        <row r="24">
          <cell r="A24">
            <v>442100</v>
          </cell>
          <cell r="D24" t="str">
            <v>REDSM</v>
          </cell>
          <cell r="G24">
            <v>163842</v>
          </cell>
          <cell r="H24">
            <v>168398</v>
          </cell>
          <cell r="I24">
            <v>189032</v>
          </cell>
          <cell r="J24">
            <v>220206</v>
          </cell>
          <cell r="K24">
            <v>215725</v>
          </cell>
          <cell r="L24">
            <v>211219</v>
          </cell>
          <cell r="M24">
            <v>195373</v>
          </cell>
          <cell r="N24">
            <v>147129</v>
          </cell>
          <cell r="O24">
            <v>147906</v>
          </cell>
          <cell r="P24">
            <v>128470</v>
          </cell>
          <cell r="Q24">
            <v>114049</v>
          </cell>
          <cell r="R24">
            <v>123594</v>
          </cell>
        </row>
        <row r="25">
          <cell r="A25">
            <v>442100</v>
          </cell>
          <cell r="D25" t="str">
            <v>REFC</v>
          </cell>
          <cell r="G25">
            <v>-264953</v>
          </cell>
          <cell r="H25">
            <v>364774</v>
          </cell>
          <cell r="I25">
            <v>437264</v>
          </cell>
          <cell r="J25">
            <v>19723</v>
          </cell>
          <cell r="K25">
            <v>-342786</v>
          </cell>
          <cell r="L25">
            <v>-321478</v>
          </cell>
          <cell r="M25">
            <v>-328374</v>
          </cell>
          <cell r="N25">
            <v>-464687</v>
          </cell>
          <cell r="O25">
            <v>-606716</v>
          </cell>
          <cell r="P25">
            <v>-564061</v>
          </cell>
          <cell r="Q25">
            <v>-453470</v>
          </cell>
          <cell r="R25">
            <v>-168977</v>
          </cell>
        </row>
        <row r="26">
          <cell r="A26">
            <v>442100</v>
          </cell>
          <cell r="D26" t="str">
            <v>RKEPSM</v>
          </cell>
          <cell r="G26">
            <v>0</v>
          </cell>
          <cell r="H26">
            <v>-21521</v>
          </cell>
          <cell r="I26">
            <v>-41409</v>
          </cell>
          <cell r="J26">
            <v>-102950</v>
          </cell>
          <cell r="K26">
            <v>-7514</v>
          </cell>
          <cell r="L26">
            <v>-23520</v>
          </cell>
          <cell r="M26">
            <v>-59133</v>
          </cell>
          <cell r="N26">
            <v>-60554</v>
          </cell>
          <cell r="O26">
            <v>-33239</v>
          </cell>
          <cell r="P26">
            <v>-271449</v>
          </cell>
          <cell r="Q26">
            <v>-123770</v>
          </cell>
          <cell r="R26">
            <v>-94808</v>
          </cell>
        </row>
        <row r="27">
          <cell r="A27">
            <v>442190</v>
          </cell>
          <cell r="D27" t="str">
            <v>UNBILL</v>
          </cell>
          <cell r="G27">
            <v>-433197</v>
          </cell>
          <cell r="H27">
            <v>874003</v>
          </cell>
          <cell r="I27">
            <v>599173</v>
          </cell>
          <cell r="J27">
            <v>5613</v>
          </cell>
          <cell r="K27">
            <v>-192897</v>
          </cell>
          <cell r="L27">
            <v>-425194</v>
          </cell>
          <cell r="M27">
            <v>357223</v>
          </cell>
          <cell r="N27">
            <v>-261365</v>
          </cell>
          <cell r="O27">
            <v>-515542</v>
          </cell>
          <cell r="P27">
            <v>-638601</v>
          </cell>
          <cell r="Q27">
            <v>129963</v>
          </cell>
          <cell r="R27">
            <v>321221</v>
          </cell>
        </row>
        <row r="28">
          <cell r="A28">
            <v>442200</v>
          </cell>
          <cell r="D28" t="str">
            <v>BBEREV</v>
          </cell>
          <cell r="G28">
            <v>635669</v>
          </cell>
          <cell r="H28">
            <v>641535</v>
          </cell>
          <cell r="I28">
            <v>671842</v>
          </cell>
          <cell r="J28">
            <v>678379</v>
          </cell>
          <cell r="K28">
            <v>670297</v>
          </cell>
          <cell r="L28">
            <v>634455</v>
          </cell>
          <cell r="M28">
            <v>609745</v>
          </cell>
          <cell r="N28">
            <v>613529</v>
          </cell>
          <cell r="O28">
            <v>591126</v>
          </cell>
          <cell r="P28">
            <v>608129</v>
          </cell>
          <cell r="Q28">
            <v>634010</v>
          </cell>
          <cell r="R28">
            <v>631343</v>
          </cell>
        </row>
        <row r="29">
          <cell r="A29">
            <v>442200</v>
          </cell>
          <cell r="D29" t="str">
            <v>BEFREV</v>
          </cell>
          <cell r="G29">
            <v>1780148</v>
          </cell>
          <cell r="H29">
            <v>1775745</v>
          </cell>
          <cell r="I29">
            <v>1781667</v>
          </cell>
          <cell r="J29">
            <v>1812331</v>
          </cell>
          <cell r="K29">
            <v>1801698</v>
          </cell>
          <cell r="L29">
            <v>1721882</v>
          </cell>
          <cell r="M29">
            <v>1722552</v>
          </cell>
          <cell r="N29">
            <v>1713875</v>
          </cell>
          <cell r="O29">
            <v>1711403</v>
          </cell>
          <cell r="P29">
            <v>1737923</v>
          </cell>
          <cell r="Q29">
            <v>1760065</v>
          </cell>
          <cell r="R29">
            <v>1758211</v>
          </cell>
        </row>
        <row r="30">
          <cell r="A30">
            <v>442200</v>
          </cell>
          <cell r="D30" t="str">
            <v>BBEREV</v>
          </cell>
          <cell r="G30">
            <v>1954862</v>
          </cell>
          <cell r="H30">
            <v>1972898</v>
          </cell>
          <cell r="I30">
            <v>2066101</v>
          </cell>
          <cell r="J30">
            <v>2086205</v>
          </cell>
          <cell r="K30">
            <v>2061349</v>
          </cell>
          <cell r="L30">
            <v>1951127</v>
          </cell>
          <cell r="M30">
            <v>1875137</v>
          </cell>
          <cell r="N30">
            <v>1886773</v>
          </cell>
          <cell r="O30">
            <v>1817877</v>
          </cell>
          <cell r="P30">
            <v>1870165</v>
          </cell>
          <cell r="Q30">
            <v>1949758</v>
          </cell>
          <cell r="R30">
            <v>1941555</v>
          </cell>
        </row>
        <row r="31">
          <cell r="A31">
            <v>442200</v>
          </cell>
          <cell r="D31" t="str">
            <v>BBEREV</v>
          </cell>
          <cell r="G31">
            <v>172794</v>
          </cell>
          <cell r="H31">
            <v>174388</v>
          </cell>
          <cell r="I31">
            <v>182626</v>
          </cell>
          <cell r="J31">
            <v>184403</v>
          </cell>
          <cell r="K31">
            <v>182206</v>
          </cell>
          <cell r="L31">
            <v>172463</v>
          </cell>
          <cell r="M31">
            <v>165746</v>
          </cell>
          <cell r="N31">
            <v>166775</v>
          </cell>
          <cell r="O31">
            <v>160685</v>
          </cell>
          <cell r="P31">
            <v>165307</v>
          </cell>
          <cell r="Q31">
            <v>172342</v>
          </cell>
          <cell r="R31">
            <v>171617</v>
          </cell>
        </row>
        <row r="32">
          <cell r="A32">
            <v>442200</v>
          </cell>
          <cell r="D32" t="str">
            <v>REDSM</v>
          </cell>
          <cell r="G32">
            <v>96796</v>
          </cell>
          <cell r="H32">
            <v>103454</v>
          </cell>
          <cell r="I32">
            <v>103799</v>
          </cell>
          <cell r="J32">
            <v>112624</v>
          </cell>
          <cell r="K32">
            <v>111963</v>
          </cell>
          <cell r="L32">
            <v>107003</v>
          </cell>
          <cell r="M32">
            <v>113735</v>
          </cell>
          <cell r="N32">
            <v>86536</v>
          </cell>
          <cell r="O32">
            <v>79764</v>
          </cell>
          <cell r="P32">
            <v>67500</v>
          </cell>
          <cell r="Q32">
            <v>68360</v>
          </cell>
          <cell r="R32">
            <v>75117</v>
          </cell>
        </row>
        <row r="33">
          <cell r="A33">
            <v>442200</v>
          </cell>
          <cell r="D33" t="str">
            <v>REFC</v>
          </cell>
          <cell r="G33">
            <v>-156531</v>
          </cell>
          <cell r="H33">
            <v>224096</v>
          </cell>
          <cell r="I33">
            <v>240105</v>
          </cell>
          <cell r="J33">
            <v>10087</v>
          </cell>
          <cell r="K33">
            <v>-177909</v>
          </cell>
          <cell r="L33">
            <v>-162860</v>
          </cell>
          <cell r="M33">
            <v>-191161</v>
          </cell>
          <cell r="N33">
            <v>-273312</v>
          </cell>
          <cell r="O33">
            <v>-327195</v>
          </cell>
          <cell r="P33">
            <v>-296366</v>
          </cell>
          <cell r="Q33">
            <v>-271806</v>
          </cell>
          <cell r="R33">
            <v>-102699</v>
          </cell>
        </row>
        <row r="34">
          <cell r="A34">
            <v>442200</v>
          </cell>
          <cell r="D34" t="str">
            <v>RKEPSM</v>
          </cell>
          <cell r="G34">
            <v>0</v>
          </cell>
          <cell r="H34">
            <v>-13222</v>
          </cell>
          <cell r="I34">
            <v>-22738</v>
          </cell>
          <cell r="J34">
            <v>-52654</v>
          </cell>
          <cell r="K34">
            <v>-3900</v>
          </cell>
          <cell r="L34">
            <v>-11915</v>
          </cell>
          <cell r="M34">
            <v>-34424</v>
          </cell>
          <cell r="N34">
            <v>-35615</v>
          </cell>
          <cell r="O34">
            <v>-17925</v>
          </cell>
          <cell r="P34">
            <v>-142623</v>
          </cell>
          <cell r="Q34">
            <v>-74187</v>
          </cell>
          <cell r="R34">
            <v>-57622</v>
          </cell>
        </row>
        <row r="35">
          <cell r="A35">
            <v>442290</v>
          </cell>
          <cell r="D35" t="str">
            <v>UNBILL</v>
          </cell>
          <cell r="G35">
            <v>45430</v>
          </cell>
          <cell r="H35">
            <v>448945</v>
          </cell>
          <cell r="I35">
            <v>218822</v>
          </cell>
          <cell r="J35">
            <v>-433087</v>
          </cell>
          <cell r="K35">
            <v>-305179</v>
          </cell>
          <cell r="L35">
            <v>-42039</v>
          </cell>
          <cell r="M35">
            <v>-121766</v>
          </cell>
          <cell r="N35">
            <v>-69322</v>
          </cell>
          <cell r="O35">
            <v>-55052</v>
          </cell>
          <cell r="P35">
            <v>55959</v>
          </cell>
          <cell r="Q35">
            <v>102788</v>
          </cell>
          <cell r="R35">
            <v>98036</v>
          </cell>
        </row>
        <row r="36">
          <cell r="A36">
            <v>444000</v>
          </cell>
          <cell r="D36" t="str">
            <v>BBEREV</v>
          </cell>
          <cell r="G36">
            <v>58336</v>
          </cell>
          <cell r="H36">
            <v>60171</v>
          </cell>
          <cell r="I36">
            <v>57747</v>
          </cell>
          <cell r="J36">
            <v>59135</v>
          </cell>
          <cell r="K36">
            <v>58792</v>
          </cell>
          <cell r="L36">
            <v>58459</v>
          </cell>
          <cell r="M36">
            <v>58300</v>
          </cell>
          <cell r="N36">
            <v>59221</v>
          </cell>
          <cell r="O36">
            <v>57470</v>
          </cell>
          <cell r="P36">
            <v>60152</v>
          </cell>
          <cell r="Q36">
            <v>60479</v>
          </cell>
          <cell r="R36">
            <v>58460</v>
          </cell>
        </row>
        <row r="37">
          <cell r="A37">
            <v>444000</v>
          </cell>
          <cell r="D37" t="str">
            <v>BEFREV</v>
          </cell>
          <cell r="G37">
            <v>32699</v>
          </cell>
          <cell r="H37">
            <v>32647</v>
          </cell>
          <cell r="I37">
            <v>32596</v>
          </cell>
          <cell r="J37">
            <v>32647</v>
          </cell>
          <cell r="K37">
            <v>32621</v>
          </cell>
          <cell r="L37">
            <v>32647</v>
          </cell>
          <cell r="M37">
            <v>32673</v>
          </cell>
          <cell r="N37">
            <v>33729</v>
          </cell>
          <cell r="O37">
            <v>32802</v>
          </cell>
          <cell r="P37">
            <v>34707</v>
          </cell>
          <cell r="Q37">
            <v>33986</v>
          </cell>
          <cell r="R37">
            <v>32879</v>
          </cell>
        </row>
        <row r="38">
          <cell r="A38">
            <v>444000</v>
          </cell>
          <cell r="D38" t="str">
            <v>BBEREV</v>
          </cell>
          <cell r="G38">
            <v>43756</v>
          </cell>
          <cell r="H38">
            <v>45131</v>
          </cell>
          <cell r="I38">
            <v>43313</v>
          </cell>
          <cell r="J38">
            <v>44355</v>
          </cell>
          <cell r="K38">
            <v>44097</v>
          </cell>
          <cell r="L38">
            <v>43848</v>
          </cell>
          <cell r="M38">
            <v>43728</v>
          </cell>
          <cell r="N38">
            <v>44419</v>
          </cell>
          <cell r="O38">
            <v>43106</v>
          </cell>
          <cell r="P38">
            <v>45117</v>
          </cell>
          <cell r="Q38">
            <v>45362</v>
          </cell>
          <cell r="R38">
            <v>43848</v>
          </cell>
        </row>
        <row r="39">
          <cell r="A39">
            <v>444000</v>
          </cell>
          <cell r="D39" t="str">
            <v>BBEREV</v>
          </cell>
          <cell r="G39">
            <v>3651</v>
          </cell>
          <cell r="H39">
            <v>3765</v>
          </cell>
          <cell r="I39">
            <v>3614</v>
          </cell>
          <cell r="J39">
            <v>3701</v>
          </cell>
          <cell r="K39">
            <v>3679</v>
          </cell>
          <cell r="L39">
            <v>3658</v>
          </cell>
          <cell r="M39">
            <v>3648</v>
          </cell>
          <cell r="N39">
            <v>3706</v>
          </cell>
          <cell r="O39">
            <v>3596</v>
          </cell>
          <cell r="P39">
            <v>3764</v>
          </cell>
          <cell r="Q39">
            <v>3785</v>
          </cell>
          <cell r="R39">
            <v>3658</v>
          </cell>
        </row>
        <row r="40">
          <cell r="A40">
            <v>444000</v>
          </cell>
          <cell r="D40" t="str">
            <v>REDSM</v>
          </cell>
          <cell r="G40">
            <v>0</v>
          </cell>
          <cell r="H40">
            <v>0</v>
          </cell>
          <cell r="I40">
            <v>0</v>
          </cell>
          <cell r="J40">
            <v>0</v>
          </cell>
          <cell r="K40">
            <v>0</v>
          </cell>
          <cell r="L40">
            <v>0</v>
          </cell>
          <cell r="M40">
            <v>0</v>
          </cell>
          <cell r="N40">
            <v>0</v>
          </cell>
          <cell r="O40">
            <v>0</v>
          </cell>
          <cell r="P40">
            <v>0</v>
          </cell>
          <cell r="Q40">
            <v>0</v>
          </cell>
          <cell r="R40">
            <v>0</v>
          </cell>
        </row>
        <row r="41">
          <cell r="A41">
            <v>444000</v>
          </cell>
          <cell r="D41" t="str">
            <v>REFC</v>
          </cell>
          <cell r="G41">
            <v>-2875</v>
          </cell>
          <cell r="H41">
            <v>4120</v>
          </cell>
          <cell r="I41">
            <v>4393</v>
          </cell>
          <cell r="J41">
            <v>182</v>
          </cell>
          <cell r="K41">
            <v>-3221</v>
          </cell>
          <cell r="L41">
            <v>-3088</v>
          </cell>
          <cell r="M41">
            <v>-3626</v>
          </cell>
          <cell r="N41">
            <v>-5379</v>
          </cell>
          <cell r="O41">
            <v>-6271</v>
          </cell>
          <cell r="P41">
            <v>-5919</v>
          </cell>
          <cell r="Q41">
            <v>-5248</v>
          </cell>
          <cell r="R41">
            <v>-1920</v>
          </cell>
        </row>
        <row r="42">
          <cell r="A42">
            <v>444000</v>
          </cell>
          <cell r="D42" t="str">
            <v>RKEPSM</v>
          </cell>
          <cell r="G42">
            <v>0</v>
          </cell>
          <cell r="H42">
            <v>-243</v>
          </cell>
          <cell r="I42">
            <v>-416</v>
          </cell>
          <cell r="J42">
            <v>-948</v>
          </cell>
          <cell r="K42">
            <v>-71</v>
          </cell>
          <cell r="L42">
            <v>-226</v>
          </cell>
          <cell r="M42">
            <v>-653</v>
          </cell>
          <cell r="N42">
            <v>-701</v>
          </cell>
          <cell r="O42">
            <v>-344</v>
          </cell>
          <cell r="P42">
            <v>-2848</v>
          </cell>
          <cell r="Q42">
            <v>-1433</v>
          </cell>
          <cell r="R42">
            <v>-1078</v>
          </cell>
        </row>
        <row r="43">
          <cell r="A43">
            <v>445000</v>
          </cell>
          <cell r="D43" t="str">
            <v>BBEREV</v>
          </cell>
          <cell r="G43">
            <v>240800</v>
          </cell>
          <cell r="H43">
            <v>245360</v>
          </cell>
          <cell r="I43">
            <v>268157</v>
          </cell>
          <cell r="J43">
            <v>272599</v>
          </cell>
          <cell r="K43">
            <v>277753</v>
          </cell>
          <cell r="L43">
            <v>286816</v>
          </cell>
          <cell r="M43">
            <v>259676</v>
          </cell>
          <cell r="N43">
            <v>251060</v>
          </cell>
          <cell r="O43">
            <v>250981</v>
          </cell>
          <cell r="P43">
            <v>251516</v>
          </cell>
          <cell r="Q43">
            <v>259187</v>
          </cell>
          <cell r="R43">
            <v>264842</v>
          </cell>
        </row>
        <row r="44">
          <cell r="A44">
            <v>445000</v>
          </cell>
          <cell r="D44" t="str">
            <v>BEFREV</v>
          </cell>
          <cell r="G44">
            <v>536748</v>
          </cell>
          <cell r="H44">
            <v>544884</v>
          </cell>
          <cell r="I44">
            <v>586671</v>
          </cell>
          <cell r="J44">
            <v>604668</v>
          </cell>
          <cell r="K44">
            <v>622820</v>
          </cell>
          <cell r="L44">
            <v>662187</v>
          </cell>
          <cell r="M44">
            <v>583479</v>
          </cell>
          <cell r="N44">
            <v>547690</v>
          </cell>
          <cell r="O44">
            <v>578381</v>
          </cell>
          <cell r="P44">
            <v>584225</v>
          </cell>
          <cell r="Q44">
            <v>592825</v>
          </cell>
          <cell r="R44">
            <v>578715</v>
          </cell>
        </row>
        <row r="45">
          <cell r="A45">
            <v>445000</v>
          </cell>
          <cell r="D45" t="str">
            <v>BBEREV</v>
          </cell>
          <cell r="G45">
            <v>688537</v>
          </cell>
          <cell r="H45">
            <v>701574</v>
          </cell>
          <cell r="I45">
            <v>766757</v>
          </cell>
          <cell r="J45">
            <v>779458</v>
          </cell>
          <cell r="K45">
            <v>794195</v>
          </cell>
          <cell r="L45">
            <v>820112</v>
          </cell>
          <cell r="M45">
            <v>742507</v>
          </cell>
          <cell r="N45">
            <v>717871</v>
          </cell>
          <cell r="O45">
            <v>717646</v>
          </cell>
          <cell r="P45">
            <v>719177</v>
          </cell>
          <cell r="Q45">
            <v>741110</v>
          </cell>
          <cell r="R45">
            <v>757281</v>
          </cell>
        </row>
        <row r="46">
          <cell r="A46">
            <v>445000</v>
          </cell>
          <cell r="D46" t="str">
            <v>BBEREV</v>
          </cell>
          <cell r="G46">
            <v>61836</v>
          </cell>
          <cell r="H46">
            <v>63007</v>
          </cell>
          <cell r="I46">
            <v>68861</v>
          </cell>
          <cell r="J46">
            <v>70002</v>
          </cell>
          <cell r="K46">
            <v>71325</v>
          </cell>
          <cell r="L46">
            <v>73653</v>
          </cell>
          <cell r="M46">
            <v>66683</v>
          </cell>
          <cell r="N46">
            <v>64471</v>
          </cell>
          <cell r="O46">
            <v>64451</v>
          </cell>
          <cell r="P46">
            <v>64588</v>
          </cell>
          <cell r="Q46">
            <v>66558</v>
          </cell>
          <cell r="R46">
            <v>68010</v>
          </cell>
        </row>
        <row r="47">
          <cell r="A47">
            <v>445000</v>
          </cell>
          <cell r="D47" t="str">
            <v>REDSM</v>
          </cell>
          <cell r="G47">
            <v>29186</v>
          </cell>
          <cell r="H47">
            <v>31745</v>
          </cell>
          <cell r="I47">
            <v>34179</v>
          </cell>
          <cell r="J47">
            <v>37576</v>
          </cell>
          <cell r="K47">
            <v>38704</v>
          </cell>
          <cell r="L47">
            <v>41150</v>
          </cell>
          <cell r="M47">
            <v>38525</v>
          </cell>
          <cell r="N47">
            <v>27654</v>
          </cell>
          <cell r="O47">
            <v>26957</v>
          </cell>
          <cell r="P47">
            <v>22691</v>
          </cell>
          <cell r="Q47">
            <v>23025</v>
          </cell>
          <cell r="R47">
            <v>24725</v>
          </cell>
        </row>
        <row r="48">
          <cell r="A48">
            <v>445000</v>
          </cell>
          <cell r="D48" t="str">
            <v>REFC</v>
          </cell>
          <cell r="G48">
            <v>-47197</v>
          </cell>
          <cell r="H48">
            <v>68763</v>
          </cell>
          <cell r="I48">
            <v>79062</v>
          </cell>
          <cell r="J48">
            <v>3365</v>
          </cell>
          <cell r="K48">
            <v>-61500</v>
          </cell>
          <cell r="L48">
            <v>-62631</v>
          </cell>
          <cell r="M48">
            <v>-64752</v>
          </cell>
          <cell r="N48">
            <v>-87340</v>
          </cell>
          <cell r="O48">
            <v>-110578</v>
          </cell>
          <cell r="P48">
            <v>-99627</v>
          </cell>
          <cell r="Q48">
            <v>-91550</v>
          </cell>
          <cell r="R48">
            <v>-33803</v>
          </cell>
        </row>
        <row r="49">
          <cell r="A49">
            <v>445000</v>
          </cell>
          <cell r="D49" t="str">
            <v>RKEPSM</v>
          </cell>
          <cell r="G49">
            <v>0</v>
          </cell>
          <cell r="H49">
            <v>-4057</v>
          </cell>
          <cell r="I49">
            <v>-7487</v>
          </cell>
          <cell r="J49">
            <v>-17567</v>
          </cell>
          <cell r="K49">
            <v>-1348</v>
          </cell>
          <cell r="L49">
            <v>-4582</v>
          </cell>
          <cell r="M49">
            <v>-11660</v>
          </cell>
          <cell r="N49">
            <v>-11381</v>
          </cell>
          <cell r="O49">
            <v>-6058</v>
          </cell>
          <cell r="P49">
            <v>-47945</v>
          </cell>
          <cell r="Q49">
            <v>-24988</v>
          </cell>
          <cell r="R49">
            <v>-18966</v>
          </cell>
        </row>
        <row r="50">
          <cell r="A50">
            <v>445090</v>
          </cell>
          <cell r="D50" t="str">
            <v>UNBILL</v>
          </cell>
          <cell r="G50">
            <v>-15962</v>
          </cell>
          <cell r="H50">
            <v>248175</v>
          </cell>
          <cell r="I50">
            <v>161545</v>
          </cell>
          <cell r="J50">
            <v>1733</v>
          </cell>
          <cell r="K50">
            <v>26614</v>
          </cell>
          <cell r="L50">
            <v>-103873</v>
          </cell>
          <cell r="M50">
            <v>88882</v>
          </cell>
          <cell r="N50">
            <v>-19247</v>
          </cell>
          <cell r="O50">
            <v>-135902</v>
          </cell>
          <cell r="P50">
            <v>-4048</v>
          </cell>
          <cell r="Q50">
            <v>-25637</v>
          </cell>
          <cell r="R50">
            <v>102481</v>
          </cell>
        </row>
        <row r="51">
          <cell r="A51">
            <v>447150</v>
          </cell>
          <cell r="D51" t="str">
            <v>CAPCTY</v>
          </cell>
          <cell r="G51">
            <v>0</v>
          </cell>
          <cell r="H51">
            <v>0</v>
          </cell>
          <cell r="I51">
            <v>0</v>
          </cell>
          <cell r="J51">
            <v>0</v>
          </cell>
          <cell r="K51">
            <v>0</v>
          </cell>
          <cell r="L51">
            <v>0</v>
          </cell>
          <cell r="M51">
            <v>0</v>
          </cell>
          <cell r="N51">
            <v>0</v>
          </cell>
          <cell r="O51">
            <v>0</v>
          </cell>
          <cell r="P51">
            <v>0</v>
          </cell>
          <cell r="Q51">
            <v>0</v>
          </cell>
          <cell r="R51">
            <v>0</v>
          </cell>
        </row>
        <row r="52">
          <cell r="A52">
            <v>447150</v>
          </cell>
          <cell r="D52" t="str">
            <v>FACASM</v>
          </cell>
          <cell r="G52">
            <v>0</v>
          </cell>
          <cell r="H52">
            <v>0</v>
          </cell>
          <cell r="I52">
            <v>0</v>
          </cell>
          <cell r="J52">
            <v>0</v>
          </cell>
          <cell r="K52">
            <v>0</v>
          </cell>
          <cell r="L52">
            <v>0</v>
          </cell>
          <cell r="M52">
            <v>0</v>
          </cell>
          <cell r="N52">
            <v>0</v>
          </cell>
          <cell r="O52">
            <v>0</v>
          </cell>
          <cell r="P52">
            <v>0</v>
          </cell>
          <cell r="Q52">
            <v>0</v>
          </cell>
          <cell r="R52">
            <v>0</v>
          </cell>
        </row>
        <row r="53">
          <cell r="A53">
            <v>447150</v>
          </cell>
          <cell r="D53" t="str">
            <v>FER668</v>
          </cell>
          <cell r="G53">
            <v>0</v>
          </cell>
          <cell r="H53">
            <v>0</v>
          </cell>
          <cell r="I53">
            <v>0</v>
          </cell>
          <cell r="J53">
            <v>0</v>
          </cell>
          <cell r="K53">
            <v>0</v>
          </cell>
          <cell r="L53">
            <v>0</v>
          </cell>
          <cell r="M53">
            <v>0</v>
          </cell>
          <cell r="N53">
            <v>0</v>
          </cell>
          <cell r="O53">
            <v>0</v>
          </cell>
          <cell r="P53">
            <v>0</v>
          </cell>
          <cell r="Q53">
            <v>0</v>
          </cell>
          <cell r="R53">
            <v>0</v>
          </cell>
        </row>
        <row r="54">
          <cell r="A54">
            <v>447150</v>
          </cell>
          <cell r="D54" t="str">
            <v>SLSRSL</v>
          </cell>
          <cell r="G54">
            <v>0</v>
          </cell>
          <cell r="H54">
            <v>403000</v>
          </cell>
          <cell r="I54">
            <v>536000</v>
          </cell>
          <cell r="J54">
            <v>981000</v>
          </cell>
          <cell r="K54">
            <v>345000</v>
          </cell>
          <cell r="L54">
            <v>774000</v>
          </cell>
          <cell r="M54">
            <v>1242000</v>
          </cell>
          <cell r="N54">
            <v>683000</v>
          </cell>
          <cell r="O54">
            <v>436000</v>
          </cell>
          <cell r="P54">
            <v>3588000</v>
          </cell>
          <cell r="Q54">
            <v>1603000</v>
          </cell>
          <cell r="R54">
            <v>1368000</v>
          </cell>
        </row>
        <row r="55">
          <cell r="A55">
            <v>448000</v>
          </cell>
          <cell r="D55" t="str">
            <v xml:space="preserve"> </v>
          </cell>
          <cell r="G55">
            <v>2069</v>
          </cell>
          <cell r="H55">
            <v>1584</v>
          </cell>
          <cell r="I55">
            <v>3215</v>
          </cell>
          <cell r="J55">
            <v>4348</v>
          </cell>
          <cell r="K55">
            <v>3817</v>
          </cell>
          <cell r="L55">
            <v>1726</v>
          </cell>
          <cell r="M55">
            <v>1885</v>
          </cell>
          <cell r="N55">
            <v>4090</v>
          </cell>
          <cell r="O55">
            <v>6734</v>
          </cell>
          <cell r="P55">
            <v>10198</v>
          </cell>
          <cell r="Q55">
            <v>7277</v>
          </cell>
          <cell r="R55">
            <v>4830</v>
          </cell>
        </row>
        <row r="56">
          <cell r="A56">
            <v>451100</v>
          </cell>
          <cell r="D56">
            <v>0</v>
          </cell>
          <cell r="G56">
            <v>24792</v>
          </cell>
          <cell r="H56">
            <v>24792</v>
          </cell>
          <cell r="I56">
            <v>24792</v>
          </cell>
          <cell r="J56">
            <v>24792</v>
          </cell>
          <cell r="K56">
            <v>24792</v>
          </cell>
          <cell r="L56">
            <v>24792</v>
          </cell>
          <cell r="M56">
            <v>24792</v>
          </cell>
          <cell r="N56">
            <v>24792</v>
          </cell>
          <cell r="O56">
            <v>24792</v>
          </cell>
          <cell r="P56">
            <v>24792</v>
          </cell>
          <cell r="Q56">
            <v>24792</v>
          </cell>
          <cell r="R56">
            <v>24792</v>
          </cell>
        </row>
        <row r="57">
          <cell r="A57">
            <v>453625</v>
          </cell>
        </row>
        <row r="58">
          <cell r="A58">
            <v>454200</v>
          </cell>
          <cell r="D58">
            <v>0</v>
          </cell>
          <cell r="G58">
            <v>14167</v>
          </cell>
          <cell r="H58">
            <v>14167</v>
          </cell>
          <cell r="I58">
            <v>14167</v>
          </cell>
          <cell r="J58">
            <v>14167</v>
          </cell>
          <cell r="K58">
            <v>14167</v>
          </cell>
          <cell r="L58">
            <v>14167</v>
          </cell>
          <cell r="M58">
            <v>14167</v>
          </cell>
          <cell r="N58">
            <v>14167</v>
          </cell>
          <cell r="O58">
            <v>14167</v>
          </cell>
          <cell r="P58">
            <v>14167</v>
          </cell>
          <cell r="Q58">
            <v>14167</v>
          </cell>
          <cell r="R58">
            <v>14167</v>
          </cell>
        </row>
        <row r="59">
          <cell r="A59">
            <v>454400</v>
          </cell>
          <cell r="D59">
            <v>0</v>
          </cell>
          <cell r="G59">
            <v>46500</v>
          </cell>
          <cell r="H59">
            <v>46500</v>
          </cell>
          <cell r="I59">
            <v>46500</v>
          </cell>
          <cell r="J59">
            <v>46500</v>
          </cell>
          <cell r="K59">
            <v>46500</v>
          </cell>
          <cell r="L59">
            <v>46500</v>
          </cell>
          <cell r="M59">
            <v>46500</v>
          </cell>
          <cell r="N59">
            <v>46500</v>
          </cell>
          <cell r="O59">
            <v>46500</v>
          </cell>
          <cell r="P59">
            <v>46500</v>
          </cell>
          <cell r="Q59">
            <v>46500</v>
          </cell>
          <cell r="R59">
            <v>46500</v>
          </cell>
        </row>
        <row r="60">
          <cell r="A60">
            <v>454400</v>
          </cell>
          <cell r="D60" t="str">
            <v>BDPCHG</v>
          </cell>
          <cell r="G60">
            <v>41667</v>
          </cell>
          <cell r="H60">
            <v>41667</v>
          </cell>
          <cell r="I60">
            <v>41667</v>
          </cell>
          <cell r="J60">
            <v>41667</v>
          </cell>
          <cell r="K60">
            <v>41667</v>
          </cell>
          <cell r="L60">
            <v>41667</v>
          </cell>
          <cell r="M60">
            <v>41667</v>
          </cell>
          <cell r="N60">
            <v>41667</v>
          </cell>
          <cell r="O60">
            <v>41667</v>
          </cell>
          <cell r="P60">
            <v>41667</v>
          </cell>
          <cell r="Q60">
            <v>41667</v>
          </cell>
          <cell r="R60">
            <v>41667</v>
          </cell>
        </row>
        <row r="61">
          <cell r="A61">
            <v>456110</v>
          </cell>
          <cell r="D61">
            <v>0</v>
          </cell>
          <cell r="G61">
            <v>12083</v>
          </cell>
          <cell r="H61">
            <v>12083</v>
          </cell>
          <cell r="I61">
            <v>12083</v>
          </cell>
          <cell r="J61">
            <v>12083</v>
          </cell>
          <cell r="K61">
            <v>12083</v>
          </cell>
          <cell r="L61">
            <v>12083</v>
          </cell>
          <cell r="M61">
            <v>12083</v>
          </cell>
          <cell r="N61">
            <v>12083</v>
          </cell>
          <cell r="O61">
            <v>12083</v>
          </cell>
          <cell r="P61">
            <v>12083</v>
          </cell>
          <cell r="Q61">
            <v>12083</v>
          </cell>
          <cell r="R61">
            <v>12083</v>
          </cell>
        </row>
        <row r="62">
          <cell r="A62">
            <v>456111</v>
          </cell>
          <cell r="D62">
            <v>0</v>
          </cell>
          <cell r="G62">
            <v>224580</v>
          </cell>
          <cell r="H62">
            <v>224580</v>
          </cell>
          <cell r="I62">
            <v>224580</v>
          </cell>
          <cell r="J62">
            <v>224580</v>
          </cell>
          <cell r="K62">
            <v>224580</v>
          </cell>
          <cell r="L62">
            <v>224580</v>
          </cell>
          <cell r="M62">
            <v>224580</v>
          </cell>
          <cell r="N62">
            <v>224580</v>
          </cell>
          <cell r="O62">
            <v>224580</v>
          </cell>
          <cell r="P62">
            <v>215510</v>
          </cell>
          <cell r="Q62">
            <v>215510</v>
          </cell>
          <cell r="R62">
            <v>215510</v>
          </cell>
        </row>
        <row r="63">
          <cell r="A63">
            <v>456610</v>
          </cell>
          <cell r="D63" t="str">
            <v>OTHER</v>
          </cell>
        </row>
        <row r="64">
          <cell r="A64">
            <v>456970</v>
          </cell>
          <cell r="D64">
            <v>0</v>
          </cell>
          <cell r="G64">
            <v>2042</v>
          </cell>
          <cell r="H64">
            <v>2042</v>
          </cell>
          <cell r="I64">
            <v>2042</v>
          </cell>
          <cell r="J64">
            <v>2042</v>
          </cell>
          <cell r="K64">
            <v>2042</v>
          </cell>
          <cell r="L64">
            <v>2042</v>
          </cell>
          <cell r="M64">
            <v>2042</v>
          </cell>
          <cell r="N64">
            <v>2042</v>
          </cell>
          <cell r="O64">
            <v>2042</v>
          </cell>
          <cell r="P64">
            <v>2042</v>
          </cell>
          <cell r="Q64">
            <v>2042</v>
          </cell>
          <cell r="R64">
            <v>2042</v>
          </cell>
        </row>
        <row r="65">
          <cell r="A65">
            <v>457204</v>
          </cell>
          <cell r="D65" t="str">
            <v xml:space="preserve"> </v>
          </cell>
          <cell r="G65">
            <v>145608</v>
          </cell>
          <cell r="H65">
            <v>134405</v>
          </cell>
          <cell r="I65">
            <v>153188</v>
          </cell>
          <cell r="J65">
            <v>175953</v>
          </cell>
          <cell r="K65">
            <v>175572</v>
          </cell>
          <cell r="L65">
            <v>165738</v>
          </cell>
          <cell r="M65">
            <v>137659</v>
          </cell>
          <cell r="N65">
            <v>137773</v>
          </cell>
          <cell r="O65">
            <v>159048</v>
          </cell>
          <cell r="P65">
            <v>177993</v>
          </cell>
          <cell r="Q65">
            <v>163703</v>
          </cell>
          <cell r="R65">
            <v>154590</v>
          </cell>
        </row>
      </sheetData>
      <sheetData sheetId="9"/>
      <sheetData sheetId="10">
        <row r="1">
          <cell r="A1" t="str">
            <v>C319</v>
          </cell>
        </row>
      </sheetData>
      <sheetData sheetId="11">
        <row r="16">
          <cell r="C16">
            <v>8.3580000000000002E-2</v>
          </cell>
          <cell r="I16">
            <v>-1.2749999999999997E-2</v>
          </cell>
        </row>
        <row r="20">
          <cell r="C20">
            <v>1.6449240999999999</v>
          </cell>
          <cell r="J20">
            <v>-1.5109399999999829E-2</v>
          </cell>
        </row>
      </sheetData>
      <sheetData sheetId="12"/>
      <sheetData sheetId="13">
        <row r="49">
          <cell r="J49">
            <v>0.68167999999999995</v>
          </cell>
        </row>
        <row r="108">
          <cell r="X108">
            <v>0.72045999999999999</v>
          </cell>
        </row>
      </sheetData>
      <sheetData sheetId="14">
        <row r="18">
          <cell r="I18">
            <v>1730844119</v>
          </cell>
        </row>
      </sheetData>
      <sheetData sheetId="15"/>
      <sheetData sheetId="16">
        <row r="255">
          <cell r="C255">
            <v>0.74360000000000004</v>
          </cell>
        </row>
      </sheetData>
      <sheetData sheetId="17"/>
      <sheetData sheetId="18"/>
      <sheetData sheetId="19"/>
      <sheetData sheetId="20"/>
      <sheetData sheetId="21"/>
      <sheetData sheetId="22"/>
      <sheetData sheetId="23">
        <row r="12">
          <cell r="J12" t="str">
            <v>WITNESS RESPONSIBLE:</v>
          </cell>
        </row>
      </sheetData>
      <sheetData sheetId="24"/>
      <sheetData sheetId="25"/>
      <sheetData sheetId="26"/>
      <sheetData sheetId="27"/>
      <sheetData sheetId="28"/>
      <sheetData sheetId="29"/>
      <sheetData sheetId="30"/>
      <sheetData sheetId="31"/>
      <sheetData sheetId="32"/>
      <sheetData sheetId="33"/>
      <sheetData sheetId="34">
        <row r="17">
          <cell r="G17">
            <v>48591892</v>
          </cell>
        </row>
        <row r="23">
          <cell r="G23">
            <v>133433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94">
          <cell r="AE94">
            <v>280677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48">
          <cell r="T148">
            <v>1107</v>
          </cell>
        </row>
        <row r="150">
          <cell r="T150">
            <v>1107</v>
          </cell>
          <cell r="U150" t="str">
            <v xml:space="preserve">Interest Charges  </v>
          </cell>
          <cell r="W150">
            <v>-9152456</v>
          </cell>
          <cell r="X150">
            <v>-14155510</v>
          </cell>
        </row>
        <row r="151">
          <cell r="T151" t="str">
            <v>Perm</v>
          </cell>
          <cell r="U151" t="str">
            <v>Book Taxable Income</v>
          </cell>
          <cell r="W151">
            <v>44752135</v>
          </cell>
          <cell r="X151">
            <v>9135584</v>
          </cell>
        </row>
        <row r="153">
          <cell r="T153" t="str">
            <v>Perm</v>
          </cell>
          <cell r="U153" t="str">
            <v>Permanent Differences</v>
          </cell>
          <cell r="W153">
            <v>838490.59999999963</v>
          </cell>
          <cell r="X153">
            <v>1158877</v>
          </cell>
        </row>
        <row r="154">
          <cell r="T154" t="str">
            <v>T13A08</v>
          </cell>
          <cell r="U154" t="str">
            <v>Accounting Depreciation</v>
          </cell>
        </row>
        <row r="155">
          <cell r="T155" t="str">
            <v>T13A2B</v>
          </cell>
          <cell r="U155" t="str">
            <v>Temporary Differences:</v>
          </cell>
        </row>
        <row r="156">
          <cell r="T156" t="str">
            <v>T13A08</v>
          </cell>
          <cell r="U156" t="str">
            <v>Accounting Depreciation</v>
          </cell>
          <cell r="W156">
            <v>35375930</v>
          </cell>
          <cell r="X156">
            <v>44542262</v>
          </cell>
        </row>
        <row r="157">
          <cell r="T157" t="str">
            <v>T13A28</v>
          </cell>
          <cell r="U157" t="str">
            <v>Tax Depreciation</v>
          </cell>
          <cell r="W157">
            <v>-87812531.015559807</v>
          </cell>
          <cell r="X157">
            <v>-89617576</v>
          </cell>
        </row>
        <row r="158">
          <cell r="T158" t="str">
            <v>Temp</v>
          </cell>
          <cell r="U158" t="str">
            <v>Other Temporary Differences</v>
          </cell>
          <cell r="W158">
            <v>-50183570.720557585</v>
          </cell>
          <cell r="X158">
            <v>-26140183</v>
          </cell>
        </row>
        <row r="281">
          <cell r="AH281">
            <v>0.89086699999999996</v>
          </cell>
        </row>
      </sheetData>
      <sheetData sheetId="84"/>
      <sheetData sheetId="85"/>
      <sheetData sheetId="86"/>
      <sheetData sheetId="87"/>
      <sheetData sheetId="88"/>
      <sheetData sheetId="89"/>
      <sheetData sheetId="90"/>
      <sheetData sheetId="91"/>
      <sheetData sheetId="92"/>
      <sheetData sheetId="93"/>
      <sheetData sheetId="94"/>
      <sheetData sheetId="95">
        <row r="3">
          <cell r="AB3">
            <v>7.6499999999999999E-2</v>
          </cell>
        </row>
      </sheetData>
      <sheetData sheetId="96"/>
      <sheetData sheetId="97">
        <row r="34">
          <cell r="I34">
            <v>1.6298147000000001</v>
          </cell>
        </row>
        <row r="81">
          <cell r="I81">
            <v>1.0027535999999999</v>
          </cell>
        </row>
      </sheetData>
      <sheetData sheetId="98"/>
      <sheetData sheetId="99"/>
      <sheetData sheetId="100"/>
      <sheetData sheetId="101"/>
      <sheetData sheetId="102"/>
      <sheetData sheetId="103"/>
      <sheetData sheetId="104"/>
      <sheetData sheetId="105"/>
      <sheetData sheetId="106"/>
      <sheetData sheetId="107"/>
      <sheetData sheetId="108"/>
      <sheetData sheetId="109">
        <row r="21">
          <cell r="M21">
            <v>7.0830000000000004E-2</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racking"/>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2 - Base"/>
      <sheetName val="SCH_J2 - Forecast"/>
      <sheetName val="SCH_J3 - Base"/>
      <sheetName val="SCH_J3 - Forecast"/>
      <sheetName val="SCH_J4"/>
      <sheetName val="SCH K"/>
      <sheetName val="RB vs Cap FP 16(6)(f)"/>
      <sheetName val="RB vs Cap BP Staff DR"/>
    </sheetNames>
    <sheetDataSet>
      <sheetData sheetId="0"/>
      <sheetData sheetId="1">
        <row r="5">
          <cell r="B5" t="str">
            <v>DUKE ENERGY KENTUCKY, INC.</v>
          </cell>
        </row>
        <row r="6">
          <cell r="B6" t="str">
            <v>CASE NO. 2017-00321</v>
          </cell>
        </row>
        <row r="9">
          <cell r="B9" t="str">
            <v>ELECTRIC DEPARTMENT</v>
          </cell>
        </row>
        <row r="12">
          <cell r="G12" t="str">
            <v>R. H. PRATT / C. S. LEE</v>
          </cell>
        </row>
        <row r="13">
          <cell r="B13" t="str">
            <v>DATA:  BASE PERIOD  "X" FORECASTED PERIOD</v>
          </cell>
        </row>
      </sheetData>
      <sheetData sheetId="2"/>
      <sheetData sheetId="3"/>
      <sheetData sheetId="4"/>
      <sheetData sheetId="5"/>
      <sheetData sheetId="6"/>
      <sheetData sheetId="7"/>
      <sheetData sheetId="8"/>
      <sheetData sheetId="9"/>
      <sheetData sheetId="10"/>
      <sheetData sheetId="11">
        <row r="3">
          <cell r="A3" t="str">
            <v>C319</v>
          </cell>
          <cell r="B3">
            <v>100</v>
          </cell>
          <cell r="D3" t="str">
            <v>Customer Accounts Expenses</v>
          </cell>
        </row>
        <row r="4">
          <cell r="A4" t="str">
            <v>D149</v>
          </cell>
          <cell r="B4">
            <v>100</v>
          </cell>
          <cell r="D4" t="str">
            <v>Distribution gross plant factor</v>
          </cell>
        </row>
        <row r="5">
          <cell r="A5" t="str">
            <v>D249</v>
          </cell>
          <cell r="B5">
            <v>100</v>
          </cell>
          <cell r="D5" t="str">
            <v>Distribution net plant factor</v>
          </cell>
        </row>
        <row r="6">
          <cell r="A6" t="str">
            <v>DALL</v>
          </cell>
          <cell r="B6">
            <v>100</v>
          </cell>
          <cell r="D6" t="str">
            <v>Direct Assign</v>
          </cell>
        </row>
        <row r="7">
          <cell r="A7" t="str">
            <v>DE49</v>
          </cell>
          <cell r="B7">
            <v>100</v>
          </cell>
          <cell r="D7" t="str">
            <v>Depreciation expense factor</v>
          </cell>
        </row>
        <row r="8">
          <cell r="A8" t="str">
            <v>DEA</v>
          </cell>
          <cell r="B8">
            <v>100</v>
          </cell>
          <cell r="D8" t="str">
            <v>Emission Allowance - Native</v>
          </cell>
        </row>
        <row r="9">
          <cell r="A9" t="str">
            <v>DNON</v>
          </cell>
          <cell r="B9">
            <v>0</v>
          </cell>
          <cell r="D9" t="str">
            <v>Direct Assign</v>
          </cell>
        </row>
        <row r="10">
          <cell r="A10" t="str">
            <v>K201</v>
          </cell>
          <cell r="B10">
            <v>100</v>
          </cell>
          <cell r="D10" t="str">
            <v>Average of 12 months demand factor</v>
          </cell>
        </row>
        <row r="11">
          <cell r="A11" t="str">
            <v>K209</v>
          </cell>
          <cell r="B11">
            <v>100</v>
          </cell>
          <cell r="D11" t="str">
            <v>Average of 12 months demand factor less lighting</v>
          </cell>
        </row>
        <row r="12">
          <cell r="A12" t="str">
            <v>K301</v>
          </cell>
          <cell r="B12">
            <v>100</v>
          </cell>
          <cell r="D12" t="str">
            <v>Total kWh energy factor</v>
          </cell>
        </row>
        <row r="13">
          <cell r="A13" t="str">
            <v>K305</v>
          </cell>
          <cell r="B13">
            <v>100</v>
          </cell>
          <cell r="D13" t="str">
            <v>Total kWh energy factor less lighting</v>
          </cell>
        </row>
        <row r="14">
          <cell r="A14" t="str">
            <v>K411</v>
          </cell>
          <cell r="B14">
            <v>100</v>
          </cell>
          <cell r="D14" t="str">
            <v>Administrative &amp; General</v>
          </cell>
        </row>
        <row r="15">
          <cell r="A15" t="str">
            <v>NP29</v>
          </cell>
          <cell r="B15">
            <v>100</v>
          </cell>
          <cell r="D15" t="str">
            <v>Total net plant factor</v>
          </cell>
        </row>
        <row r="16">
          <cell r="A16" t="str">
            <v>UNBL</v>
          </cell>
          <cell r="B16">
            <v>100</v>
          </cell>
          <cell r="D16" t="str">
            <v>Unbilled revenue factor - directly assigned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D DATABASE t-30"/>
      <sheetName val="FWD DATABASE t-29"/>
      <sheetName val="FWD DATABASE t-28"/>
      <sheetName val="FWD DATABASE t-27"/>
      <sheetName val="FWD DATABASE t-26"/>
      <sheetName val="FWD DATABASE t-25"/>
      <sheetName val="FWD DATABASE t-24"/>
      <sheetName val="FWD DATABASE t-23"/>
      <sheetName val="FWD DATABASE t-22"/>
      <sheetName val="FWD DATABASE t-21"/>
      <sheetName val="FWD DATABASE t-20"/>
      <sheetName val="FWD DATABASE t-19"/>
      <sheetName val="FWD DATABASE t-18"/>
      <sheetName val="FWD DATABASE t-17"/>
      <sheetName val="FWD DATABASE t-16"/>
      <sheetName val="FWD DATABASE t-15"/>
      <sheetName val="FWD DATABASE t-14"/>
      <sheetName val="FWD DATABASE t-13"/>
      <sheetName val="FWD DATABASE t-12"/>
      <sheetName val="FWD DATABASE t-11"/>
      <sheetName val="FWD DATABASE t-10"/>
      <sheetName val="FWD DATABASE t-9"/>
      <sheetName val="FWD DATABASE t-8"/>
      <sheetName val="FWD DATABASE t-7"/>
      <sheetName val="FWD DATABASE t-6"/>
      <sheetName val="FWD DATABASE t-5"/>
      <sheetName val="FWD DATABASE t-4"/>
      <sheetName val="FWD DATABASE t-3"/>
      <sheetName val="FWD DATABASE t-2"/>
      <sheetName val="FWD DATABASE t-1"/>
      <sheetName val="FWD DATABASE t"/>
      <sheetName val="DatabaseLink"/>
      <sheetName val="Settlements"/>
      <sheetName val="Current DER"/>
      <sheetName val="Start"/>
      <sheetName val="Holiday"/>
      <sheetName val="Curve"/>
      <sheetName val="Ref_dat"/>
      <sheetName val="Counterparty_Position"/>
      <sheetName val="Sheet1"/>
      <sheetName val="Position"/>
      <sheetName val="Electricity"/>
      <sheetName val="swaptions"/>
      <sheetName val="trad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Link"/>
      <sheetName val="Curve"/>
      <sheetName val="Ref_dat"/>
      <sheetName val="Formula 1"/>
      <sheetName val="Electricity"/>
      <sheetName val="Input"/>
      <sheetName val="Holiday"/>
    </sheetNames>
    <sheetDataSet>
      <sheetData sheetId="0"/>
      <sheetData sheetId="1"/>
      <sheetData sheetId="2" refreshError="1">
        <row r="3">
          <cell r="A3" t="str">
            <v>Dean Price</v>
          </cell>
          <cell r="B3" t="str">
            <v>AGL</v>
          </cell>
          <cell r="C3" t="str">
            <v>AGL</v>
          </cell>
          <cell r="D3" t="str">
            <v>Buy</v>
          </cell>
          <cell r="F3" t="str">
            <v>NSW</v>
          </cell>
          <cell r="G3" t="str">
            <v>Direct</v>
          </cell>
          <cell r="H3" t="str">
            <v>Work</v>
          </cell>
          <cell r="I3" t="str">
            <v>CSFB</v>
          </cell>
          <cell r="J3" t="str">
            <v>Flat</v>
          </cell>
          <cell r="K3" t="str">
            <v>May 2001</v>
          </cell>
          <cell r="M3" t="str">
            <v>NSW</v>
          </cell>
          <cell r="N3" t="str">
            <v>SFE</v>
          </cell>
          <cell r="O3" t="str">
            <v>p</v>
          </cell>
          <cell r="P3" t="str">
            <v>Swaption</v>
          </cell>
        </row>
        <row r="4">
          <cell r="A4" t="str">
            <v>Geoff Pollard</v>
          </cell>
          <cell r="B4" t="str">
            <v>Bairnsdale</v>
          </cell>
          <cell r="C4" t="str">
            <v>BDL</v>
          </cell>
          <cell r="D4" t="str">
            <v>Sell</v>
          </cell>
          <cell r="F4" t="str">
            <v>QLD</v>
          </cell>
          <cell r="G4" t="str">
            <v>GIE</v>
          </cell>
          <cell r="H4" t="str">
            <v>Nonwork</v>
          </cell>
          <cell r="I4" t="str">
            <v>Lquay</v>
          </cell>
          <cell r="J4" t="str">
            <v>Peak</v>
          </cell>
          <cell r="K4" t="str">
            <v>June 2001</v>
          </cell>
          <cell r="M4" t="str">
            <v>VIC</v>
          </cell>
          <cell r="O4" t="str">
            <v>c</v>
          </cell>
          <cell r="P4" t="str">
            <v>Asian Option</v>
          </cell>
        </row>
        <row r="5">
          <cell r="A5" t="str">
            <v>Howard Levy</v>
          </cell>
          <cell r="B5" t="str">
            <v>Citibank</v>
          </cell>
          <cell r="C5" t="str">
            <v>CBK</v>
          </cell>
          <cell r="F5" t="str">
            <v>SAU</v>
          </cell>
          <cell r="G5" t="str">
            <v>NGES</v>
          </cell>
          <cell r="H5" t="str">
            <v>All</v>
          </cell>
          <cell r="I5" t="str">
            <v>CBA</v>
          </cell>
          <cell r="K5" t="str">
            <v>July 2001</v>
          </cell>
        </row>
        <row r="6">
          <cell r="A6" t="str">
            <v>Jim Myatt</v>
          </cell>
          <cell r="B6" t="str">
            <v>Citipower</v>
          </cell>
          <cell r="C6" t="str">
            <v>CIT</v>
          </cell>
          <cell r="F6" t="str">
            <v>SNY</v>
          </cell>
          <cell r="G6" t="str">
            <v>Prebon</v>
          </cell>
          <cell r="H6" t="str">
            <v>None</v>
          </cell>
          <cell r="I6" t="str">
            <v>DMG</v>
          </cell>
          <cell r="K6" t="str">
            <v>August 2001</v>
          </cell>
        </row>
        <row r="7">
          <cell r="A7" t="str">
            <v>Dave Sweeney</v>
          </cell>
          <cell r="B7" t="str">
            <v>Country Energy</v>
          </cell>
          <cell r="C7" t="str">
            <v>CYE</v>
          </cell>
          <cell r="F7" t="str">
            <v>TAS</v>
          </cell>
          <cell r="G7" t="str">
            <v>TFS</v>
          </cell>
          <cell r="I7" t="str">
            <v>MBL</v>
          </cell>
          <cell r="K7" t="str">
            <v>September 2001</v>
          </cell>
        </row>
        <row r="8">
          <cell r="B8" t="str">
            <v>CS Energy</v>
          </cell>
          <cell r="C8" t="str">
            <v>CSE</v>
          </cell>
          <cell r="F8" t="str">
            <v>VIC</v>
          </cell>
          <cell r="G8" t="str">
            <v>CSFB</v>
          </cell>
          <cell r="I8" t="str">
            <v>Other</v>
          </cell>
          <cell r="K8" t="str">
            <v>October 2001</v>
          </cell>
        </row>
        <row r="9">
          <cell r="B9" t="str">
            <v>Delta</v>
          </cell>
          <cell r="C9" t="str">
            <v>DEL</v>
          </cell>
          <cell r="F9" t="str">
            <v>WAU</v>
          </cell>
          <cell r="G9" t="str">
            <v>Tullets</v>
          </cell>
          <cell r="K9" t="str">
            <v>November 2001</v>
          </cell>
        </row>
        <row r="10">
          <cell r="B10" t="str">
            <v>Edgecap</v>
          </cell>
          <cell r="C10" t="str">
            <v>EDG</v>
          </cell>
          <cell r="K10" t="str">
            <v>December 2001</v>
          </cell>
        </row>
        <row r="11">
          <cell r="B11" t="str">
            <v>Energex</v>
          </cell>
          <cell r="C11" t="str">
            <v>EGX</v>
          </cell>
          <cell r="K11" t="str">
            <v>January 2002</v>
          </cell>
        </row>
        <row r="12">
          <cell r="B12" t="str">
            <v>Energy Australia</v>
          </cell>
          <cell r="C12" t="str">
            <v>ENA</v>
          </cell>
          <cell r="K12" t="str">
            <v>February 2002</v>
          </cell>
        </row>
        <row r="13">
          <cell r="B13" t="str">
            <v>Enron</v>
          </cell>
          <cell r="C13" t="str">
            <v>ENR</v>
          </cell>
          <cell r="K13" t="str">
            <v>March 2002</v>
          </cell>
        </row>
        <row r="14">
          <cell r="B14" t="str">
            <v>Ergon</v>
          </cell>
          <cell r="C14" t="str">
            <v>ERG</v>
          </cell>
        </row>
        <row r="15">
          <cell r="B15" t="str">
            <v>Futures</v>
          </cell>
          <cell r="C15" t="str">
            <v>SFE</v>
          </cell>
        </row>
        <row r="16">
          <cell r="B16" t="str">
            <v>Great Southern</v>
          </cell>
          <cell r="C16" t="str">
            <v>GSE</v>
          </cell>
        </row>
        <row r="17">
          <cell r="B17" t="str">
            <v>Hazelwood</v>
          </cell>
          <cell r="C17" t="str">
            <v>HAZ</v>
          </cell>
        </row>
        <row r="18">
          <cell r="B18" t="str">
            <v>Integral</v>
          </cell>
          <cell r="C18" t="str">
            <v>INT</v>
          </cell>
        </row>
        <row r="19">
          <cell r="B19" t="str">
            <v>Loy Yang</v>
          </cell>
          <cell r="C19" t="str">
            <v>LOY</v>
          </cell>
        </row>
        <row r="20">
          <cell r="B20" t="str">
            <v>Macquarie Gen.</v>
          </cell>
          <cell r="C20" t="str">
            <v>MGN</v>
          </cell>
        </row>
        <row r="21">
          <cell r="B21" t="str">
            <v>National Power</v>
          </cell>
          <cell r="C21" t="str">
            <v>NAT</v>
          </cell>
        </row>
        <row r="22">
          <cell r="B22" t="str">
            <v>Origin Energy</v>
          </cell>
          <cell r="C22" t="str">
            <v>OGN</v>
          </cell>
        </row>
        <row r="23">
          <cell r="B23" t="str">
            <v>Pacific Power</v>
          </cell>
          <cell r="C23" t="str">
            <v>PPR</v>
          </cell>
        </row>
        <row r="24">
          <cell r="B24" t="str">
            <v>Powercor</v>
          </cell>
          <cell r="C24" t="str">
            <v>POW</v>
          </cell>
        </row>
        <row r="25">
          <cell r="B25" t="str">
            <v>Pulse Energy</v>
          </cell>
          <cell r="C25" t="str">
            <v>PUL</v>
          </cell>
        </row>
        <row r="26">
          <cell r="B26" t="str">
            <v>RMB</v>
          </cell>
          <cell r="C26" t="str">
            <v>RMB</v>
          </cell>
        </row>
        <row r="27">
          <cell r="B27" t="str">
            <v>SG Australia</v>
          </cell>
          <cell r="C27" t="str">
            <v>SGA</v>
          </cell>
        </row>
        <row r="28">
          <cell r="B28" t="str">
            <v>Snowy Hydro</v>
          </cell>
          <cell r="C28" t="str">
            <v>SMH</v>
          </cell>
        </row>
        <row r="29">
          <cell r="B29" t="str">
            <v>Southern Hydro</v>
          </cell>
          <cell r="C29" t="str">
            <v>STH</v>
          </cell>
        </row>
        <row r="30">
          <cell r="B30" t="str">
            <v>Stanwell</v>
          </cell>
          <cell r="C30" t="str">
            <v>STW</v>
          </cell>
        </row>
        <row r="31">
          <cell r="B31" t="str">
            <v>Tarong</v>
          </cell>
          <cell r="C31" t="str">
            <v>TRG</v>
          </cell>
        </row>
        <row r="32">
          <cell r="B32" t="str">
            <v>Texas Utilities</v>
          </cell>
          <cell r="C32" t="str">
            <v>TXU</v>
          </cell>
        </row>
        <row r="33">
          <cell r="B33" t="str">
            <v>United Energy</v>
          </cell>
          <cell r="C33" t="str">
            <v>UNI</v>
          </cell>
        </row>
        <row r="34">
          <cell r="B34" t="str">
            <v>Westpac</v>
          </cell>
          <cell r="C34" t="str">
            <v>WBC</v>
          </cell>
        </row>
      </sheetData>
      <sheetData sheetId="3"/>
      <sheetData sheetId="4"/>
      <sheetData sheetId="5" refreshError="1">
        <row r="10">
          <cell r="B10">
            <v>37802</v>
          </cell>
        </row>
      </sheetData>
      <sheetData sheetId="6" refreshError="1">
        <row r="11">
          <cell r="A11">
            <v>36521</v>
          </cell>
        </row>
        <row r="12">
          <cell r="A12">
            <v>36522</v>
          </cell>
        </row>
        <row r="13">
          <cell r="A13">
            <v>36551</v>
          </cell>
        </row>
        <row r="14">
          <cell r="A14">
            <v>36598</v>
          </cell>
        </row>
        <row r="15">
          <cell r="A15">
            <v>36637</v>
          </cell>
        </row>
        <row r="16">
          <cell r="A16">
            <v>36640</v>
          </cell>
        </row>
        <row r="17">
          <cell r="A17">
            <v>36641</v>
          </cell>
        </row>
        <row r="18">
          <cell r="A18">
            <v>36689</v>
          </cell>
        </row>
        <row r="19">
          <cell r="A19">
            <v>36837</v>
          </cell>
        </row>
        <row r="20">
          <cell r="A20">
            <v>36885</v>
          </cell>
        </row>
        <row r="21">
          <cell r="A21">
            <v>36886</v>
          </cell>
        </row>
        <row r="22">
          <cell r="A22">
            <v>36892</v>
          </cell>
        </row>
        <row r="23">
          <cell r="A23">
            <v>36917</v>
          </cell>
        </row>
        <row r="24">
          <cell r="A24">
            <v>36962</v>
          </cell>
        </row>
        <row r="25">
          <cell r="A25">
            <v>36994</v>
          </cell>
        </row>
        <row r="26">
          <cell r="A26">
            <v>36997</v>
          </cell>
        </row>
        <row r="27">
          <cell r="A27">
            <v>37006</v>
          </cell>
        </row>
        <row r="28">
          <cell r="A28">
            <v>37053</v>
          </cell>
        </row>
        <row r="29">
          <cell r="A29">
            <v>37201</v>
          </cell>
        </row>
        <row r="30">
          <cell r="A30">
            <v>37250</v>
          </cell>
        </row>
        <row r="31">
          <cell r="A31">
            <v>37251</v>
          </cell>
        </row>
        <row r="32">
          <cell r="A32">
            <v>37257</v>
          </cell>
        </row>
        <row r="33">
          <cell r="A33">
            <v>37284</v>
          </cell>
        </row>
        <row r="34">
          <cell r="A34">
            <v>37326</v>
          </cell>
        </row>
        <row r="35">
          <cell r="A35">
            <v>37344</v>
          </cell>
        </row>
        <row r="36">
          <cell r="A36">
            <v>37347</v>
          </cell>
        </row>
        <row r="37">
          <cell r="A37">
            <v>37371</v>
          </cell>
        </row>
        <row r="38">
          <cell r="A38">
            <v>37417</v>
          </cell>
        </row>
        <row r="39">
          <cell r="A39">
            <v>37565</v>
          </cell>
        </row>
        <row r="40">
          <cell r="A40">
            <v>37615</v>
          </cell>
        </row>
        <row r="41">
          <cell r="A41">
            <v>37616</v>
          </cell>
        </row>
        <row r="42">
          <cell r="A42">
            <v>37622</v>
          </cell>
        </row>
        <row r="43">
          <cell r="A43">
            <v>37648</v>
          </cell>
        </row>
        <row r="44">
          <cell r="A44">
            <v>37690</v>
          </cell>
        </row>
        <row r="45">
          <cell r="A45">
            <v>37729</v>
          </cell>
        </row>
        <row r="46">
          <cell r="A46">
            <v>37732</v>
          </cell>
        </row>
        <row r="47">
          <cell r="A47">
            <v>37736</v>
          </cell>
        </row>
        <row r="48">
          <cell r="A48">
            <v>37781</v>
          </cell>
        </row>
        <row r="49">
          <cell r="A49">
            <v>37929</v>
          </cell>
        </row>
        <row r="50">
          <cell r="A50">
            <v>37980</v>
          </cell>
        </row>
        <row r="51">
          <cell r="A51">
            <v>37981</v>
          </cell>
        </row>
        <row r="52">
          <cell r="A52">
            <v>37987</v>
          </cell>
        </row>
        <row r="53">
          <cell r="A53">
            <v>38012</v>
          </cell>
        </row>
        <row r="54">
          <cell r="A54">
            <v>38054</v>
          </cell>
        </row>
        <row r="55">
          <cell r="A55">
            <v>38086</v>
          </cell>
        </row>
        <row r="56">
          <cell r="A56">
            <v>38089</v>
          </cell>
        </row>
        <row r="57">
          <cell r="A57">
            <v>38103</v>
          </cell>
        </row>
        <row r="58">
          <cell r="A58">
            <v>38152</v>
          </cell>
        </row>
        <row r="59">
          <cell r="A59">
            <v>38293</v>
          </cell>
        </row>
        <row r="60">
          <cell r="A60">
            <v>38348</v>
          </cell>
        </row>
        <row r="61">
          <cell r="A61">
            <v>38349</v>
          </cell>
        </row>
        <row r="62">
          <cell r="A62">
            <v>38355</v>
          </cell>
        </row>
        <row r="63">
          <cell r="A63">
            <v>38378</v>
          </cell>
        </row>
        <row r="64">
          <cell r="A64">
            <v>38425</v>
          </cell>
        </row>
        <row r="65">
          <cell r="A65">
            <v>38436</v>
          </cell>
        </row>
        <row r="66">
          <cell r="A66">
            <v>38439</v>
          </cell>
        </row>
        <row r="67">
          <cell r="A67">
            <v>38467</v>
          </cell>
        </row>
        <row r="68">
          <cell r="A68">
            <v>38516</v>
          </cell>
        </row>
        <row r="69">
          <cell r="A69">
            <v>38657</v>
          </cell>
        </row>
        <row r="70">
          <cell r="A70">
            <v>38712</v>
          </cell>
        </row>
        <row r="71">
          <cell r="A71">
            <v>38713</v>
          </cell>
        </row>
        <row r="72">
          <cell r="A72">
            <v>38719</v>
          </cell>
        </row>
        <row r="73">
          <cell r="A73">
            <v>38743</v>
          </cell>
        </row>
        <row r="74">
          <cell r="A74">
            <v>38789</v>
          </cell>
        </row>
        <row r="75">
          <cell r="A75">
            <v>38821</v>
          </cell>
        </row>
        <row r="76">
          <cell r="A76">
            <v>38824</v>
          </cell>
        </row>
        <row r="77">
          <cell r="A77">
            <v>38832</v>
          </cell>
        </row>
        <row r="78">
          <cell r="A78">
            <v>38880</v>
          </cell>
        </row>
        <row r="79">
          <cell r="A79">
            <v>39028</v>
          </cell>
        </row>
        <row r="80">
          <cell r="A80">
            <v>39076</v>
          </cell>
        </row>
        <row r="81">
          <cell r="A81">
            <v>39077</v>
          </cell>
        </row>
        <row r="82">
          <cell r="A82">
            <v>39083</v>
          </cell>
        </row>
        <row r="83">
          <cell r="A83">
            <v>39108</v>
          </cell>
        </row>
        <row r="84">
          <cell r="A84">
            <v>39153</v>
          </cell>
        </row>
        <row r="85">
          <cell r="A85">
            <v>39178</v>
          </cell>
        </row>
        <row r="86">
          <cell r="A86">
            <v>39181</v>
          </cell>
        </row>
        <row r="87">
          <cell r="A87">
            <v>39197</v>
          </cell>
        </row>
        <row r="88">
          <cell r="A88">
            <v>39244</v>
          </cell>
        </row>
        <row r="89">
          <cell r="A89">
            <v>39392</v>
          </cell>
        </row>
        <row r="90">
          <cell r="A90">
            <v>39441</v>
          </cell>
        </row>
        <row r="91">
          <cell r="A91">
            <v>39442</v>
          </cell>
        </row>
        <row r="92">
          <cell r="A92">
            <v>39448</v>
          </cell>
        </row>
        <row r="93">
          <cell r="A93">
            <v>39517</v>
          </cell>
        </row>
        <row r="94">
          <cell r="A94">
            <v>39528</v>
          </cell>
        </row>
        <row r="95">
          <cell r="A95">
            <v>39531</v>
          </cell>
        </row>
        <row r="96">
          <cell r="A96">
            <v>39563</v>
          </cell>
        </row>
        <row r="97">
          <cell r="A97">
            <v>39608</v>
          </cell>
        </row>
        <row r="98">
          <cell r="A98">
            <v>39756</v>
          </cell>
        </row>
        <row r="99">
          <cell r="A99">
            <v>39807</v>
          </cell>
        </row>
        <row r="100">
          <cell r="A100">
            <v>39808</v>
          </cell>
        </row>
        <row r="101">
          <cell r="A101">
            <v>39814</v>
          </cell>
        </row>
        <row r="102">
          <cell r="A102">
            <v>39839</v>
          </cell>
        </row>
        <row r="103">
          <cell r="A103">
            <v>39881</v>
          </cell>
        </row>
        <row r="104">
          <cell r="A104">
            <v>39913</v>
          </cell>
        </row>
        <row r="105">
          <cell r="A105">
            <v>39916</v>
          </cell>
        </row>
        <row r="106">
          <cell r="A106">
            <v>39972</v>
          </cell>
        </row>
        <row r="107">
          <cell r="A107">
            <v>40120</v>
          </cell>
        </row>
        <row r="108">
          <cell r="A108">
            <v>40172</v>
          </cell>
        </row>
        <row r="109">
          <cell r="A109">
            <v>39913</v>
          </cell>
        </row>
        <row r="110">
          <cell r="A110">
            <v>39916</v>
          </cell>
        </row>
        <row r="111">
          <cell r="A111">
            <v>39972</v>
          </cell>
        </row>
        <row r="112">
          <cell r="A112">
            <v>40028</v>
          </cell>
        </row>
        <row r="113">
          <cell r="A113">
            <v>40091</v>
          </cell>
        </row>
        <row r="114">
          <cell r="A114">
            <v>40172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names"/>
      <sheetName val="Balance Sheet"/>
    </sheetNames>
    <sheetDataSet>
      <sheetData sheetId="0">
        <row r="3">
          <cell r="B3" t="str">
            <v>Unit</v>
          </cell>
          <cell r="C3" t="str">
            <v>Descr</v>
          </cell>
        </row>
        <row r="4">
          <cell r="B4" t="str">
            <v>10000</v>
          </cell>
          <cell r="C4" t="str">
            <v>Duke Energy AUS (Bermuda)</v>
          </cell>
        </row>
        <row r="5">
          <cell r="B5" t="str">
            <v>10010</v>
          </cell>
          <cell r="C5" t="str">
            <v>Duke Energy International PL</v>
          </cell>
        </row>
        <row r="6">
          <cell r="B6" t="str">
            <v>10099</v>
          </cell>
          <cell r="C6" t="str">
            <v>Spare Shelf Companies</v>
          </cell>
        </row>
        <row r="7">
          <cell r="B7" t="str">
            <v>11000</v>
          </cell>
          <cell r="C7" t="str">
            <v>DE Australian Holdings Pty Ltd</v>
          </cell>
        </row>
        <row r="8">
          <cell r="B8" t="str">
            <v>11000</v>
          </cell>
          <cell r="C8" t="str">
            <v>DE Australian Holdings Pty Ltd</v>
          </cell>
        </row>
        <row r="9">
          <cell r="B9" t="str">
            <v>11010</v>
          </cell>
          <cell r="C9" t="str">
            <v>Duke Energy Australia Pty Ltd</v>
          </cell>
        </row>
        <row r="10">
          <cell r="B10" t="str">
            <v>11010</v>
          </cell>
          <cell r="C10" t="str">
            <v>Duke Energy Australia Pty Ltd</v>
          </cell>
        </row>
        <row r="11">
          <cell r="B11" t="str">
            <v>12000</v>
          </cell>
          <cell r="C11" t="str">
            <v>DEI Latrobe Power ASP</v>
          </cell>
        </row>
        <row r="12">
          <cell r="B12" t="str">
            <v>19900</v>
          </cell>
          <cell r="C12" t="str">
            <v>DE&amp;S Australia Pty Ltd</v>
          </cell>
        </row>
        <row r="13">
          <cell r="B13" t="str">
            <v>20099</v>
          </cell>
          <cell r="C13" t="str">
            <v>US Hedges(DEIAP Mgt reporting)</v>
          </cell>
        </row>
        <row r="14">
          <cell r="B14" t="str">
            <v>20819</v>
          </cell>
          <cell r="C14" t="str">
            <v>DA Pipeline Finance (Aus GAAP)</v>
          </cell>
        </row>
        <row r="15">
          <cell r="B15" t="str">
            <v>21019</v>
          </cell>
          <cell r="C15" t="str">
            <v>Duke Energy Aust (Aust GAAP)</v>
          </cell>
        </row>
        <row r="16">
          <cell r="B16" t="str">
            <v>21029</v>
          </cell>
          <cell r="C16" t="str">
            <v>Trading &amp; Marketing(Aust GAAP)</v>
          </cell>
        </row>
        <row r="17">
          <cell r="B17" t="str">
            <v>21039</v>
          </cell>
          <cell r="C17" t="str">
            <v>Duke Aust Ops (Aust GAAP)</v>
          </cell>
        </row>
        <row r="18">
          <cell r="B18" t="str">
            <v>21049</v>
          </cell>
          <cell r="C18" t="str">
            <v>DEI Qld Pipeline (Aust GAAP)</v>
          </cell>
        </row>
        <row r="19">
          <cell r="B19" t="str">
            <v>21059</v>
          </cell>
          <cell r="C19" t="str">
            <v>Duke Qld Pipeline (Aust GAAP)</v>
          </cell>
        </row>
        <row r="20">
          <cell r="B20" t="str">
            <v>21069</v>
          </cell>
          <cell r="C20" t="str">
            <v>DQP Partnership (Aust GAAP)</v>
          </cell>
        </row>
        <row r="21">
          <cell r="B21" t="str">
            <v>21099</v>
          </cell>
          <cell r="C21" t="str">
            <v>DE Aust Holdings (Aust GAAP)</v>
          </cell>
        </row>
        <row r="22">
          <cell r="B22" t="str">
            <v>21109</v>
          </cell>
          <cell r="C22" t="str">
            <v>WA Holdings (Aust GAAP)</v>
          </cell>
        </row>
        <row r="23">
          <cell r="B23" t="str">
            <v>21119</v>
          </cell>
          <cell r="C23" t="str">
            <v>DE WA Power (Aust GAAP)</v>
          </cell>
        </row>
        <row r="24">
          <cell r="B24" t="str">
            <v>21219</v>
          </cell>
          <cell r="C24" t="str">
            <v>Duke EGP (Aust GAAP)</v>
          </cell>
        </row>
        <row r="25">
          <cell r="B25" t="str">
            <v>21229</v>
          </cell>
          <cell r="C25" t="str">
            <v>DEI EGP (AUS GAAP)</v>
          </cell>
        </row>
        <row r="26">
          <cell r="B26" t="str">
            <v>21329</v>
          </cell>
          <cell r="C26" t="str">
            <v>Bairnsdale Power (Aust GAAP)</v>
          </cell>
        </row>
        <row r="27">
          <cell r="B27" t="str">
            <v>21809</v>
          </cell>
          <cell r="C27" t="str">
            <v>DE Development (Aust GAAP)</v>
          </cell>
        </row>
        <row r="28">
          <cell r="B28" t="str">
            <v>40010</v>
          </cell>
          <cell r="C28" t="str">
            <v>US Tax (Australia Development)</v>
          </cell>
        </row>
        <row r="29">
          <cell r="B29" t="str">
            <v>41600</v>
          </cell>
          <cell r="C29" t="str">
            <v>Duke Energy Asia Ltd</v>
          </cell>
        </row>
        <row r="30">
          <cell r="B30" t="str">
            <v>41610</v>
          </cell>
          <cell r="C30" t="str">
            <v>Philippines Development BRANCH</v>
          </cell>
        </row>
        <row r="31">
          <cell r="B31" t="str">
            <v>41800</v>
          </cell>
          <cell r="C31" t="str">
            <v>Duke Energy Development PL</v>
          </cell>
        </row>
        <row r="32">
          <cell r="B32" t="str">
            <v>41810</v>
          </cell>
          <cell r="C32" t="str">
            <v>ACN 079 137 394 Pty Ltd</v>
          </cell>
        </row>
        <row r="33">
          <cell r="B33" t="str">
            <v>42100</v>
          </cell>
          <cell r="C33" t="str">
            <v>DEI Southeast Asia Pte Ltd</v>
          </cell>
        </row>
        <row r="34">
          <cell r="B34" t="str">
            <v>51020</v>
          </cell>
          <cell r="C34" t="str">
            <v>Duke Trading &amp; Marketing PL</v>
          </cell>
        </row>
        <row r="35">
          <cell r="B35" t="str">
            <v>51020</v>
          </cell>
          <cell r="C35" t="str">
            <v>Duke Trading &amp; Marketing PL</v>
          </cell>
        </row>
        <row r="36">
          <cell r="B36" t="str">
            <v>51070</v>
          </cell>
          <cell r="C36" t="str">
            <v>DEA T&amp;M Physical</v>
          </cell>
        </row>
        <row r="37">
          <cell r="B37" t="str">
            <v>51070</v>
          </cell>
          <cell r="C37" t="str">
            <v>DEA T&amp;M Physical</v>
          </cell>
        </row>
        <row r="38">
          <cell r="B38" t="str">
            <v>70700</v>
          </cell>
          <cell r="C38" t="str">
            <v>DA Generation Holdings Pty Ltd</v>
          </cell>
        </row>
        <row r="39">
          <cell r="B39" t="str">
            <v>71039</v>
          </cell>
          <cell r="C39" t="str">
            <v>DAO Bell Bay Ops</v>
          </cell>
        </row>
        <row r="40">
          <cell r="B40" t="str">
            <v>71039</v>
          </cell>
          <cell r="C40" t="str">
            <v>DAO Bell Bay Ops</v>
          </cell>
        </row>
        <row r="41">
          <cell r="B41" t="str">
            <v>71100</v>
          </cell>
          <cell r="C41" t="str">
            <v>DE WA Holdings Pty Ltd</v>
          </cell>
        </row>
        <row r="42">
          <cell r="B42" t="str">
            <v>71101</v>
          </cell>
          <cell r="C42" t="str">
            <v>WA Hold 1% Share Pilbara JV</v>
          </cell>
        </row>
        <row r="43">
          <cell r="B43" t="str">
            <v>71110</v>
          </cell>
          <cell r="C43" t="str">
            <v>Duke Energy WA Power Pty Ltd</v>
          </cell>
        </row>
        <row r="44">
          <cell r="B44" t="str">
            <v>71111</v>
          </cell>
          <cell r="C44" t="str">
            <v>WA Power 99% Share Pilbara JV</v>
          </cell>
        </row>
        <row r="45">
          <cell r="B45" t="str">
            <v>71120</v>
          </cell>
          <cell r="C45" t="str">
            <v>Pilbara Energy JV</v>
          </cell>
        </row>
        <row r="46">
          <cell r="B46" t="str">
            <v>71199</v>
          </cell>
          <cell r="C46" t="str">
            <v>Goldfield Gas Transmissions</v>
          </cell>
        </row>
        <row r="47">
          <cell r="B47" t="str">
            <v>71300</v>
          </cell>
          <cell r="C47" t="str">
            <v>DE Bairnsdale Holdings Pty Ltd</v>
          </cell>
        </row>
        <row r="48">
          <cell r="B48" t="str">
            <v>71320</v>
          </cell>
          <cell r="C48" t="str">
            <v>DE Bairnsdale Power Pty Ltd</v>
          </cell>
        </row>
        <row r="49">
          <cell r="B49" t="str">
            <v>71321</v>
          </cell>
          <cell r="C49" t="str">
            <v>B Power 74% share of BPP JV</v>
          </cell>
        </row>
        <row r="50">
          <cell r="B50" t="str">
            <v>71400</v>
          </cell>
          <cell r="C50" t="str">
            <v>DEI Victoria Power Pty Ltd</v>
          </cell>
        </row>
        <row r="51">
          <cell r="B51" t="str">
            <v>71401</v>
          </cell>
          <cell r="C51" t="str">
            <v>Vic Pow 26% Share BPP JV</v>
          </cell>
        </row>
        <row r="52">
          <cell r="B52" t="str">
            <v>71430</v>
          </cell>
          <cell r="C52" t="str">
            <v>DE Bairnsdale Operations PL</v>
          </cell>
        </row>
        <row r="53">
          <cell r="B53" t="str">
            <v>71440</v>
          </cell>
          <cell r="C53" t="str">
            <v>DE Bairnsdale Finance Pty Ltd</v>
          </cell>
        </row>
        <row r="54">
          <cell r="B54" t="str">
            <v>71450</v>
          </cell>
          <cell r="C54" t="str">
            <v>Bairnsdale Power Project JV</v>
          </cell>
        </row>
        <row r="55">
          <cell r="B55" t="str">
            <v>71500</v>
          </cell>
          <cell r="C55" t="str">
            <v>Not used</v>
          </cell>
        </row>
        <row r="56">
          <cell r="B56" t="str">
            <v>71510</v>
          </cell>
          <cell r="C56" t="str">
            <v>Duke Energy NZ Ltd (Bermuda)</v>
          </cell>
        </row>
        <row r="57">
          <cell r="B57" t="str">
            <v>71530</v>
          </cell>
          <cell r="C57" t="str">
            <v>Duke Energy NZ Finance Pty Ltd</v>
          </cell>
        </row>
        <row r="58">
          <cell r="B58" t="str">
            <v>71700</v>
          </cell>
          <cell r="C58" t="str">
            <v>Duke Netherlands LT Holding BV</v>
          </cell>
        </row>
        <row r="59">
          <cell r="B59" t="str">
            <v>71710</v>
          </cell>
          <cell r="C59" t="str">
            <v>PJP (pre 01-03-2002)</v>
          </cell>
        </row>
        <row r="60">
          <cell r="B60" t="str">
            <v>71711</v>
          </cell>
          <cell r="C60" t="str">
            <v>PT Puncakjaya Power</v>
          </cell>
        </row>
        <row r="61">
          <cell r="B61" t="str">
            <v>71720</v>
          </cell>
          <cell r="C61" t="str">
            <v>DEI PJP Holdings (Mauritius)</v>
          </cell>
        </row>
        <row r="62">
          <cell r="B62" t="str">
            <v>71730</v>
          </cell>
          <cell r="C62" t="str">
            <v>DEI PJP Holdings Ltd.(Bermuda)</v>
          </cell>
        </row>
        <row r="63">
          <cell r="B63" t="str">
            <v>71740</v>
          </cell>
          <cell r="C63" t="str">
            <v>Westcoast PJP Holdings Inc</v>
          </cell>
        </row>
        <row r="64">
          <cell r="B64" t="str">
            <v>72000</v>
          </cell>
          <cell r="C64" t="str">
            <v>DEI Illawarra Cogeneration PL</v>
          </cell>
        </row>
        <row r="65">
          <cell r="B65" t="str">
            <v>72200</v>
          </cell>
          <cell r="C65" t="str">
            <v>Westcoast Energy Australia PL</v>
          </cell>
        </row>
        <row r="66">
          <cell r="B66" t="str">
            <v>80800</v>
          </cell>
          <cell r="C66" t="str">
            <v>Duke Aust Pipeline Holdings PL</v>
          </cell>
        </row>
        <row r="67">
          <cell r="B67" t="str">
            <v>80810</v>
          </cell>
          <cell r="C67" t="str">
            <v>Duke Aust Pipeline Finance PL</v>
          </cell>
        </row>
        <row r="68">
          <cell r="B68" t="str">
            <v>81030</v>
          </cell>
          <cell r="C68" t="str">
            <v>Duke Australia Operations PL</v>
          </cell>
        </row>
        <row r="69">
          <cell r="B69" t="str">
            <v>81030</v>
          </cell>
          <cell r="C69" t="str">
            <v>Duke Australia Operations PL</v>
          </cell>
        </row>
        <row r="70">
          <cell r="B70" t="str">
            <v>81040</v>
          </cell>
          <cell r="C70" t="str">
            <v>DEI Queensland Pipeline PL</v>
          </cell>
        </row>
        <row r="71">
          <cell r="B71" t="str">
            <v>81040</v>
          </cell>
          <cell r="C71" t="str">
            <v>DEI Queensland Pipeline PL</v>
          </cell>
        </row>
        <row r="72">
          <cell r="B72" t="str">
            <v>81050</v>
          </cell>
          <cell r="C72" t="str">
            <v>Duke Queensland Pipeline PL</v>
          </cell>
        </row>
        <row r="73">
          <cell r="B73" t="str">
            <v>81050</v>
          </cell>
          <cell r="C73" t="str">
            <v>Duke Queensland Pipeline PL</v>
          </cell>
        </row>
        <row r="74">
          <cell r="B74" t="str">
            <v>81060</v>
          </cell>
          <cell r="C74" t="str">
            <v>Duke Qld Pipeline Partnership</v>
          </cell>
        </row>
        <row r="75">
          <cell r="B75" t="str">
            <v>81060</v>
          </cell>
          <cell r="C75" t="str">
            <v>Duke Qld Pipeline Partnership</v>
          </cell>
        </row>
        <row r="76">
          <cell r="B76" t="str">
            <v>81200</v>
          </cell>
          <cell r="C76" t="str">
            <v>DE NSW Gas Holdings Pty Ltd</v>
          </cell>
        </row>
        <row r="77">
          <cell r="B77" t="str">
            <v>81210</v>
          </cell>
          <cell r="C77" t="str">
            <v>Duke Eastern Gas Pipeline PL</v>
          </cell>
        </row>
        <row r="78">
          <cell r="B78" t="str">
            <v>81211</v>
          </cell>
          <cell r="C78" t="str">
            <v>Duke EGP 50% Share of EGPP JV</v>
          </cell>
        </row>
        <row r="79">
          <cell r="B79" t="str">
            <v>81220</v>
          </cell>
          <cell r="C79" t="str">
            <v>DEI Eastern Gas Pipeline PL</v>
          </cell>
        </row>
        <row r="80">
          <cell r="B80" t="str">
            <v>81221</v>
          </cell>
          <cell r="C80" t="str">
            <v>DEI EGP 50% Share of EGPP JV</v>
          </cell>
        </row>
        <row r="81">
          <cell r="B81" t="str">
            <v>81230</v>
          </cell>
          <cell r="C81" t="str">
            <v>EGP Joint Venture</v>
          </cell>
        </row>
        <row r="82">
          <cell r="B82" t="str">
            <v>81240</v>
          </cell>
          <cell r="C82" t="str">
            <v>Eastern Gas Pipeline Pty Ltd</v>
          </cell>
        </row>
        <row r="83">
          <cell r="B83" t="str">
            <v>81250</v>
          </cell>
          <cell r="C83" t="str">
            <v>EGP (Contracting) Pty Ltd</v>
          </cell>
        </row>
        <row r="84">
          <cell r="B84" t="str">
            <v>81900</v>
          </cell>
          <cell r="C84" t="str">
            <v>DEI Tasmania Holdings Pty Ltd</v>
          </cell>
        </row>
        <row r="85">
          <cell r="B85" t="str">
            <v>82300</v>
          </cell>
          <cell r="C85" t="str">
            <v>DEI Vic Hub Pty Ltd</v>
          </cell>
        </row>
        <row r="86">
          <cell r="B86" t="str">
            <v>E0000</v>
          </cell>
          <cell r="C86" t="str">
            <v>GAD Group (REPORTING ONLY)</v>
          </cell>
        </row>
        <row r="87">
          <cell r="B87" t="str">
            <v>E0001</v>
          </cell>
          <cell r="C87" t="str">
            <v>Bermuda Aust (ELIM)</v>
          </cell>
        </row>
        <row r="88">
          <cell r="B88" t="str">
            <v>E0002</v>
          </cell>
          <cell r="C88" t="str">
            <v>DE Development US (ELIM)</v>
          </cell>
        </row>
        <row r="89">
          <cell r="B89" t="str">
            <v>E0700</v>
          </cell>
          <cell r="C89" t="str">
            <v>DA Power Holdings (ELIM)</v>
          </cell>
        </row>
        <row r="90">
          <cell r="B90" t="str">
            <v>E0800</v>
          </cell>
          <cell r="C90" t="str">
            <v>DA Pipeline Holdings (Elim)</v>
          </cell>
        </row>
        <row r="91">
          <cell r="B91" t="str">
            <v>E1000</v>
          </cell>
          <cell r="C91" t="str">
            <v>Australian Holdings (ELIM)</v>
          </cell>
        </row>
        <row r="92">
          <cell r="B92" t="str">
            <v>E1000</v>
          </cell>
          <cell r="C92" t="str">
            <v>Australian Holdings (ELIM)</v>
          </cell>
        </row>
        <row r="93">
          <cell r="B93" t="str">
            <v>E1001</v>
          </cell>
          <cell r="C93" t="str">
            <v>DEI Aust Group (Elim)</v>
          </cell>
        </row>
        <row r="94">
          <cell r="B94" t="str">
            <v>E1010</v>
          </cell>
          <cell r="C94" t="str">
            <v>Queensland Gas ELIM</v>
          </cell>
        </row>
        <row r="95">
          <cell r="B95" t="str">
            <v>E1010</v>
          </cell>
          <cell r="C95" t="str">
            <v>Queensland Gas ELIM</v>
          </cell>
        </row>
        <row r="96">
          <cell r="B96" t="str">
            <v>E1050</v>
          </cell>
          <cell r="C96" t="str">
            <v>ELIM T&amp;M MTM Intercoy DEIAP</v>
          </cell>
        </row>
        <row r="97">
          <cell r="B97" t="str">
            <v>E1050</v>
          </cell>
          <cell r="C97" t="str">
            <v>ELIM T&amp;M MTM Intercoy DEIAP</v>
          </cell>
        </row>
        <row r="98">
          <cell r="B98" t="str">
            <v>E1100</v>
          </cell>
          <cell r="C98" t="str">
            <v>WA Holdings (ELIM)</v>
          </cell>
        </row>
        <row r="99">
          <cell r="B99" t="str">
            <v>E1200</v>
          </cell>
          <cell r="C99" t="str">
            <v>NSW Holdings (ELIM)</v>
          </cell>
        </row>
        <row r="100">
          <cell r="B100" t="str">
            <v>E1210</v>
          </cell>
          <cell r="C100" t="str">
            <v>Eastern Gas Coy</v>
          </cell>
        </row>
        <row r="101">
          <cell r="B101" t="str">
            <v>E1220</v>
          </cell>
          <cell r="C101" t="str">
            <v>DEI Eastern Gas Coy</v>
          </cell>
        </row>
        <row r="102">
          <cell r="B102" t="str">
            <v>E1400</v>
          </cell>
          <cell r="C102" t="str">
            <v>Victoria Power (ELIM)</v>
          </cell>
        </row>
        <row r="103">
          <cell r="B103" t="str">
            <v>E1401</v>
          </cell>
          <cell r="C103" t="str">
            <v>VIC Holdings Coy</v>
          </cell>
        </row>
        <row r="104">
          <cell r="B104" t="str">
            <v>E1402</v>
          </cell>
          <cell r="C104" t="str">
            <v>Bairnsdale Power Coy</v>
          </cell>
        </row>
        <row r="105">
          <cell r="B105" t="str">
            <v>E1500</v>
          </cell>
          <cell r="C105" t="str">
            <v>Not Used - Bermuda NZ (ELIM)</v>
          </cell>
        </row>
        <row r="106">
          <cell r="B106" t="str">
            <v>E1510</v>
          </cell>
          <cell r="C106" t="str">
            <v>NZ Elim</v>
          </cell>
        </row>
        <row r="107">
          <cell r="B107" t="str">
            <v>E1600</v>
          </cell>
          <cell r="C107" t="str">
            <v>Duke Energy Group US (ELIM)</v>
          </cell>
        </row>
        <row r="108">
          <cell r="B108" t="str">
            <v>E1700</v>
          </cell>
          <cell r="C108" t="str">
            <v>PJP Holdings (ELIM)</v>
          </cell>
        </row>
        <row r="109">
          <cell r="B109" t="str">
            <v>E1750</v>
          </cell>
          <cell r="C109" t="str">
            <v>PJP Manual Elim Houston</v>
          </cell>
        </row>
        <row r="110">
          <cell r="B110" t="str">
            <v>E1800</v>
          </cell>
          <cell r="C110" t="str">
            <v>DE Development Aust  (ELIM)</v>
          </cell>
        </row>
        <row r="111">
          <cell r="B111" t="str">
            <v>EOOOO</v>
          </cell>
          <cell r="C111" t="str">
            <v>Not used (ELIM)</v>
          </cell>
        </row>
        <row r="112">
          <cell r="B112" t="str">
            <v>Z8392</v>
          </cell>
          <cell r="C112" t="str">
            <v>Duke Energy &amp; Services Inc</v>
          </cell>
        </row>
        <row r="113">
          <cell r="B113" t="str">
            <v>ZA568</v>
          </cell>
          <cell r="C113" t="str">
            <v>Duke Capital Corp</v>
          </cell>
        </row>
        <row r="114">
          <cell r="B114" t="str">
            <v>ZI001</v>
          </cell>
          <cell r="C114" t="str">
            <v>Duke Energy International</v>
          </cell>
        </row>
        <row r="115">
          <cell r="B115" t="str">
            <v>ZI014</v>
          </cell>
          <cell r="C115" t="str">
            <v>Duke Energy Group</v>
          </cell>
        </row>
        <row r="116">
          <cell r="B116" t="str">
            <v>ZI020</v>
          </cell>
          <cell r="C116" t="str">
            <v>Duke Energy H.K</v>
          </cell>
        </row>
        <row r="117">
          <cell r="B117" t="str">
            <v>ZI033</v>
          </cell>
          <cell r="C117" t="str">
            <v>Texas Eatern Bermuda</v>
          </cell>
        </row>
        <row r="118">
          <cell r="B118" t="str">
            <v>ZI041</v>
          </cell>
          <cell r="C118" t="str">
            <v>DEI Argentina T&amp;M Bermuda</v>
          </cell>
        </row>
        <row r="119">
          <cell r="B119" t="str">
            <v>ZI062</v>
          </cell>
          <cell r="C119" t="str">
            <v>Hidroelec Cerros Colorado</v>
          </cell>
        </row>
        <row r="120">
          <cell r="B120" t="str">
            <v>ZI170</v>
          </cell>
          <cell r="C120" t="str">
            <v>DEI PJP (Ireland) Holdings</v>
          </cell>
        </row>
        <row r="121">
          <cell r="B121" t="str">
            <v>ZI173</v>
          </cell>
          <cell r="C121" t="str">
            <v>DEI Asia Pacfic Ltd ( Bermuda)</v>
          </cell>
        </row>
        <row r="122">
          <cell r="B122" t="str">
            <v>ZI210</v>
          </cell>
          <cell r="C122" t="str">
            <v>Westcoast Energy Int HO</v>
          </cell>
        </row>
        <row r="123">
          <cell r="B123" t="str">
            <v>ZI173</v>
          </cell>
          <cell r="C123" t="str">
            <v>DEI Asia Pacfic Ltd ( Bermuda)</v>
          </cell>
        </row>
        <row r="124">
          <cell r="B124" t="str">
            <v>ZI210</v>
          </cell>
          <cell r="C124" t="str">
            <v>Westcoast Energy Int HO</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ACT VS ACT SUM"/>
      <sheetName val="ACT VS BUD SUM"/>
      <sheetName val="AFUDC-Eqty Budget"/>
      <sheetName val="AFUDC-Debt Budget"/>
      <sheetName val="Module1"/>
      <sheetName val="Module2"/>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B-2"/>
      <sheetName val="SCH B-2.1"/>
      <sheetName val="SCH B-2.2"/>
      <sheetName val="SCH B-2.3"/>
      <sheetName val="SCH B-2.4"/>
      <sheetName val="SCH B-2.5"/>
      <sheetName val="SCH B-2.6"/>
      <sheetName val="SCH B-2.7"/>
      <sheetName val="SCH B-3"/>
      <sheetName val="SCH B-3.1"/>
      <sheetName val="SCH B-3.2 - Proposed"/>
      <sheetName val="SCH_D2.21"/>
    </sheetNames>
    <sheetDataSet>
      <sheetData sheetId="0" refreshError="1"/>
      <sheetData sheetId="1">
        <row r="259">
          <cell r="C259">
            <v>0.72819999999999996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8"/>
  <sheetViews>
    <sheetView topLeftCell="A19" zoomScale="80" zoomScaleNormal="80" workbookViewId="0">
      <selection activeCell="H103" sqref="H103"/>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0" t="s">
        <v>66</v>
      </c>
    </row>
    <row r="4" spans="1:22" x14ac:dyDescent="0.2">
      <c r="A4" s="99"/>
      <c r="B4" s="7"/>
      <c r="C4" s="3"/>
      <c r="D4" s="3"/>
      <c r="E4" s="3"/>
      <c r="F4" s="8"/>
      <c r="G4" s="147"/>
      <c r="H4" s="8"/>
      <c r="I4" s="9"/>
      <c r="J4" s="9"/>
      <c r="K4" s="9"/>
      <c r="M4" s="10"/>
      <c r="P4" s="170" t="s">
        <v>1</v>
      </c>
    </row>
    <row r="5" spans="1:22" x14ac:dyDescent="0.2">
      <c r="E5" s="170" t="s">
        <v>2</v>
      </c>
      <c r="F5" s="170" t="s">
        <v>3</v>
      </c>
      <c r="G5" s="170" t="s">
        <v>4</v>
      </c>
      <c r="H5" s="170"/>
      <c r="I5" s="111" t="s">
        <v>208</v>
      </c>
      <c r="J5" s="13" t="s">
        <v>180</v>
      </c>
      <c r="K5" s="111" t="s">
        <v>209</v>
      </c>
      <c r="L5" s="170" t="s">
        <v>5</v>
      </c>
      <c r="M5" s="11" t="s">
        <v>6</v>
      </c>
      <c r="N5" s="11" t="s">
        <v>0</v>
      </c>
      <c r="O5" s="11" t="s">
        <v>8</v>
      </c>
      <c r="P5" s="170" t="s">
        <v>9</v>
      </c>
      <c r="Q5" s="576" t="s">
        <v>10</v>
      </c>
      <c r="R5" s="576"/>
      <c r="U5" s="12" t="s">
        <v>11</v>
      </c>
    </row>
    <row r="6" spans="1:22" x14ac:dyDescent="0.2">
      <c r="E6" s="13">
        <v>42004</v>
      </c>
      <c r="F6" s="13" t="s">
        <v>12</v>
      </c>
      <c r="G6" s="14" t="s">
        <v>13</v>
      </c>
      <c r="H6" s="14" t="s">
        <v>8</v>
      </c>
      <c r="I6" s="112">
        <v>42035</v>
      </c>
      <c r="J6" s="13" t="s">
        <v>210</v>
      </c>
      <c r="K6" s="112">
        <f>I6</f>
        <v>42035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v>1091242.7799999989</v>
      </c>
      <c r="F9" s="30">
        <v>0</v>
      </c>
      <c r="G9" s="33">
        <v>-1091242.78</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v>1921395.66</v>
      </c>
      <c r="F10" s="33">
        <v>0</v>
      </c>
      <c r="G10" s="33">
        <v>-1921395.66</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3012638.4399999985</v>
      </c>
      <c r="F12" s="29">
        <f t="shared" ref="F12:J12" si="0">SUM(F9:F10)</f>
        <v>0</v>
      </c>
      <c r="G12" s="29">
        <f t="shared" si="0"/>
        <v>-3012638.44</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v>559677.81000000006</v>
      </c>
      <c r="F15" s="30">
        <v>0</v>
      </c>
      <c r="G15" s="33">
        <v>0</v>
      </c>
      <c r="H15" s="30">
        <v>0</v>
      </c>
      <c r="I15" s="115">
        <f>E15+F15+G15+H15</f>
        <v>559677.81000000006</v>
      </c>
      <c r="J15" s="30">
        <v>0</v>
      </c>
      <c r="K15" s="115">
        <f>I15+J15</f>
        <v>559677.81000000006</v>
      </c>
      <c r="M15" s="20"/>
      <c r="S15" s="18"/>
    </row>
    <row r="16" spans="1:22" x14ac:dyDescent="0.2">
      <c r="A16" s="100" t="s">
        <v>157</v>
      </c>
      <c r="B16" s="28"/>
      <c r="C16" s="28" t="s">
        <v>37</v>
      </c>
      <c r="D16" s="4" t="s">
        <v>192</v>
      </c>
      <c r="E16" s="29">
        <v>1590647</v>
      </c>
      <c r="F16" s="30">
        <v>0</v>
      </c>
      <c r="G16" s="129">
        <v>0</v>
      </c>
      <c r="H16" s="129">
        <v>0</v>
      </c>
      <c r="I16" s="115">
        <f>E16+F16+G16+H16</f>
        <v>1590647</v>
      </c>
      <c r="J16" s="30">
        <v>0</v>
      </c>
      <c r="K16" s="115">
        <f>I16+J16</f>
        <v>1590647</v>
      </c>
      <c r="L16" s="4" t="s">
        <v>88</v>
      </c>
      <c r="M16" s="20"/>
      <c r="P16" s="58"/>
      <c r="R16" s="4" t="s">
        <v>96</v>
      </c>
      <c r="S16" s="18">
        <v>186342</v>
      </c>
    </row>
    <row r="17" spans="1:21" x14ac:dyDescent="0.2">
      <c r="A17" s="100" t="s">
        <v>183</v>
      </c>
      <c r="B17" s="28"/>
      <c r="C17" s="28" t="s">
        <v>184</v>
      </c>
      <c r="D17" s="4" t="s">
        <v>202</v>
      </c>
      <c r="E17" s="29">
        <v>0</v>
      </c>
      <c r="F17" s="30">
        <v>0</v>
      </c>
      <c r="G17" s="144">
        <v>0</v>
      </c>
      <c r="H17" s="33">
        <v>0</v>
      </c>
      <c r="I17" s="115">
        <f>E17+F17+G17+H17</f>
        <v>0</v>
      </c>
      <c r="J17" s="30">
        <v>3302380.16</v>
      </c>
      <c r="K17" s="115">
        <f t="shared" ref="K17" si="1">I17+J17</f>
        <v>3302380.16</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0</v>
      </c>
      <c r="H19" s="29">
        <f t="shared" si="2"/>
        <v>0</v>
      </c>
      <c r="I19" s="117">
        <f t="shared" si="2"/>
        <v>2150324.81</v>
      </c>
      <c r="J19" s="29">
        <f t="shared" si="2"/>
        <v>3302380.16</v>
      </c>
      <c r="K19" s="117">
        <f t="shared" si="2"/>
        <v>5452704.9700000007</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v>1987853.8500000003</v>
      </c>
      <c r="F22" s="33">
        <v>0</v>
      </c>
      <c r="G22" s="130">
        <v>0</v>
      </c>
      <c r="H22" s="130">
        <v>-22206.18</v>
      </c>
      <c r="I22" s="115">
        <f>E22+F22+G22+H22</f>
        <v>1965647.6700000004</v>
      </c>
      <c r="J22" s="33">
        <v>-266474.15999999997</v>
      </c>
      <c r="K22" s="115">
        <f>I22+J22</f>
        <v>1699173.5100000005</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1987853.8500000003</v>
      </c>
      <c r="F24" s="29">
        <f t="shared" ref="F24:K24" si="3">SUM(F22:F23)</f>
        <v>0</v>
      </c>
      <c r="G24" s="151">
        <f t="shared" si="3"/>
        <v>0</v>
      </c>
      <c r="H24" s="29">
        <f t="shared" si="3"/>
        <v>-22206.18</v>
      </c>
      <c r="I24" s="117">
        <f t="shared" si="3"/>
        <v>1965647.6700000004</v>
      </c>
      <c r="J24" s="29">
        <f t="shared" si="3"/>
        <v>-266474.15999999997</v>
      </c>
      <c r="K24" s="117">
        <f t="shared" si="3"/>
        <v>1699173.5100000005</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v>1509623</v>
      </c>
      <c r="F27" s="33">
        <v>0</v>
      </c>
      <c r="G27" s="33">
        <v>0</v>
      </c>
      <c r="H27" s="29">
        <v>0</v>
      </c>
      <c r="I27" s="115">
        <f>E27+F27+G27+H27</f>
        <v>1509623</v>
      </c>
      <c r="J27" s="33">
        <v>0</v>
      </c>
      <c r="K27" s="115">
        <f>I27+J27</f>
        <v>1509623</v>
      </c>
      <c r="L27" s="4" t="s">
        <v>22</v>
      </c>
      <c r="M27" s="20"/>
      <c r="S27" s="28" t="s">
        <v>23</v>
      </c>
    </row>
    <row r="28" spans="1:21" ht="13.5" customHeight="1" x14ac:dyDescent="0.2">
      <c r="A28" s="100" t="s">
        <v>80</v>
      </c>
      <c r="B28" s="28"/>
      <c r="C28" s="28" t="s">
        <v>24</v>
      </c>
      <c r="D28" s="4" t="s">
        <v>204</v>
      </c>
      <c r="E28" s="29">
        <v>-557987.80000000005</v>
      </c>
      <c r="F28" s="33">
        <v>0</v>
      </c>
      <c r="G28" s="33">
        <v>0</v>
      </c>
      <c r="H28" s="32">
        <v>0</v>
      </c>
      <c r="I28" s="115">
        <f>E28+F28+G28+H28</f>
        <v>-557987.80000000005</v>
      </c>
      <c r="J28" s="33">
        <v>0</v>
      </c>
      <c r="K28" s="115">
        <f>I28+J28</f>
        <v>-557987.80000000005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0</v>
      </c>
      <c r="H30" s="130">
        <f t="shared" si="4"/>
        <v>0</v>
      </c>
      <c r="I30" s="115">
        <f t="shared" si="4"/>
        <v>951635.2</v>
      </c>
      <c r="J30" s="33">
        <f t="shared" si="4"/>
        <v>0</v>
      </c>
      <c r="K30" s="115">
        <f t="shared" si="4"/>
        <v>951635.2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v>8973145.4299999997</v>
      </c>
      <c r="F52" s="33">
        <v>0</v>
      </c>
      <c r="G52" s="33">
        <v>-109269.78</v>
      </c>
      <c r="H52" s="33">
        <v>0</v>
      </c>
      <c r="I52" s="115">
        <f>E52+F52+G52+H52</f>
        <v>8863875.6500000004</v>
      </c>
      <c r="J52" s="33">
        <v>-3035906</v>
      </c>
      <c r="K52" s="115">
        <f>I52+J52</f>
        <v>5827969.6500000004</v>
      </c>
      <c r="M52" s="20"/>
      <c r="N52" s="6" t="s">
        <v>67</v>
      </c>
      <c r="O52" s="6" t="s">
        <v>68</v>
      </c>
      <c r="P52" s="51" t="s">
        <v>69</v>
      </c>
      <c r="R52" s="4" t="s">
        <v>30</v>
      </c>
      <c r="S52" s="18">
        <v>182401</v>
      </c>
      <c r="U52" s="39" t="s">
        <v>31</v>
      </c>
    </row>
    <row r="53" spans="1:23" ht="25.5" x14ac:dyDescent="0.2">
      <c r="A53" s="100" t="s">
        <v>160</v>
      </c>
      <c r="B53" s="28"/>
      <c r="C53" s="28" t="s">
        <v>35</v>
      </c>
      <c r="D53" s="4" t="s">
        <v>212</v>
      </c>
      <c r="E53" s="29">
        <v>5690225</v>
      </c>
      <c r="F53" s="33">
        <v>0</v>
      </c>
      <c r="G53" s="130">
        <v>0</v>
      </c>
      <c r="H53" s="130">
        <v>0</v>
      </c>
      <c r="I53" s="115">
        <f>E53+F53+G53+H53</f>
        <v>5690225</v>
      </c>
      <c r="J53" s="33">
        <v>0</v>
      </c>
      <c r="K53" s="115">
        <f>I53+J53</f>
        <v>5690225</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v>1200000</v>
      </c>
      <c r="F59" s="33">
        <v>0</v>
      </c>
      <c r="G59" s="33">
        <v>0</v>
      </c>
      <c r="H59" s="33">
        <v>0</v>
      </c>
      <c r="I59" s="115">
        <f>E59+F59+G59+H59</f>
        <v>1200000</v>
      </c>
      <c r="J59" s="33">
        <v>0</v>
      </c>
      <c r="K59" s="115">
        <f>I59+J59</f>
        <v>1200000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v>4912684</v>
      </c>
      <c r="F63" s="33">
        <v>0</v>
      </c>
      <c r="G63" s="44">
        <v>0</v>
      </c>
      <c r="H63" s="33">
        <v>0</v>
      </c>
      <c r="I63" s="115">
        <f>E63+F63+G63+H63</f>
        <v>4912684</v>
      </c>
      <c r="J63" s="33">
        <v>0</v>
      </c>
      <c r="K63" s="115">
        <f>I63+J63</f>
        <v>4912684</v>
      </c>
      <c r="M63" s="20" t="s">
        <v>112</v>
      </c>
      <c r="S63" s="18"/>
    </row>
    <row r="64" spans="1:23" hidden="1"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v>0</v>
      </c>
      <c r="F65" s="33">
        <v>0</v>
      </c>
      <c r="G65" s="161">
        <v>0</v>
      </c>
      <c r="H65" s="33">
        <v>0</v>
      </c>
      <c r="I65" s="115">
        <f t="shared" si="5"/>
        <v>0</v>
      </c>
      <c r="J65" s="33">
        <f>F65+G65+H65+I65</f>
        <v>0</v>
      </c>
      <c r="K65" s="115">
        <f t="shared" si="6"/>
        <v>0</v>
      </c>
      <c r="M65" s="20"/>
      <c r="S65" s="18"/>
    </row>
    <row r="66" spans="1:21" ht="12.75"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171"/>
      <c r="F67" s="172"/>
      <c r="G67" s="33">
        <v>1200459.8400000001</v>
      </c>
      <c r="H67" s="172"/>
      <c r="I67" s="115">
        <f t="shared" si="5"/>
        <v>1200459.8400000001</v>
      </c>
      <c r="J67" s="172"/>
      <c r="K67" s="115">
        <f t="shared" si="6"/>
        <v>1200459.8400000001</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173"/>
      <c r="F69" s="174"/>
      <c r="G69" s="177">
        <v>228.93</v>
      </c>
      <c r="H69" s="36"/>
      <c r="I69" s="116">
        <f t="shared" si="5"/>
        <v>228.93</v>
      </c>
      <c r="J69" s="36"/>
      <c r="K69" s="116">
        <f t="shared" si="6"/>
        <v>228.93</v>
      </c>
      <c r="M69" s="178" t="s">
        <v>235</v>
      </c>
      <c r="S69" s="18"/>
    </row>
    <row r="70" spans="1:21" x14ac:dyDescent="0.2">
      <c r="B70" s="54"/>
      <c r="C70" s="28"/>
      <c r="E70" s="29">
        <f>SUM(E42:E69)</f>
        <v>20776054.43</v>
      </c>
      <c r="F70" s="29">
        <f>SUM(F39:F65)+F36</f>
        <v>0</v>
      </c>
      <c r="G70" s="29">
        <f>SUM(G39:G69)+G36</f>
        <v>1091418.99</v>
      </c>
      <c r="H70" s="29">
        <f>SUM(H39:H65)+H36</f>
        <v>0</v>
      </c>
      <c r="I70" s="117">
        <f>SUM(I39:I69)+I36</f>
        <v>21867473.419999998</v>
      </c>
      <c r="J70" s="29">
        <f>SUM(J39:J69)+J36</f>
        <v>-3035906</v>
      </c>
      <c r="K70" s="117">
        <f>SUM(K39:K69)+K36</f>
        <v>18831567.419999998</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v>21496048.440000001</v>
      </c>
      <c r="F74" s="30">
        <v>0</v>
      </c>
      <c r="G74" s="130">
        <v>0</v>
      </c>
      <c r="H74" s="129">
        <v>0</v>
      </c>
      <c r="I74" s="115">
        <f>E74+F74+G74+H74</f>
        <v>21496048.440000001</v>
      </c>
      <c r="J74" s="30">
        <v>0</v>
      </c>
      <c r="K74" s="115">
        <f t="shared" ref="K74:K76" si="7">I74+J74</f>
        <v>21496048.440000001</v>
      </c>
      <c r="M74" s="20"/>
      <c r="P74" s="58"/>
      <c r="S74" s="18">
        <v>186801</v>
      </c>
    </row>
    <row r="75" spans="1:21" x14ac:dyDescent="0.2">
      <c r="A75" s="108" t="s">
        <v>171</v>
      </c>
      <c r="B75" s="28"/>
      <c r="C75" s="28" t="s">
        <v>122</v>
      </c>
      <c r="D75" s="4" t="s">
        <v>225</v>
      </c>
      <c r="E75" s="29">
        <v>3245961.55</v>
      </c>
      <c r="F75" s="30">
        <v>0</v>
      </c>
      <c r="G75" s="130">
        <v>0</v>
      </c>
      <c r="H75" s="129">
        <v>0</v>
      </c>
      <c r="I75" s="115">
        <f>E75+F75+G75+H75</f>
        <v>3245961.55</v>
      </c>
      <c r="J75" s="30">
        <v>0</v>
      </c>
      <c r="K75" s="115">
        <f t="shared" si="7"/>
        <v>3245961.55</v>
      </c>
      <c r="M75" s="20"/>
      <c r="P75" s="58"/>
      <c r="S75" s="18"/>
    </row>
    <row r="76" spans="1:21" x14ac:dyDescent="0.2">
      <c r="A76" s="108" t="s">
        <v>172</v>
      </c>
      <c r="B76" s="28"/>
      <c r="C76" s="28" t="s">
        <v>123</v>
      </c>
      <c r="D76" s="4" t="s">
        <v>226</v>
      </c>
      <c r="E76" s="29">
        <v>64035.05</v>
      </c>
      <c r="F76" s="30">
        <v>0</v>
      </c>
      <c r="G76" s="130">
        <v>0</v>
      </c>
      <c r="H76" s="129">
        <v>0</v>
      </c>
      <c r="I76" s="115">
        <f>E76+F76+G76+H76</f>
        <v>64035.05</v>
      </c>
      <c r="J76" s="30">
        <v>0</v>
      </c>
      <c r="K76" s="115">
        <f t="shared" si="7"/>
        <v>64035.05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0</v>
      </c>
      <c r="H78" s="29">
        <f t="shared" si="8"/>
        <v>0</v>
      </c>
      <c r="I78" s="117">
        <f t="shared" si="8"/>
        <v>24806045.040000003</v>
      </c>
      <c r="J78" s="29">
        <f t="shared" si="8"/>
        <v>0</v>
      </c>
      <c r="K78" s="117">
        <f t="shared" si="8"/>
        <v>24806045.040000003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53684551.770000003</v>
      </c>
      <c r="F84" s="133">
        <f t="shared" si="10"/>
        <v>0</v>
      </c>
      <c r="G84" s="133">
        <f t="shared" si="10"/>
        <v>-1921219.45</v>
      </c>
      <c r="H84" s="133">
        <f t="shared" si="10"/>
        <v>-22206.18</v>
      </c>
      <c r="I84" s="134">
        <f t="shared" si="10"/>
        <v>51741126.140000001</v>
      </c>
      <c r="J84" s="133">
        <f t="shared" si="10"/>
        <v>0</v>
      </c>
      <c r="K84" s="134">
        <f t="shared" si="10"/>
        <v>51741126.140000001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v>0</v>
      </c>
      <c r="F87" s="30">
        <v>0</v>
      </c>
      <c r="G87" s="33">
        <f>5176803.66+51516.8</f>
        <v>5228320.46</v>
      </c>
      <c r="H87" s="33">
        <v>-863295.31</v>
      </c>
      <c r="I87" s="115">
        <f t="shared" ref="I87:I92" si="11">E87+F87+G87+H87</f>
        <v>4365025.1500000004</v>
      </c>
      <c r="J87" s="30">
        <v>0</v>
      </c>
      <c r="K87" s="115">
        <f t="shared" ref="K87:K92" si="12">I87+J87</f>
        <v>4365025.1500000004</v>
      </c>
      <c r="L87" s="4" t="s">
        <v>22</v>
      </c>
      <c r="M87" s="33"/>
      <c r="N87" s="42"/>
      <c r="O87" s="42"/>
      <c r="S87" s="18">
        <v>191400</v>
      </c>
      <c r="T87" s="58"/>
    </row>
    <row r="88" spans="1:20" x14ac:dyDescent="0.2">
      <c r="A88" s="100" t="s">
        <v>115</v>
      </c>
      <c r="B88" s="18"/>
      <c r="C88" s="28" t="s">
        <v>53</v>
      </c>
      <c r="D88" s="4" t="s">
        <v>115</v>
      </c>
      <c r="E88" s="29">
        <v>0</v>
      </c>
      <c r="F88" s="30">
        <v>0</v>
      </c>
      <c r="G88" s="33">
        <v>-3518040</v>
      </c>
      <c r="H88" s="33">
        <v>0</v>
      </c>
      <c r="I88" s="115">
        <f t="shared" si="11"/>
        <v>-3518040</v>
      </c>
      <c r="J88" s="30">
        <v>0</v>
      </c>
      <c r="K88" s="115">
        <f t="shared" si="12"/>
        <v>-3518040</v>
      </c>
      <c r="L88" s="4" t="s">
        <v>22</v>
      </c>
      <c r="M88" s="30"/>
      <c r="N88" s="42"/>
      <c r="O88" s="42"/>
      <c r="S88" s="18">
        <v>191800</v>
      </c>
      <c r="T88" s="58"/>
    </row>
    <row r="89" spans="1:20" ht="12.75" customHeight="1" x14ac:dyDescent="0.2">
      <c r="A89" s="100" t="s">
        <v>117</v>
      </c>
      <c r="B89" s="18"/>
      <c r="C89" s="28" t="s">
        <v>77</v>
      </c>
      <c r="D89" s="4" t="s">
        <v>117</v>
      </c>
      <c r="E89" s="29">
        <v>-611022</v>
      </c>
      <c r="F89" s="30">
        <v>0</v>
      </c>
      <c r="G89" s="30">
        <v>0</v>
      </c>
      <c r="H89" s="33">
        <v>0</v>
      </c>
      <c r="I89" s="115">
        <f t="shared" si="11"/>
        <v>-611022</v>
      </c>
      <c r="J89" s="30">
        <v>0</v>
      </c>
      <c r="K89" s="115">
        <f t="shared" si="12"/>
        <v>-611022</v>
      </c>
      <c r="M89" s="20"/>
      <c r="N89" s="42"/>
      <c r="O89" s="42"/>
      <c r="S89" s="18">
        <v>242995</v>
      </c>
      <c r="T89" s="58"/>
    </row>
    <row r="90" spans="1:20" x14ac:dyDescent="0.2">
      <c r="A90" s="100" t="s">
        <v>119</v>
      </c>
      <c r="B90" s="18"/>
      <c r="C90" s="28" t="s">
        <v>118</v>
      </c>
      <c r="D90" s="4" t="s">
        <v>119</v>
      </c>
      <c r="E90" s="29">
        <v>-3.1650415621697903E-10</v>
      </c>
      <c r="F90" s="30">
        <v>0</v>
      </c>
      <c r="G90" s="30">
        <v>-592321.47</v>
      </c>
      <c r="H90" s="33">
        <v>0</v>
      </c>
      <c r="I90" s="115">
        <f t="shared" si="11"/>
        <v>-592321.47000000032</v>
      </c>
      <c r="J90" s="30">
        <v>0</v>
      </c>
      <c r="K90" s="115">
        <f t="shared" si="12"/>
        <v>-592321.47000000032</v>
      </c>
      <c r="M90" s="20"/>
      <c r="N90" s="42"/>
      <c r="O90" s="42"/>
      <c r="S90" s="18">
        <v>242997</v>
      </c>
      <c r="T90" s="58"/>
    </row>
    <row r="91" spans="1:20" x14ac:dyDescent="0.2">
      <c r="A91" s="100" t="s">
        <v>120</v>
      </c>
      <c r="B91" s="18"/>
      <c r="C91" s="28" t="s">
        <v>54</v>
      </c>
      <c r="D91" s="4" t="s">
        <v>120</v>
      </c>
      <c r="E91" s="29">
        <v>56471.830000000031</v>
      </c>
      <c r="F91" s="33">
        <v>0</v>
      </c>
      <c r="G91" s="33">
        <v>14</v>
      </c>
      <c r="H91" s="33">
        <v>-2110.7199999999998</v>
      </c>
      <c r="I91" s="115">
        <f t="shared" si="11"/>
        <v>54375.11000000003</v>
      </c>
      <c r="J91" s="33">
        <v>0</v>
      </c>
      <c r="K91" s="115">
        <f t="shared" si="12"/>
        <v>54375.11000000003</v>
      </c>
      <c r="L91" s="4" t="s">
        <v>22</v>
      </c>
      <c r="M91" s="42"/>
      <c r="N91" s="42"/>
      <c r="O91" s="42"/>
      <c r="S91" s="18">
        <v>253130</v>
      </c>
      <c r="T91" s="58"/>
    </row>
    <row r="92" spans="1:20" x14ac:dyDescent="0.2">
      <c r="A92" s="100" t="s">
        <v>156</v>
      </c>
      <c r="B92" s="18"/>
      <c r="C92" s="28" t="s">
        <v>116</v>
      </c>
      <c r="D92" s="4" t="s">
        <v>211</v>
      </c>
      <c r="E92" s="29">
        <v>-430047.89000000013</v>
      </c>
      <c r="F92" s="33"/>
      <c r="G92" s="33">
        <v>-227678.72</v>
      </c>
      <c r="H92" s="33">
        <v>0</v>
      </c>
      <c r="I92" s="115">
        <f t="shared" si="11"/>
        <v>-657726.6100000001</v>
      </c>
      <c r="J92" s="30">
        <v>0</v>
      </c>
      <c r="K92" s="115">
        <f t="shared" si="12"/>
        <v>-657726.6100000001</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-984598.06000000041</v>
      </c>
      <c r="F94" s="33">
        <f t="shared" si="13"/>
        <v>0</v>
      </c>
      <c r="G94" s="33">
        <f t="shared" si="13"/>
        <v>890294.27</v>
      </c>
      <c r="H94" s="33">
        <f t="shared" si="13"/>
        <v>-865406.03</v>
      </c>
      <c r="I94" s="115">
        <f t="shared" si="13"/>
        <v>-959709.82000000007</v>
      </c>
      <c r="J94" s="33">
        <f t="shared" si="13"/>
        <v>0</v>
      </c>
      <c r="K94" s="115">
        <f t="shared" si="13"/>
        <v>-959709.82000000007</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Dec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v>-3835078.63</v>
      </c>
      <c r="F102" s="30">
        <v>0</v>
      </c>
      <c r="G102" s="130">
        <v>0</v>
      </c>
      <c r="H102" s="130">
        <v>0</v>
      </c>
      <c r="I102" s="125">
        <f>E102+G102+H102+F102</f>
        <v>-3835078.63</v>
      </c>
      <c r="J102" s="91">
        <v>0</v>
      </c>
      <c r="K102" s="115">
        <f>I102+J102</f>
        <v>-3835078.63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hidden="1" x14ac:dyDescent="0.2">
      <c r="A105" s="100" t="s">
        <v>163</v>
      </c>
      <c r="B105" s="18"/>
      <c r="C105" s="28" t="s">
        <v>48</v>
      </c>
      <c r="D105" s="4" t="s">
        <v>195</v>
      </c>
      <c r="E105" s="29">
        <v>0</v>
      </c>
      <c r="F105" s="30">
        <v>0</v>
      </c>
      <c r="G105" s="155">
        <v>0</v>
      </c>
      <c r="H105" s="130">
        <v>0</v>
      </c>
      <c r="I105" s="115">
        <f>E105+F105+G105+H105</f>
        <v>0</v>
      </c>
      <c r="J105" s="30">
        <v>0</v>
      </c>
      <c r="K105" s="115">
        <f t="shared" ref="K105:K107" si="15">I105+J105</f>
        <v>0</v>
      </c>
      <c r="M105" s="62"/>
      <c r="P105" s="51"/>
      <c r="Q105" s="18"/>
      <c r="R105" s="58"/>
      <c r="S105" s="18">
        <v>254998</v>
      </c>
    </row>
    <row r="106" spans="1:23" hidden="1" x14ac:dyDescent="0.2">
      <c r="A106" s="100" t="s">
        <v>179</v>
      </c>
      <c r="B106" s="18"/>
      <c r="C106" s="28" t="s">
        <v>47</v>
      </c>
      <c r="D106" s="4" t="s">
        <v>196</v>
      </c>
      <c r="E106" s="29">
        <v>0</v>
      </c>
      <c r="F106" s="30">
        <v>0</v>
      </c>
      <c r="G106" s="154">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v>-19521.540000000005</v>
      </c>
      <c r="F107" s="30">
        <v>0</v>
      </c>
      <c r="G107" s="130">
        <v>1103.6400000000001</v>
      </c>
      <c r="H107" s="130">
        <v>0</v>
      </c>
      <c r="I107" s="115">
        <f>E107+F107+G107+H107</f>
        <v>-18417.900000000005</v>
      </c>
      <c r="J107" s="30">
        <v>0</v>
      </c>
      <c r="K107" s="115">
        <f t="shared" si="15"/>
        <v>-18417.900000000005</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-19521.540000000005</v>
      </c>
      <c r="F109" s="30">
        <f t="shared" ref="F109:K109" si="17">SUM(F105:F108)</f>
        <v>0</v>
      </c>
      <c r="G109" s="30">
        <f t="shared" si="17"/>
        <v>1103.6400000000001</v>
      </c>
      <c r="H109" s="30">
        <f t="shared" si="17"/>
        <v>0</v>
      </c>
      <c r="I109" s="115">
        <f t="shared" si="17"/>
        <v>-18417.900000000005</v>
      </c>
      <c r="J109" s="30">
        <f t="shared" si="17"/>
        <v>0</v>
      </c>
      <c r="K109" s="115">
        <f t="shared" si="17"/>
        <v>-18417.900000000005</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v>-16637475.470000003</v>
      </c>
      <c r="F111" s="30">
        <v>0</v>
      </c>
      <c r="G111" s="129">
        <f>60722.25+72055.61-56381.68</f>
        <v>76396.179999999993</v>
      </c>
      <c r="H111" s="129">
        <v>0</v>
      </c>
      <c r="I111" s="115">
        <f t="shared" ref="I111:I116" si="18">E111+F111+G111+H111</f>
        <v>-16561079.290000003</v>
      </c>
      <c r="J111" s="30">
        <v>0</v>
      </c>
      <c r="K111" s="115">
        <f t="shared" ref="K111:K116" si="19">I111+J111</f>
        <v>-16561079.290000003</v>
      </c>
      <c r="L111" s="4" t="s">
        <v>43</v>
      </c>
      <c r="M111" s="20"/>
      <c r="N111" s="42"/>
      <c r="O111" s="42"/>
      <c r="Q111" s="170">
        <v>75086</v>
      </c>
      <c r="R111" s="58" t="s">
        <v>44</v>
      </c>
      <c r="S111" s="18">
        <v>108201</v>
      </c>
      <c r="T111" s="58"/>
    </row>
    <row r="112" spans="1:23" x14ac:dyDescent="0.2">
      <c r="A112" s="100" t="s">
        <v>166</v>
      </c>
      <c r="B112" s="18"/>
      <c r="C112" s="28" t="s">
        <v>45</v>
      </c>
      <c r="D112" s="4" t="s">
        <v>198</v>
      </c>
      <c r="E112" s="29">
        <v>-48172672.720000006</v>
      </c>
      <c r="F112" s="30">
        <v>0</v>
      </c>
      <c r="G112" s="129">
        <f>75128.69+14431.14-234987.4-32749.15-162577.4</f>
        <v>-340754.12</v>
      </c>
      <c r="H112" s="129">
        <v>0</v>
      </c>
      <c r="I112" s="115">
        <f t="shared" si="18"/>
        <v>-48513426.840000004</v>
      </c>
      <c r="J112" s="30">
        <v>0</v>
      </c>
      <c r="K112" s="115">
        <f t="shared" si="19"/>
        <v>-48513426.840000004</v>
      </c>
      <c r="L112" s="4" t="s">
        <v>43</v>
      </c>
      <c r="M112" s="20"/>
      <c r="N112" s="42"/>
      <c r="O112" s="42"/>
      <c r="R112" s="58" t="s">
        <v>44</v>
      </c>
      <c r="S112" s="18">
        <v>108301</v>
      </c>
      <c r="T112" s="58"/>
    </row>
    <row r="113" spans="1:22" x14ac:dyDescent="0.2">
      <c r="A113" s="100" t="s">
        <v>167</v>
      </c>
      <c r="B113" s="18"/>
      <c r="C113" s="28" t="s">
        <v>46</v>
      </c>
      <c r="D113" s="4" t="s">
        <v>199</v>
      </c>
      <c r="E113" s="29">
        <v>10986788.669999998</v>
      </c>
      <c r="F113" s="30">
        <v>0</v>
      </c>
      <c r="G113" s="129">
        <v>335746.8</v>
      </c>
      <c r="H113" s="129">
        <v>0</v>
      </c>
      <c r="I113" s="115">
        <f t="shared" si="18"/>
        <v>11322535.469999999</v>
      </c>
      <c r="J113" s="30">
        <v>0</v>
      </c>
      <c r="K113" s="115">
        <f>I113+J113</f>
        <v>11322535.469999999</v>
      </c>
      <c r="L113" s="4" t="s">
        <v>43</v>
      </c>
      <c r="M113" s="20"/>
      <c r="N113" s="42"/>
      <c r="O113" s="42"/>
      <c r="S113" s="18">
        <v>108410</v>
      </c>
      <c r="T113" s="58"/>
    </row>
    <row r="114" spans="1:22" x14ac:dyDescent="0.2">
      <c r="A114" s="100" t="s">
        <v>168</v>
      </c>
      <c r="B114" s="18"/>
      <c r="C114" s="28" t="s">
        <v>74</v>
      </c>
      <c r="D114" s="4" t="s">
        <v>217</v>
      </c>
      <c r="E114" s="29">
        <v>969240.13</v>
      </c>
      <c r="F114" s="30">
        <v>0</v>
      </c>
      <c r="G114" s="129">
        <v>234723.56</v>
      </c>
      <c r="H114" s="129">
        <v>0</v>
      </c>
      <c r="I114" s="115">
        <f t="shared" si="18"/>
        <v>1203963.69</v>
      </c>
      <c r="J114" s="30">
        <v>0</v>
      </c>
      <c r="K114" s="115">
        <f>I114+J114</f>
        <v>1203963.69</v>
      </c>
      <c r="M114" s="20"/>
      <c r="N114" s="42"/>
      <c r="O114" s="42"/>
      <c r="Q114" s="4" t="s">
        <v>50</v>
      </c>
      <c r="R114" s="4" t="s">
        <v>51</v>
      </c>
      <c r="S114" s="18">
        <v>182303</v>
      </c>
      <c r="T114" s="58"/>
    </row>
    <row r="115" spans="1:22" x14ac:dyDescent="0.2">
      <c r="A115" s="100" t="s">
        <v>169</v>
      </c>
      <c r="B115" s="18"/>
      <c r="C115" s="28" t="s">
        <v>49</v>
      </c>
      <c r="D115" s="4" t="s">
        <v>218</v>
      </c>
      <c r="E115" s="29">
        <v>4055758.2100000014</v>
      </c>
      <c r="F115" s="30">
        <v>0</v>
      </c>
      <c r="G115" s="129">
        <v>20195.7</v>
      </c>
      <c r="H115" s="129">
        <v>0</v>
      </c>
      <c r="I115" s="115">
        <f t="shared" si="18"/>
        <v>4075953.9100000015</v>
      </c>
      <c r="J115" s="30">
        <v>0</v>
      </c>
      <c r="K115" s="115">
        <f t="shared" si="19"/>
        <v>4075953.9100000015</v>
      </c>
      <c r="M115" s="20"/>
      <c r="N115" s="42"/>
      <c r="O115" s="42"/>
      <c r="Q115" s="4" t="s">
        <v>50</v>
      </c>
      <c r="S115" s="18">
        <v>182304</v>
      </c>
      <c r="T115" s="58"/>
    </row>
    <row r="116" spans="1:22" x14ac:dyDescent="0.2">
      <c r="A116" s="100" t="s">
        <v>170</v>
      </c>
      <c r="B116" s="18"/>
      <c r="C116" s="28" t="s">
        <v>42</v>
      </c>
      <c r="D116" s="4" t="s">
        <v>200</v>
      </c>
      <c r="E116" s="29">
        <v>-76910.820000000007</v>
      </c>
      <c r="F116" s="30">
        <v>0</v>
      </c>
      <c r="G116" s="129">
        <v>-5876.5</v>
      </c>
      <c r="H116" s="129">
        <v>0</v>
      </c>
      <c r="I116" s="115">
        <f t="shared" si="18"/>
        <v>-82787.320000000007</v>
      </c>
      <c r="J116" s="30">
        <v>0</v>
      </c>
      <c r="K116" s="115">
        <f t="shared" si="19"/>
        <v>-82787.320000000007</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-48875272.000000007</v>
      </c>
      <c r="F118" s="33">
        <f t="shared" si="20"/>
        <v>0</v>
      </c>
      <c r="G118" s="33">
        <f t="shared" si="20"/>
        <v>320431.62</v>
      </c>
      <c r="H118" s="33">
        <f t="shared" si="20"/>
        <v>0</v>
      </c>
      <c r="I118" s="115">
        <f t="shared" si="20"/>
        <v>-48554840.38000001</v>
      </c>
      <c r="J118" s="33">
        <f t="shared" si="20"/>
        <v>0</v>
      </c>
      <c r="K118" s="115">
        <f t="shared" si="20"/>
        <v>-48554840.38000001</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-53714470.230000004</v>
      </c>
      <c r="F120" s="133">
        <f t="shared" ref="F120:H120" si="21">+F94+F102+F109+F118+F99</f>
        <v>0</v>
      </c>
      <c r="G120" s="133">
        <f t="shared" si="21"/>
        <v>1211829.53</v>
      </c>
      <c r="H120" s="133">
        <f t="shared" si="21"/>
        <v>-865406.03</v>
      </c>
      <c r="I120" s="134">
        <f>+I94+I102+I109+I118+I99</f>
        <v>-53368046.730000012</v>
      </c>
      <c r="J120" s="133">
        <f>+J94+J102+J109+J118+J99</f>
        <v>0</v>
      </c>
      <c r="K120" s="134">
        <f>+K94+K102+K109+K118+K99</f>
        <v>-53368046.730000012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-29918.460000000894</v>
      </c>
      <c r="F122" s="137">
        <f>F120+F84</f>
        <v>0</v>
      </c>
      <c r="G122" s="137">
        <f>G120+G84</f>
        <v>-709389.91999999993</v>
      </c>
      <c r="H122" s="137">
        <f>H120+H84</f>
        <v>-887612.21000000008</v>
      </c>
      <c r="I122" s="138">
        <f>I84+I120</f>
        <v>-1626920.590000011</v>
      </c>
      <c r="J122" s="137">
        <f>J120+J84</f>
        <v>0</v>
      </c>
      <c r="K122" s="138">
        <f>K84+K120</f>
        <v>-1626920.590000011</v>
      </c>
      <c r="L122" s="50">
        <v>0</v>
      </c>
      <c r="M122" s="70"/>
      <c r="N122" s="70"/>
      <c r="O122" s="70"/>
      <c r="P122" s="50"/>
      <c r="Q122" s="50"/>
      <c r="R122" s="50"/>
      <c r="S122" s="18"/>
      <c r="T122" s="29">
        <f>+G122+H122+F122</f>
        <v>-1597002.13</v>
      </c>
      <c r="U122" s="19">
        <v>13111056.41</v>
      </c>
      <c r="V122" s="29">
        <f>+T122-U122</f>
        <v>-14708058.539999999</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-212265.48</v>
      </c>
      <c r="H124" s="139">
        <f>-H116-H111-H112-H113-H114-H115-H74-H16-H105-H30-H22-H53-H107-H75-H76-H102-H106-H52</f>
        <v>22206.18</v>
      </c>
      <c r="I124" s="74"/>
      <c r="J124" s="74"/>
      <c r="K124" s="74"/>
      <c r="M124" s="76"/>
      <c r="N124" s="77"/>
      <c r="O124" s="77"/>
      <c r="S124" s="18"/>
    </row>
    <row r="125" spans="1:22" ht="12.75" customHeight="1" x14ac:dyDescent="0.2">
      <c r="A125" s="107"/>
      <c r="B125" s="18"/>
      <c r="C125" s="18"/>
      <c r="D125" s="72"/>
      <c r="E125" s="73"/>
      <c r="F125" s="50"/>
      <c r="G125" s="179">
        <f>G122+H122</f>
        <v>-1597002.13</v>
      </c>
      <c r="H125" s="50"/>
      <c r="I125" s="50"/>
      <c r="J125" s="50"/>
      <c r="K125" s="50"/>
      <c r="M125" s="20"/>
      <c r="S125" s="18"/>
    </row>
    <row r="126" spans="1:22" ht="12.75" hidden="1" customHeight="1" x14ac:dyDescent="0.2">
      <c r="A126" s="107" t="s">
        <v>58</v>
      </c>
      <c r="B126" s="18"/>
      <c r="C126" s="71"/>
      <c r="D126" s="72" t="s">
        <v>58</v>
      </c>
      <c r="E126" s="73"/>
      <c r="F126" s="50"/>
      <c r="G126" s="145">
        <f>G122+G124</f>
        <v>-921655.39999999991</v>
      </c>
      <c r="H126" s="50">
        <f>H122+H124</f>
        <v>-865406.03</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-1787061.43</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3012638.4399999985</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2150324.81</v>
      </c>
      <c r="J133" s="84">
        <f>+J19</f>
        <v>3302380.16</v>
      </c>
      <c r="K133" s="84">
        <f>+K19</f>
        <v>5452704.9700000007</v>
      </c>
      <c r="M133" s="20"/>
      <c r="S133" s="18"/>
    </row>
    <row r="134" spans="1:19" hidden="1" x14ac:dyDescent="0.2">
      <c r="A134" s="109" t="s">
        <v>141</v>
      </c>
      <c r="B134" s="18"/>
      <c r="C134" s="18"/>
      <c r="D134" s="82" t="s">
        <v>141</v>
      </c>
      <c r="E134" s="83">
        <f>+E24</f>
        <v>1987853.8500000003</v>
      </c>
      <c r="F134" s="32">
        <f t="shared" si="22"/>
        <v>0</v>
      </c>
      <c r="G134" s="165"/>
      <c r="H134" s="83"/>
      <c r="I134" s="84">
        <f>+I24</f>
        <v>1965647.6700000004</v>
      </c>
      <c r="J134" s="84">
        <f>+J24</f>
        <v>-266474.15999999997</v>
      </c>
      <c r="K134" s="84">
        <f>+K24</f>
        <v>1699173.5100000005</v>
      </c>
      <c r="M134" s="20"/>
      <c r="S134" s="18"/>
    </row>
    <row r="135" spans="1:19" hidden="1" x14ac:dyDescent="0.2">
      <c r="A135" s="109" t="s">
        <v>61</v>
      </c>
      <c r="B135" s="18"/>
      <c r="C135" s="18"/>
      <c r="D135" s="82" t="s">
        <v>61</v>
      </c>
      <c r="E135" s="32">
        <f>+E30</f>
        <v>951635.2</v>
      </c>
      <c r="F135" s="32">
        <f t="shared" si="22"/>
        <v>0</v>
      </c>
      <c r="G135" s="157"/>
      <c r="H135" s="32"/>
      <c r="I135" s="84">
        <f>+I30</f>
        <v>951635.2</v>
      </c>
      <c r="J135" s="84">
        <f>+J30</f>
        <v>0</v>
      </c>
      <c r="K135" s="84">
        <f>+K30</f>
        <v>951635.2</v>
      </c>
      <c r="M135" s="20"/>
      <c r="S135" s="18"/>
    </row>
    <row r="136" spans="1:19" hidden="1" x14ac:dyDescent="0.2">
      <c r="A136" s="109" t="s">
        <v>143</v>
      </c>
      <c r="B136" s="18"/>
      <c r="C136" s="18"/>
      <c r="D136" s="82" t="s">
        <v>143</v>
      </c>
      <c r="E136" s="32">
        <f>+E70</f>
        <v>20776054.43</v>
      </c>
      <c r="F136" s="32">
        <f t="shared" si="22"/>
        <v>0</v>
      </c>
      <c r="G136" s="157"/>
      <c r="H136" s="32"/>
      <c r="I136" s="84">
        <f>+I70</f>
        <v>21867473.419999998</v>
      </c>
      <c r="J136" s="84">
        <f>+J70</f>
        <v>-3035906</v>
      </c>
      <c r="K136" s="84">
        <f>+K70</f>
        <v>18831567.419999998</v>
      </c>
      <c r="M136" s="20"/>
      <c r="S136" s="18"/>
    </row>
    <row r="137" spans="1:19" hidden="1" x14ac:dyDescent="0.2">
      <c r="A137" s="109" t="s">
        <v>151</v>
      </c>
      <c r="B137" s="18"/>
      <c r="C137" s="18"/>
      <c r="D137" s="82" t="s">
        <v>151</v>
      </c>
      <c r="E137" s="32">
        <f>+E78</f>
        <v>24806045.040000003</v>
      </c>
      <c r="F137" s="32">
        <f t="shared" si="22"/>
        <v>0</v>
      </c>
      <c r="G137" s="157"/>
      <c r="H137" s="32"/>
      <c r="I137" s="84">
        <f>+I78</f>
        <v>24806045.040000003</v>
      </c>
      <c r="J137" s="84">
        <f>+J78</f>
        <v>0</v>
      </c>
      <c r="K137" s="84">
        <f>+K78</f>
        <v>24806045.040000003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-984598.06000000041</v>
      </c>
      <c r="F139" s="32" t="e">
        <f>+F88+#REF!</f>
        <v>#REF!</v>
      </c>
      <c r="G139" s="157"/>
      <c r="H139" s="32"/>
      <c r="I139" s="84">
        <f>+I94</f>
        <v>-959709.82000000007</v>
      </c>
      <c r="J139" s="84">
        <f>+J94</f>
        <v>0</v>
      </c>
      <c r="K139" s="84">
        <f>+K94</f>
        <v>-959709.82000000007</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-3835078.63</v>
      </c>
      <c r="J141" s="84">
        <f>+J102</f>
        <v>0</v>
      </c>
      <c r="K141" s="84">
        <f>+K102</f>
        <v>-3835078.63</v>
      </c>
      <c r="M141" s="20"/>
      <c r="S141" s="18"/>
    </row>
    <row r="142" spans="1:19" hidden="1" x14ac:dyDescent="0.2">
      <c r="A142" s="109" t="s">
        <v>153</v>
      </c>
      <c r="B142" s="18"/>
      <c r="C142" s="18"/>
      <c r="D142" s="82" t="s">
        <v>153</v>
      </c>
      <c r="E142" s="32">
        <f>+E109</f>
        <v>-19521.540000000005</v>
      </c>
      <c r="F142" s="32" t="e">
        <f>+#REF!+F89</f>
        <v>#REF!</v>
      </c>
      <c r="G142" s="157"/>
      <c r="H142" s="32"/>
      <c r="I142" s="84">
        <f>+I109</f>
        <v>-18417.900000000005</v>
      </c>
      <c r="J142" s="84">
        <f>+J109</f>
        <v>0</v>
      </c>
      <c r="K142" s="84">
        <f>+K109</f>
        <v>-18417.900000000005</v>
      </c>
      <c r="M142" s="20"/>
      <c r="S142" s="18"/>
    </row>
    <row r="143" spans="1:19" hidden="1" x14ac:dyDescent="0.2">
      <c r="A143" s="109" t="s">
        <v>155</v>
      </c>
      <c r="B143" s="18"/>
      <c r="C143" s="18"/>
      <c r="D143" s="82" t="s">
        <v>155</v>
      </c>
      <c r="E143" s="32">
        <f>+E118</f>
        <v>-48875272.000000007</v>
      </c>
      <c r="F143" s="32">
        <f t="shared" ref="F143" si="23">+F89+F90</f>
        <v>0</v>
      </c>
      <c r="G143" s="157"/>
      <c r="H143" s="32"/>
      <c r="I143" s="84">
        <f>+I118</f>
        <v>-48554840.38000001</v>
      </c>
      <c r="J143" s="84">
        <f>+J118</f>
        <v>0</v>
      </c>
      <c r="K143" s="84">
        <f>+K118</f>
        <v>-48554840.38000001</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-29918.460000015795</v>
      </c>
      <c r="F145" s="88" t="e">
        <f>SUM(F135:F144)</f>
        <v>#REF!</v>
      </c>
      <c r="G145" s="166"/>
      <c r="H145" s="88"/>
      <c r="I145" s="89">
        <f>SUM(I131:I144)</f>
        <v>-1626920.590000011</v>
      </c>
      <c r="J145" s="89">
        <f>SUM(J131:J144)</f>
        <v>0</v>
      </c>
      <c r="K145" s="89">
        <f>SUM(K131:K144)</f>
        <v>-1626920.590000011</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-1.4901161193847656E-8</v>
      </c>
      <c r="F147" s="19"/>
      <c r="G147" s="148"/>
      <c r="H147" s="19"/>
      <c r="I147" s="19">
        <f>+I145-I122</f>
        <v>0</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-3012638.44</v>
      </c>
      <c r="H152" s="19">
        <f>+H9+H80+H10</f>
        <v>0</v>
      </c>
      <c r="I152" s="19"/>
      <c r="J152" s="19"/>
      <c r="K152" s="19"/>
      <c r="M152" s="20"/>
      <c r="S152" s="18"/>
    </row>
    <row r="153" spans="1:19" hidden="1" x14ac:dyDescent="0.2">
      <c r="A153" s="100" t="s">
        <v>65</v>
      </c>
      <c r="B153" s="18"/>
      <c r="C153" s="18"/>
      <c r="D153" s="34" t="s">
        <v>65</v>
      </c>
      <c r="F153" s="19"/>
      <c r="G153" s="148">
        <f>+G88+G89+G90+G91+G87+G92</f>
        <v>890294.27000000025</v>
      </c>
      <c r="H153" s="19">
        <f>+H88+H89+H90+H91+H87</f>
        <v>-865406.03</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-1200688.77</v>
      </c>
      <c r="H155" s="110">
        <f>+H151+H152+H153-H126</f>
        <v>0</v>
      </c>
      <c r="I155" s="19"/>
      <c r="J155" s="19"/>
      <c r="K155" s="19"/>
      <c r="M155" s="20"/>
      <c r="S155" s="18"/>
    </row>
    <row r="156" spans="1:19" hidden="1" x14ac:dyDescent="0.2">
      <c r="B156" s="18"/>
      <c r="C156" s="18"/>
      <c r="F156" s="19"/>
      <c r="H156" s="29">
        <f>+H152+H153+H151+G151+G152+G153</f>
        <v>-2987750.1999999993</v>
      </c>
      <c r="I156" s="19"/>
      <c r="J156" s="19"/>
      <c r="K156" s="19"/>
      <c r="M156" s="20"/>
      <c r="S156" s="18"/>
    </row>
    <row r="157" spans="1:19" hidden="1" x14ac:dyDescent="0.2">
      <c r="B157" s="18"/>
      <c r="C157" s="18"/>
      <c r="F157" s="19"/>
      <c r="G157" s="148"/>
      <c r="H157" s="29">
        <f>+H156-G126-H126</f>
        <v>-1200688.7699999993</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9"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customProperties>
    <customPr name="WORKBKFUNCTIONCACHE" r:id="rId2"/>
  </customProperties>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2"/>
  <sheetViews>
    <sheetView topLeftCell="A10" zoomScale="80" zoomScaleNormal="80" workbookViewId="0">
      <selection activeCell="E109" sqref="E109"/>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7" t="s">
        <v>66</v>
      </c>
    </row>
    <row r="4" spans="1:22" x14ac:dyDescent="0.2">
      <c r="A4" s="99"/>
      <c r="B4" s="7"/>
      <c r="C4" s="3"/>
      <c r="D4" s="3"/>
      <c r="E4" s="3"/>
      <c r="F4" s="8"/>
      <c r="G4" s="147"/>
      <c r="H4" s="8"/>
      <c r="I4" s="9"/>
      <c r="J4" s="9"/>
      <c r="K4" s="9"/>
      <c r="M4" s="10"/>
      <c r="P4" s="187" t="s">
        <v>1</v>
      </c>
    </row>
    <row r="5" spans="1:22" x14ac:dyDescent="0.2">
      <c r="E5" s="187" t="s">
        <v>2</v>
      </c>
      <c r="F5" s="187" t="s">
        <v>3</v>
      </c>
      <c r="G5" s="187" t="s">
        <v>4</v>
      </c>
      <c r="H5" s="187"/>
      <c r="I5" s="111" t="s">
        <v>208</v>
      </c>
      <c r="J5" s="13" t="s">
        <v>180</v>
      </c>
      <c r="K5" s="111" t="s">
        <v>209</v>
      </c>
      <c r="L5" s="187" t="s">
        <v>5</v>
      </c>
      <c r="M5" s="11" t="s">
        <v>6</v>
      </c>
      <c r="N5" s="11" t="s">
        <v>0</v>
      </c>
      <c r="O5" s="11" t="s">
        <v>8</v>
      </c>
      <c r="P5" s="187" t="s">
        <v>9</v>
      </c>
      <c r="Q5" s="576" t="s">
        <v>10</v>
      </c>
      <c r="R5" s="576"/>
      <c r="U5" s="12" t="s">
        <v>11</v>
      </c>
    </row>
    <row r="6" spans="1:22" x14ac:dyDescent="0.2">
      <c r="E6" s="13">
        <v>42216</v>
      </c>
      <c r="F6" s="13" t="s">
        <v>12</v>
      </c>
      <c r="G6" s="14" t="s">
        <v>13</v>
      </c>
      <c r="H6" s="14" t="s">
        <v>8</v>
      </c>
      <c r="I6" s="112">
        <v>42247</v>
      </c>
      <c r="J6" s="13" t="s">
        <v>210</v>
      </c>
      <c r="K6" s="112">
        <f>I6</f>
        <v>42247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Jul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Jul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Jul 2015'!$A$1:$I$252,9,FALSE)</f>
        <v>534290.81000000006</v>
      </c>
      <c r="F15" s="30">
        <v>0</v>
      </c>
      <c r="G15" s="33">
        <v>0</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Jul 2015'!$A$1:$I$252,9,FALSE)</f>
        <v>1296653</v>
      </c>
      <c r="F16" s="30">
        <v>0</v>
      </c>
      <c r="G16" s="30">
        <v>0</v>
      </c>
      <c r="H16" s="30">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Jul 2015'!$A$1:$I$252,9,FALSE)</f>
        <v>0</v>
      </c>
      <c r="F17" s="30">
        <v>0</v>
      </c>
      <c r="G17" s="33">
        <v>0</v>
      </c>
      <c r="H17" s="33">
        <v>0</v>
      </c>
      <c r="I17" s="115">
        <f>E17+F17+G17+H17</f>
        <v>0</v>
      </c>
      <c r="J17" s="30">
        <v>3866193.04</v>
      </c>
      <c r="K17" s="115">
        <f t="shared" ref="K17" si="1">I17+J17</f>
        <v>3866193.04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0</v>
      </c>
      <c r="H19" s="29">
        <f t="shared" si="2"/>
        <v>0</v>
      </c>
      <c r="I19" s="123">
        <f t="shared" si="2"/>
        <v>1830943.81</v>
      </c>
      <c r="J19" s="49">
        <f t="shared" si="2"/>
        <v>3866193.04</v>
      </c>
      <c r="K19" s="123">
        <f t="shared" si="2"/>
        <v>5697136.8499999996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Jul 2015'!$A$1:$I$252,9,FALSE)</f>
        <v>1832410.6700000009</v>
      </c>
      <c r="F22" s="33">
        <v>0</v>
      </c>
      <c r="G22" s="33"/>
      <c r="H22" s="130">
        <v>-22206.18</v>
      </c>
      <c r="I22" s="115">
        <f>E22+F22+G22+H22</f>
        <v>1810204.4900000009</v>
      </c>
      <c r="J22" s="33">
        <v>-266474.03999999998</v>
      </c>
      <c r="K22" s="115">
        <f>I22+J22</f>
        <v>1543730.4500000009</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1832410.6700000009</v>
      </c>
      <c r="F24" s="29">
        <f t="shared" ref="F24:K24" si="3">SUM(F22:F23)</f>
        <v>0</v>
      </c>
      <c r="G24" s="29">
        <f t="shared" si="3"/>
        <v>0</v>
      </c>
      <c r="H24" s="29">
        <f t="shared" si="3"/>
        <v>-22206.18</v>
      </c>
      <c r="I24" s="123">
        <f t="shared" si="3"/>
        <v>1810204.4900000009</v>
      </c>
      <c r="J24" s="49">
        <f t="shared" si="3"/>
        <v>-266474.03999999998</v>
      </c>
      <c r="K24" s="123">
        <f t="shared" si="3"/>
        <v>1543730.4500000009</v>
      </c>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Jul 2015'!$A$1:$I$252,9,FALSE)</f>
        <v>1578025</v>
      </c>
      <c r="F27" s="33">
        <v>0</v>
      </c>
      <c r="G27" s="130">
        <v>9772</v>
      </c>
      <c r="H27" s="29">
        <v>0</v>
      </c>
      <c r="I27" s="115">
        <f>E27+F27+G27+H27</f>
        <v>1587797</v>
      </c>
      <c r="J27" s="33">
        <v>0</v>
      </c>
      <c r="K27" s="115">
        <f>I27+J27</f>
        <v>1587797</v>
      </c>
      <c r="L27" s="4" t="s">
        <v>22</v>
      </c>
      <c r="M27" s="20"/>
      <c r="S27" s="28" t="s">
        <v>23</v>
      </c>
    </row>
    <row r="28" spans="1:21" ht="13.5" customHeight="1" x14ac:dyDescent="0.2">
      <c r="A28" s="100" t="s">
        <v>80</v>
      </c>
      <c r="B28" s="28"/>
      <c r="C28" s="28" t="s">
        <v>24</v>
      </c>
      <c r="D28" s="4" t="s">
        <v>204</v>
      </c>
      <c r="E28" s="197">
        <f>VLOOKUP(A28,'DEK Jul 2015'!$A$1:$I$252,9,FALSE)</f>
        <v>-522525.80000000005</v>
      </c>
      <c r="F28" s="33">
        <v>0</v>
      </c>
      <c r="G28" s="130">
        <v>5066</v>
      </c>
      <c r="H28" s="32">
        <v>0</v>
      </c>
      <c r="I28" s="115">
        <f>E28+F28+G28+H28</f>
        <v>-517459.80000000005</v>
      </c>
      <c r="J28" s="33">
        <v>0</v>
      </c>
      <c r="K28" s="115">
        <f>I28+J28</f>
        <v>-517459.80000000005</v>
      </c>
      <c r="L28" s="4"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1055499.2</v>
      </c>
      <c r="F30" s="44">
        <f t="shared" ref="F30:K30" si="4">SUM(F27:F28)</f>
        <v>0</v>
      </c>
      <c r="G30" s="33">
        <f t="shared" si="4"/>
        <v>14838</v>
      </c>
      <c r="H30" s="33">
        <f t="shared" si="4"/>
        <v>0</v>
      </c>
      <c r="I30" s="122">
        <f t="shared" si="4"/>
        <v>1070337.2</v>
      </c>
      <c r="J30" s="33">
        <f t="shared" si="4"/>
        <v>0</v>
      </c>
      <c r="K30" s="122">
        <f t="shared" si="4"/>
        <v>1070337.2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Jul 2015'!$A$1:$I$252,9,FALSE)</f>
        <v>7551355.1900000004</v>
      </c>
      <c r="F52" s="33">
        <v>0</v>
      </c>
      <c r="G52" s="130">
        <v>-173920.61</v>
      </c>
      <c r="H52" s="33">
        <v>0</v>
      </c>
      <c r="I52" s="115">
        <f>E52+F52+G52+H52</f>
        <v>7377434.5800000001</v>
      </c>
      <c r="J52" s="33">
        <v>-3599719</v>
      </c>
      <c r="K52" s="115">
        <f>I52+J52</f>
        <v>3777715.58</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Jul 2015'!$A$1:$I$252,9,FALSE)</f>
        <v>5236744</v>
      </c>
      <c r="F53" s="33">
        <v>0</v>
      </c>
      <c r="G53" s="33">
        <v>0</v>
      </c>
      <c r="H53" s="33">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Jul 2015'!$A$1:$I$252,9,FALSE)</f>
        <v>1300000</v>
      </c>
      <c r="F59" s="33">
        <v>0</v>
      </c>
      <c r="G59" s="33">
        <v>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Jul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Jul 2015'!$A$1:$I$252,9,FALSE)</f>
        <v>7718923.3999999994</v>
      </c>
      <c r="F67" s="172"/>
      <c r="G67" s="130">
        <v>765168.42</v>
      </c>
      <c r="H67" s="172"/>
      <c r="I67" s="115">
        <f t="shared" si="5"/>
        <v>8484091.8200000003</v>
      </c>
      <c r="J67" s="172"/>
      <c r="K67" s="115">
        <f t="shared" si="6"/>
        <v>8484091.8200000003</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Jul 2015'!$A$1:$I$252,9,FALSE)</f>
        <v>-812018.38</v>
      </c>
      <c r="F69" s="172"/>
      <c r="G69" s="33">
        <v>0</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240</v>
      </c>
      <c r="B71" s="28"/>
      <c r="C71" s="28" t="s">
        <v>239</v>
      </c>
      <c r="D71" s="4" t="s">
        <v>240</v>
      </c>
      <c r="E71" s="32">
        <v>0</v>
      </c>
      <c r="F71" s="172"/>
      <c r="G71" s="130">
        <v>2911422.41</v>
      </c>
      <c r="H71" s="33"/>
      <c r="I71" s="115">
        <f t="shared" ref="I71" si="7">E71+F71+G71+H71</f>
        <v>2911422.41</v>
      </c>
      <c r="J71" s="33"/>
      <c r="K71" s="115">
        <f t="shared" ref="K71" si="8">I71+J71</f>
        <v>2911422.41</v>
      </c>
      <c r="M71" s="20"/>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Jul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25907688.210000001</v>
      </c>
      <c r="F74" s="29">
        <f>SUM(F39:F65)+F36</f>
        <v>0</v>
      </c>
      <c r="G74" s="29">
        <f>SUM(G39:G73)+G36</f>
        <v>3502670.22</v>
      </c>
      <c r="H74" s="29">
        <f>SUM(H39:H73)+H36</f>
        <v>0</v>
      </c>
      <c r="I74" s="123">
        <f>SUM(I39:I73)+I36</f>
        <v>29410358.43</v>
      </c>
      <c r="J74" s="49">
        <f>SUM(J39:J73)+J36</f>
        <v>-3599719</v>
      </c>
      <c r="K74" s="123">
        <f>SUM(K39:K73)+K36</f>
        <v>25810639.43</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Jul 2015'!$A$1:$I$252,9,FALSE)</f>
        <v>22332459.440000001</v>
      </c>
      <c r="F78" s="30">
        <v>0</v>
      </c>
      <c r="G78" s="130">
        <v>-184449</v>
      </c>
      <c r="H78" s="30">
        <v>0</v>
      </c>
      <c r="I78" s="115">
        <f>E78+F78+G78+H78</f>
        <v>22148010.440000001</v>
      </c>
      <c r="J78" s="30">
        <v>0</v>
      </c>
      <c r="K78" s="115">
        <f t="shared" ref="K78:K80" si="11">I78+J78</f>
        <v>22148010.440000001</v>
      </c>
      <c r="M78" s="20"/>
      <c r="P78" s="58"/>
      <c r="S78" s="18">
        <v>186801</v>
      </c>
    </row>
    <row r="79" spans="1:21" x14ac:dyDescent="0.2">
      <c r="A79" s="108" t="s">
        <v>171</v>
      </c>
      <c r="B79" s="28"/>
      <c r="C79" s="28" t="s">
        <v>122</v>
      </c>
      <c r="D79" s="4" t="s">
        <v>225</v>
      </c>
      <c r="E79" s="29">
        <f>VLOOKUP(A79,'DEK Jul 2015'!$A$1:$I$252,9,FALSE)</f>
        <v>3052859.55</v>
      </c>
      <c r="F79" s="30">
        <v>0</v>
      </c>
      <c r="G79" s="130">
        <v>-27586</v>
      </c>
      <c r="H79" s="30">
        <v>0</v>
      </c>
      <c r="I79" s="115">
        <f>E79+F79+G79+H79</f>
        <v>3025273.55</v>
      </c>
      <c r="J79" s="30">
        <v>0</v>
      </c>
      <c r="K79" s="115">
        <f t="shared" si="11"/>
        <v>3025273.55</v>
      </c>
      <c r="M79" s="20"/>
      <c r="P79" s="58"/>
      <c r="S79" s="18"/>
    </row>
    <row r="80" spans="1:21" x14ac:dyDescent="0.2">
      <c r="A80" s="108" t="s">
        <v>172</v>
      </c>
      <c r="B80" s="28"/>
      <c r="C80" s="28" t="s">
        <v>123</v>
      </c>
      <c r="D80" s="4" t="s">
        <v>226</v>
      </c>
      <c r="E80" s="29">
        <f>VLOOKUP(A80,'DEK Jul 2015'!$A$1:$I$252,9,FALSE)</f>
        <v>58477.05</v>
      </c>
      <c r="F80" s="30">
        <v>0</v>
      </c>
      <c r="G80" s="130">
        <v>-794</v>
      </c>
      <c r="H80" s="30">
        <v>0</v>
      </c>
      <c r="I80" s="115">
        <f>E80+F80+G80+H80</f>
        <v>57683.05</v>
      </c>
      <c r="J80" s="30">
        <v>0</v>
      </c>
      <c r="K80" s="115">
        <f t="shared" si="11"/>
        <v>57683.05</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25443796.040000003</v>
      </c>
      <c r="F82" s="29">
        <f t="shared" ref="F82:K82" si="12">SUM(F77:F81)</f>
        <v>0</v>
      </c>
      <c r="G82" s="29">
        <f>SUM(G77:G81)</f>
        <v>-212829</v>
      </c>
      <c r="H82" s="29">
        <f t="shared" si="12"/>
        <v>0</v>
      </c>
      <c r="I82" s="123">
        <f t="shared" si="12"/>
        <v>25230967.040000003</v>
      </c>
      <c r="J82" s="29">
        <f t="shared" si="12"/>
        <v>0</v>
      </c>
      <c r="K82" s="123">
        <f t="shared" si="12"/>
        <v>25230967.040000003</v>
      </c>
      <c r="M82" s="20"/>
      <c r="S82" s="18"/>
    </row>
    <row r="83" spans="1:20" ht="12.75" hidden="1"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56070337.930000007</v>
      </c>
      <c r="F88" s="133">
        <f t="shared" si="14"/>
        <v>0</v>
      </c>
      <c r="G88" s="133">
        <f t="shared" si="14"/>
        <v>3304679.22</v>
      </c>
      <c r="H88" s="133">
        <f t="shared" si="14"/>
        <v>-22206.18</v>
      </c>
      <c r="I88" s="134">
        <f t="shared" si="14"/>
        <v>59352810.969999999</v>
      </c>
      <c r="J88" s="133">
        <f t="shared" si="14"/>
        <v>0</v>
      </c>
      <c r="K88" s="134">
        <f t="shared" si="14"/>
        <v>59352810.970000006</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Jul 2015'!$A$1:$I$252,9,FALSE)</f>
        <v>-612995.7699999999</v>
      </c>
      <c r="F91" s="30">
        <v>0</v>
      </c>
      <c r="G91" s="130">
        <v>713118.68</v>
      </c>
      <c r="H91" s="130">
        <v>-22563.45</v>
      </c>
      <c r="I91" s="115">
        <f t="shared" ref="I91:I96" si="15">E91+F91+G91+H91</f>
        <v>77559.460000000152</v>
      </c>
      <c r="J91" s="30">
        <v>0</v>
      </c>
      <c r="K91" s="115">
        <f t="shared" ref="K91:K96" si="16">I91+J91</f>
        <v>77559.460000000152</v>
      </c>
      <c r="L91" s="4" t="s">
        <v>22</v>
      </c>
      <c r="M91" s="33"/>
      <c r="N91" s="42"/>
      <c r="O91" s="42"/>
      <c r="S91" s="18">
        <v>191400</v>
      </c>
      <c r="T91" s="58"/>
    </row>
    <row r="92" spans="1:20" x14ac:dyDescent="0.2">
      <c r="A92" s="100" t="s">
        <v>115</v>
      </c>
      <c r="B92" s="18"/>
      <c r="C92" s="28" t="s">
        <v>53</v>
      </c>
      <c r="D92" s="4" t="s">
        <v>115</v>
      </c>
      <c r="E92" s="29">
        <f>VLOOKUP(A92,'DEK Jul 2015'!$A$1:$I$252,9,FALSE)</f>
        <v>-375436</v>
      </c>
      <c r="F92" s="30">
        <v>0</v>
      </c>
      <c r="G92" s="130">
        <v>-60542</v>
      </c>
      <c r="H92" s="33">
        <v>0</v>
      </c>
      <c r="I92" s="115">
        <f t="shared" si="15"/>
        <v>-435978</v>
      </c>
      <c r="J92" s="30">
        <v>0</v>
      </c>
      <c r="K92" s="115">
        <f t="shared" si="16"/>
        <v>-435978</v>
      </c>
      <c r="L92" s="4" t="s">
        <v>22</v>
      </c>
      <c r="M92" s="30"/>
      <c r="N92" s="42"/>
      <c r="O92" s="42"/>
      <c r="S92" s="18">
        <v>191800</v>
      </c>
      <c r="T92" s="58"/>
    </row>
    <row r="93" spans="1:20" ht="12.75" customHeight="1" x14ac:dyDescent="0.2">
      <c r="A93" s="100" t="s">
        <v>117</v>
      </c>
      <c r="B93" s="18"/>
      <c r="C93" s="28" t="s">
        <v>77</v>
      </c>
      <c r="D93" s="4" t="s">
        <v>117</v>
      </c>
      <c r="E93" s="29">
        <f>VLOOKUP(A93,'DEK Jul 2015'!$A$1:$I$252,9,FALSE)</f>
        <v>-820861</v>
      </c>
      <c r="F93" s="30">
        <v>0</v>
      </c>
      <c r="G93" s="30">
        <v>0</v>
      </c>
      <c r="H93" s="33">
        <v>0</v>
      </c>
      <c r="I93" s="115">
        <f t="shared" si="15"/>
        <v>-820861</v>
      </c>
      <c r="J93" s="30">
        <v>0</v>
      </c>
      <c r="K93" s="115">
        <f t="shared" si="16"/>
        <v>-820861</v>
      </c>
      <c r="M93" s="20"/>
      <c r="N93" s="42"/>
      <c r="O93" s="42"/>
      <c r="S93" s="18">
        <v>242995</v>
      </c>
      <c r="T93" s="58"/>
    </row>
    <row r="94" spans="1:20" x14ac:dyDescent="0.2">
      <c r="A94" s="100" t="s">
        <v>119</v>
      </c>
      <c r="B94" s="18"/>
      <c r="C94" s="28" t="s">
        <v>118</v>
      </c>
      <c r="D94" s="4" t="s">
        <v>119</v>
      </c>
      <c r="E94" s="29">
        <f>VLOOKUP(A94,'DEK Jul 2015'!$A$1:$I$252,9,FALSE)</f>
        <v>-3486139.5300000007</v>
      </c>
      <c r="F94" s="30">
        <v>0</v>
      </c>
      <c r="G94" s="129">
        <v>542229.30000000005</v>
      </c>
      <c r="H94" s="33">
        <v>0</v>
      </c>
      <c r="I94" s="115">
        <f t="shared" si="15"/>
        <v>-2943910.2300000004</v>
      </c>
      <c r="J94" s="30">
        <v>0</v>
      </c>
      <c r="K94" s="115">
        <f t="shared" si="16"/>
        <v>-2943910.2300000004</v>
      </c>
      <c r="M94" s="20"/>
      <c r="N94" s="42"/>
      <c r="O94" s="42"/>
      <c r="S94" s="18">
        <v>242997</v>
      </c>
      <c r="T94" s="58"/>
    </row>
    <row r="95" spans="1:20" x14ac:dyDescent="0.2">
      <c r="A95" s="100" t="s">
        <v>120</v>
      </c>
      <c r="B95" s="18"/>
      <c r="C95" s="28" t="s">
        <v>54</v>
      </c>
      <c r="D95" s="4" t="s">
        <v>120</v>
      </c>
      <c r="E95" s="29">
        <f>VLOOKUP(A95,'DEK Jul 2015'!$A$1:$I$252,9,FALSE)</f>
        <v>-402941.13999999996</v>
      </c>
      <c r="F95" s="33">
        <v>0</v>
      </c>
      <c r="G95" s="130">
        <v>-496543.22</v>
      </c>
      <c r="H95" s="130">
        <v>4586.42</v>
      </c>
      <c r="I95" s="115">
        <f t="shared" si="15"/>
        <v>-894897.93999999983</v>
      </c>
      <c r="J95" s="33">
        <v>0</v>
      </c>
      <c r="K95" s="115">
        <f t="shared" si="16"/>
        <v>-894897.93999999983</v>
      </c>
      <c r="L95" s="4" t="s">
        <v>22</v>
      </c>
      <c r="M95" s="42"/>
      <c r="N95" s="42"/>
      <c r="O95" s="42"/>
      <c r="S95" s="18">
        <v>253130</v>
      </c>
      <c r="T95" s="58"/>
    </row>
    <row r="96" spans="1:20" x14ac:dyDescent="0.2">
      <c r="A96" s="100" t="s">
        <v>156</v>
      </c>
      <c r="B96" s="18"/>
      <c r="C96" s="28" t="s">
        <v>116</v>
      </c>
      <c r="D96" s="4" t="s">
        <v>211</v>
      </c>
      <c r="E96" s="29">
        <f>VLOOKUP(A96,'DEK Jul 2015'!$A$1:$I$252,9,FALSE)</f>
        <v>568066.85</v>
      </c>
      <c r="F96" s="33"/>
      <c r="G96" s="130">
        <v>-74872.31</v>
      </c>
      <c r="H96" s="33">
        <v>0</v>
      </c>
      <c r="I96" s="115">
        <f t="shared" si="15"/>
        <v>493194.54</v>
      </c>
      <c r="J96" s="30">
        <v>0</v>
      </c>
      <c r="K96" s="115">
        <f t="shared" si="16"/>
        <v>493194.54</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-5130306.5900000008</v>
      </c>
      <c r="F98" s="33">
        <f t="shared" si="17"/>
        <v>0</v>
      </c>
      <c r="G98" s="33">
        <f t="shared" si="17"/>
        <v>623390.44999999995</v>
      </c>
      <c r="H98" s="33">
        <f t="shared" si="17"/>
        <v>-17977.03</v>
      </c>
      <c r="I98" s="122">
        <f t="shared" si="17"/>
        <v>-4524893.17</v>
      </c>
      <c r="J98" s="33">
        <f t="shared" si="17"/>
        <v>0</v>
      </c>
      <c r="K98" s="122">
        <f t="shared" si="17"/>
        <v>-4524893.17</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f>VLOOKUP(A101,'[23]DEK Jun 2013'!$A$1:$I$252,9,FALSE)</f>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Jul 2015'!$A$1:$I$252,9,FALSE)</f>
        <v>-3603882.63</v>
      </c>
      <c r="F106" s="30">
        <v>0</v>
      </c>
      <c r="G106" s="130">
        <v>33028</v>
      </c>
      <c r="H106" s="33">
        <v>0</v>
      </c>
      <c r="I106" s="186">
        <f>E106+G106+H106+F106</f>
        <v>-3570854.63</v>
      </c>
      <c r="J106" s="91">
        <v>0</v>
      </c>
      <c r="K106" s="122">
        <f>I106+J106</f>
        <v>-3570854.63</v>
      </c>
      <c r="L106" s="66"/>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Jul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Jul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Jul 2015'!$A$1:$I$252,9,FALSE)</f>
        <v>-16436.550000000003</v>
      </c>
      <c r="F111" s="30">
        <v>0</v>
      </c>
      <c r="G111" s="130">
        <v>177.99</v>
      </c>
      <c r="H111" s="33">
        <v>0</v>
      </c>
      <c r="I111" s="122">
        <f>E111+F111+G111+H111</f>
        <v>-16258.560000000003</v>
      </c>
      <c r="J111" s="30">
        <v>0</v>
      </c>
      <c r="K111" s="122">
        <f t="shared" si="19"/>
        <v>-16258.560000000003</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-16436.550000000003</v>
      </c>
      <c r="F113" s="30">
        <f t="shared" ref="F113:K113" si="21">SUM(F109:F112)</f>
        <v>0</v>
      </c>
      <c r="G113" s="30">
        <f t="shared" si="21"/>
        <v>177.99</v>
      </c>
      <c r="H113" s="30">
        <f t="shared" si="21"/>
        <v>0</v>
      </c>
      <c r="I113" s="115">
        <f t="shared" si="21"/>
        <v>-16258.560000000003</v>
      </c>
      <c r="J113" s="30">
        <f t="shared" si="21"/>
        <v>0</v>
      </c>
      <c r="K113" s="115">
        <f t="shared" si="21"/>
        <v>-16258.560000000003</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Jul 2015'!$A$1:$I$252,9,FALSE)</f>
        <v>-17264563.210000001</v>
      </c>
      <c r="F115" s="30">
        <v>0</v>
      </c>
      <c r="G115" s="129">
        <v>5310.43</v>
      </c>
      <c r="H115" s="30">
        <v>0</v>
      </c>
      <c r="I115" s="115">
        <f t="shared" ref="I115:I120" si="22">E115+F115+G115+H115</f>
        <v>-17259252.780000001</v>
      </c>
      <c r="J115" s="30">
        <v>0</v>
      </c>
      <c r="K115" s="115">
        <f t="shared" ref="K115:K120" si="23">I115+J115</f>
        <v>-17259252.780000001</v>
      </c>
      <c r="L115" s="4" t="s">
        <v>43</v>
      </c>
      <c r="M115" s="20"/>
      <c r="N115" s="42"/>
      <c r="O115" s="42"/>
      <c r="Q115" s="187">
        <v>75086</v>
      </c>
      <c r="R115" s="58" t="s">
        <v>44</v>
      </c>
      <c r="S115" s="18">
        <v>108201</v>
      </c>
      <c r="T115" s="58"/>
    </row>
    <row r="116" spans="1:22" x14ac:dyDescent="0.2">
      <c r="A116" s="100" t="s">
        <v>166</v>
      </c>
      <c r="B116" s="18"/>
      <c r="C116" s="28" t="s">
        <v>45</v>
      </c>
      <c r="D116" s="4" t="s">
        <v>198</v>
      </c>
      <c r="E116" s="29">
        <f>VLOOKUP(A116,'DEK Jul 2015'!$A$1:$I$252,9,FALSE)</f>
        <v>-46698958.480000004</v>
      </c>
      <c r="F116" s="30">
        <v>0</v>
      </c>
      <c r="G116" s="129">
        <f>-317526.11</f>
        <v>-317526.11</v>
      </c>
      <c r="H116" s="30">
        <v>0</v>
      </c>
      <c r="I116" s="115">
        <f t="shared" si="22"/>
        <v>-47016484.590000004</v>
      </c>
      <c r="J116" s="30">
        <v>0</v>
      </c>
      <c r="K116" s="115">
        <f t="shared" si="23"/>
        <v>-47016484.590000004</v>
      </c>
      <c r="L116" s="4" t="s">
        <v>43</v>
      </c>
      <c r="M116" s="20"/>
      <c r="N116" s="42"/>
      <c r="O116" s="42"/>
      <c r="R116" s="58" t="s">
        <v>44</v>
      </c>
      <c r="S116" s="18">
        <v>108301</v>
      </c>
      <c r="T116" s="58"/>
    </row>
    <row r="117" spans="1:22" x14ac:dyDescent="0.2">
      <c r="A117" s="100" t="s">
        <v>167</v>
      </c>
      <c r="B117" s="18"/>
      <c r="C117" s="28" t="s">
        <v>46</v>
      </c>
      <c r="D117" s="4" t="s">
        <v>199</v>
      </c>
      <c r="E117" s="29">
        <f>VLOOKUP(A117,'DEK Jul 2015'!$A$1:$I$252,9,FALSE)</f>
        <v>10262556.729999999</v>
      </c>
      <c r="F117" s="30">
        <v>0</v>
      </c>
      <c r="G117" s="129">
        <v>46616.91</v>
      </c>
      <c r="H117" s="30">
        <v>0</v>
      </c>
      <c r="I117" s="115">
        <f t="shared" si="22"/>
        <v>10309173.639999999</v>
      </c>
      <c r="J117" s="30">
        <v>0</v>
      </c>
      <c r="K117" s="115">
        <f>I117+J117</f>
        <v>10309173.639999999</v>
      </c>
      <c r="L117" s="4" t="s">
        <v>43</v>
      </c>
      <c r="M117" s="20"/>
      <c r="N117" s="42"/>
      <c r="O117" s="42"/>
      <c r="S117" s="18">
        <v>108410</v>
      </c>
      <c r="T117" s="58"/>
    </row>
    <row r="118" spans="1:22" x14ac:dyDescent="0.2">
      <c r="A118" s="100" t="s">
        <v>168</v>
      </c>
      <c r="B118" s="18"/>
      <c r="C118" s="28" t="s">
        <v>74</v>
      </c>
      <c r="D118" s="4" t="s">
        <v>217</v>
      </c>
      <c r="E118" s="29">
        <f>VLOOKUP(A118,'DEK Jul 2015'!$A$1:$I$252,9,FALSE)</f>
        <v>2166681.6999999997</v>
      </c>
      <c r="F118" s="30">
        <v>0</v>
      </c>
      <c r="G118" s="129">
        <v>20829.63</v>
      </c>
      <c r="H118" s="30">
        <v>0</v>
      </c>
      <c r="I118" s="115">
        <f t="shared" si="22"/>
        <v>2187511.3299999996</v>
      </c>
      <c r="J118" s="30">
        <v>0</v>
      </c>
      <c r="K118" s="115">
        <f>I118+J118</f>
        <v>2187511.3299999996</v>
      </c>
      <c r="M118" s="20"/>
      <c r="N118" s="42"/>
      <c r="O118" s="42"/>
      <c r="Q118" s="4" t="s">
        <v>50</v>
      </c>
      <c r="R118" s="4" t="s">
        <v>51</v>
      </c>
      <c r="S118" s="18">
        <v>182303</v>
      </c>
      <c r="T118" s="58"/>
    </row>
    <row r="119" spans="1:22" x14ac:dyDescent="0.2">
      <c r="A119" s="100" t="s">
        <v>169</v>
      </c>
      <c r="B119" s="18"/>
      <c r="C119" s="28" t="s">
        <v>49</v>
      </c>
      <c r="D119" s="4" t="s">
        <v>218</v>
      </c>
      <c r="E119" s="29">
        <f>VLOOKUP(A119,'DEK Jul 2015'!$A$1:$I$252,9,FALSE)</f>
        <v>4201679.7000000011</v>
      </c>
      <c r="F119" s="30">
        <v>0</v>
      </c>
      <c r="G119" s="129">
        <v>21717.439999999999</v>
      </c>
      <c r="H119" s="30">
        <v>0</v>
      </c>
      <c r="I119" s="115">
        <f t="shared" si="22"/>
        <v>4223397.1400000015</v>
      </c>
      <c r="J119" s="30">
        <v>0</v>
      </c>
      <c r="K119" s="115">
        <f t="shared" si="23"/>
        <v>4223397.1400000015</v>
      </c>
      <c r="M119" s="20"/>
      <c r="N119" s="42"/>
      <c r="O119" s="42"/>
      <c r="Q119" s="4" t="s">
        <v>50</v>
      </c>
      <c r="S119" s="18">
        <v>182304</v>
      </c>
      <c r="T119" s="58"/>
    </row>
    <row r="120" spans="1:22" x14ac:dyDescent="0.2">
      <c r="A120" s="100" t="s">
        <v>170</v>
      </c>
      <c r="B120" s="18"/>
      <c r="C120" s="28" t="s">
        <v>42</v>
      </c>
      <c r="D120" s="4" t="s">
        <v>200</v>
      </c>
      <c r="E120" s="29">
        <f>VLOOKUP(A120,'DEK Jul 2015'!$A$1:$I$252,9,FALSE)</f>
        <v>-118321.58000000002</v>
      </c>
      <c r="F120" s="30">
        <v>0</v>
      </c>
      <c r="G120" s="129">
        <v>2577.5300000000002</v>
      </c>
      <c r="H120" s="30">
        <v>0</v>
      </c>
      <c r="I120" s="115">
        <f t="shared" si="22"/>
        <v>-115744.05000000002</v>
      </c>
      <c r="J120" s="30">
        <v>0</v>
      </c>
      <c r="K120" s="115">
        <f t="shared" si="23"/>
        <v>-115744.05000000002</v>
      </c>
      <c r="L120" s="4" t="s">
        <v>43</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-47450925.140000001</v>
      </c>
      <c r="F122" s="33">
        <f t="shared" si="24"/>
        <v>0</v>
      </c>
      <c r="G122" s="33">
        <f t="shared" si="24"/>
        <v>-220474.17</v>
      </c>
      <c r="H122" s="33">
        <f t="shared" si="24"/>
        <v>0</v>
      </c>
      <c r="I122" s="122">
        <f t="shared" si="24"/>
        <v>-47671399.310000002</v>
      </c>
      <c r="J122" s="33">
        <f t="shared" si="24"/>
        <v>0</v>
      </c>
      <c r="K122" s="122">
        <f t="shared" si="24"/>
        <v>-47671399.310000002</v>
      </c>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-56201550.910000004</v>
      </c>
      <c r="F124" s="133">
        <f t="shared" ref="F124:H124" si="25">+F98+F106+F113+F122+F103</f>
        <v>0</v>
      </c>
      <c r="G124" s="133">
        <f t="shared" si="25"/>
        <v>436122.2699999999</v>
      </c>
      <c r="H124" s="133">
        <f t="shared" si="25"/>
        <v>-17977.03</v>
      </c>
      <c r="I124" s="134">
        <f>+I98+I106+I113+I122+I103</f>
        <v>-55783405.670000002</v>
      </c>
      <c r="J124" s="133">
        <f>+J98+J106+J113+J122+J103</f>
        <v>0</v>
      </c>
      <c r="K124" s="134">
        <f>+K98+K106+K113+K122+K103</f>
        <v>-55783405.670000002</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-131212.97999999672</v>
      </c>
      <c r="F126" s="137">
        <f>F124+F88</f>
        <v>0</v>
      </c>
      <c r="G126" s="137">
        <f>G124+G88</f>
        <v>3740801.49</v>
      </c>
      <c r="H126" s="137">
        <f>H124+H88</f>
        <v>-40183.21</v>
      </c>
      <c r="I126" s="138">
        <f>I88+I124</f>
        <v>3569405.299999997</v>
      </c>
      <c r="J126" s="137">
        <f>J124+J88</f>
        <v>0</v>
      </c>
      <c r="K126" s="138">
        <f>K88+K124</f>
        <v>3569405.3000000045</v>
      </c>
      <c r="L126" s="50">
        <v>0</v>
      </c>
      <c r="M126" s="70"/>
      <c r="N126" s="70"/>
      <c r="O126" s="70"/>
      <c r="P126" s="50"/>
      <c r="Q126" s="50"/>
      <c r="R126" s="50"/>
      <c r="S126" s="18"/>
      <c r="T126" s="29">
        <f>+G126+H126+F126</f>
        <v>3700618.2800000003</v>
      </c>
      <c r="U126" s="19">
        <v>13111056.41</v>
      </c>
      <c r="V126" s="29">
        <f>+T126-U126</f>
        <v>-9410438.129999999</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559179.79</v>
      </c>
      <c r="H128" s="139">
        <f>-H120-H115-H116-H117-H118-H119-H78-H16-H109-H30-H22-H53-H111-H79-H80-H106-H110-H52</f>
        <v>22206.18</v>
      </c>
      <c r="I128" s="74"/>
      <c r="J128" s="74"/>
      <c r="K128" s="74"/>
      <c r="M128" s="76"/>
      <c r="N128" s="77"/>
      <c r="O128" s="77"/>
      <c r="S128" s="18"/>
    </row>
    <row r="129" spans="1:19" ht="12.75" customHeight="1" x14ac:dyDescent="0.2">
      <c r="A129" s="107"/>
      <c r="B129" s="18"/>
      <c r="C129" s="18"/>
      <c r="D129" s="72"/>
      <c r="E129" s="73"/>
      <c r="F129" s="50"/>
      <c r="G129" s="185">
        <f>G126+H126</f>
        <v>3700618.2800000003</v>
      </c>
      <c r="H129" s="50"/>
      <c r="I129" s="50"/>
      <c r="J129" s="50"/>
      <c r="K129" s="50"/>
      <c r="M129" s="20"/>
      <c r="S129" s="18"/>
    </row>
    <row r="130" spans="1:19" ht="12.75" hidden="1" customHeight="1" x14ac:dyDescent="0.2">
      <c r="A130" s="107" t="s">
        <v>58</v>
      </c>
      <c r="B130" s="18"/>
      <c r="C130" s="71"/>
      <c r="D130" s="72" t="s">
        <v>58</v>
      </c>
      <c r="E130" s="73"/>
      <c r="F130" s="50"/>
      <c r="G130" s="145">
        <f>G126+G128</f>
        <v>4299981.28</v>
      </c>
      <c r="H130" s="50">
        <f>H126+H128</f>
        <v>-17977.03</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4282004.25</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1830943.81</v>
      </c>
      <c r="J137" s="84">
        <f>+J19</f>
        <v>3866193.04</v>
      </c>
      <c r="K137" s="84">
        <f>+K19</f>
        <v>5697136.8499999996</v>
      </c>
      <c r="M137" s="20"/>
      <c r="S137" s="18"/>
    </row>
    <row r="138" spans="1:19" hidden="1" x14ac:dyDescent="0.2">
      <c r="A138" s="109" t="s">
        <v>141</v>
      </c>
      <c r="B138" s="18"/>
      <c r="C138" s="18"/>
      <c r="D138" s="82" t="s">
        <v>141</v>
      </c>
      <c r="E138" s="83">
        <f>+E24</f>
        <v>1832410.6700000009</v>
      </c>
      <c r="F138" s="32">
        <f t="shared" si="26"/>
        <v>0</v>
      </c>
      <c r="G138" s="165"/>
      <c r="H138" s="83"/>
      <c r="I138" s="84">
        <f>+I24</f>
        <v>1810204.4900000009</v>
      </c>
      <c r="J138" s="84">
        <f>+J24</f>
        <v>-266474.03999999998</v>
      </c>
      <c r="K138" s="84">
        <f>+K24</f>
        <v>1543730.4500000009</v>
      </c>
      <c r="M138" s="20"/>
      <c r="S138" s="18"/>
    </row>
    <row r="139" spans="1:19" hidden="1" x14ac:dyDescent="0.2">
      <c r="A139" s="109" t="s">
        <v>61</v>
      </c>
      <c r="B139" s="18"/>
      <c r="C139" s="18"/>
      <c r="D139" s="82" t="s">
        <v>61</v>
      </c>
      <c r="E139" s="32">
        <f>+E30</f>
        <v>1055499.2</v>
      </c>
      <c r="F139" s="32">
        <f t="shared" si="26"/>
        <v>0</v>
      </c>
      <c r="G139" s="157"/>
      <c r="H139" s="32"/>
      <c r="I139" s="84">
        <f>+I30</f>
        <v>1070337.2</v>
      </c>
      <c r="J139" s="84">
        <f>+J30</f>
        <v>0</v>
      </c>
      <c r="K139" s="84">
        <f>+K30</f>
        <v>1070337.2</v>
      </c>
      <c r="M139" s="20"/>
      <c r="S139" s="18"/>
    </row>
    <row r="140" spans="1:19" hidden="1" x14ac:dyDescent="0.2">
      <c r="A140" s="109" t="s">
        <v>143</v>
      </c>
      <c r="B140" s="18"/>
      <c r="C140" s="18"/>
      <c r="D140" s="82" t="s">
        <v>143</v>
      </c>
      <c r="E140" s="32">
        <f>+E74</f>
        <v>25907688.210000001</v>
      </c>
      <c r="F140" s="32">
        <f t="shared" si="26"/>
        <v>0</v>
      </c>
      <c r="G140" s="157"/>
      <c r="H140" s="32"/>
      <c r="I140" s="84">
        <f>+I74</f>
        <v>29410358.43</v>
      </c>
      <c r="J140" s="84">
        <f>+J74</f>
        <v>-3599719</v>
      </c>
      <c r="K140" s="84">
        <f>+K74</f>
        <v>25810639.43</v>
      </c>
      <c r="M140" s="20"/>
      <c r="S140" s="18"/>
    </row>
    <row r="141" spans="1:19" hidden="1" x14ac:dyDescent="0.2">
      <c r="A141" s="109" t="s">
        <v>151</v>
      </c>
      <c r="B141" s="18"/>
      <c r="C141" s="18"/>
      <c r="D141" s="82" t="s">
        <v>151</v>
      </c>
      <c r="E141" s="32">
        <f>+E82</f>
        <v>25443796.040000003</v>
      </c>
      <c r="F141" s="32">
        <f t="shared" si="26"/>
        <v>0</v>
      </c>
      <c r="G141" s="157"/>
      <c r="H141" s="32"/>
      <c r="I141" s="84">
        <f>+I82</f>
        <v>25230967.040000003</v>
      </c>
      <c r="J141" s="84">
        <f>+J82</f>
        <v>0</v>
      </c>
      <c r="K141" s="84">
        <f>+K82</f>
        <v>25230967.040000003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-5130306.5900000008</v>
      </c>
      <c r="F143" s="32" t="e">
        <f>+F92+#REF!</f>
        <v>#REF!</v>
      </c>
      <c r="G143" s="157"/>
      <c r="H143" s="32"/>
      <c r="I143" s="84">
        <f>+I98</f>
        <v>-4524893.17</v>
      </c>
      <c r="J143" s="84">
        <f>+J98</f>
        <v>0</v>
      </c>
      <c r="K143" s="84">
        <f>+K98</f>
        <v>-4524893.17</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-3603882.63</v>
      </c>
      <c r="F145" s="32" t="e">
        <f>+#REF!+#REF!</f>
        <v>#REF!</v>
      </c>
      <c r="G145" s="157"/>
      <c r="H145" s="32"/>
      <c r="I145" s="84">
        <f>+I106</f>
        <v>-3570854.63</v>
      </c>
      <c r="J145" s="84">
        <f>+J106</f>
        <v>0</v>
      </c>
      <c r="K145" s="84">
        <f>+K106</f>
        <v>-3570854.63</v>
      </c>
      <c r="M145" s="20"/>
      <c r="S145" s="18"/>
    </row>
    <row r="146" spans="1:19" hidden="1" x14ac:dyDescent="0.2">
      <c r="A146" s="109" t="s">
        <v>153</v>
      </c>
      <c r="B146" s="18"/>
      <c r="C146" s="18"/>
      <c r="D146" s="82" t="s">
        <v>153</v>
      </c>
      <c r="E146" s="32">
        <f>+E113</f>
        <v>-16436.550000000003</v>
      </c>
      <c r="F146" s="32" t="e">
        <f>+#REF!+F93</f>
        <v>#REF!</v>
      </c>
      <c r="G146" s="157"/>
      <c r="H146" s="32"/>
      <c r="I146" s="84">
        <f>+I113</f>
        <v>-16258.560000000003</v>
      </c>
      <c r="J146" s="84">
        <f>+J113</f>
        <v>0</v>
      </c>
      <c r="K146" s="84">
        <f>+K113</f>
        <v>-16258.560000000003</v>
      </c>
      <c r="M146" s="20"/>
      <c r="S146" s="18"/>
    </row>
    <row r="147" spans="1:19" hidden="1" x14ac:dyDescent="0.2">
      <c r="A147" s="109" t="s">
        <v>155</v>
      </c>
      <c r="B147" s="18"/>
      <c r="C147" s="18"/>
      <c r="D147" s="82" t="s">
        <v>155</v>
      </c>
      <c r="E147" s="32">
        <f>+E122</f>
        <v>-47450925.140000001</v>
      </c>
      <c r="F147" s="32">
        <f t="shared" ref="F147" si="27">+F93+F94</f>
        <v>0</v>
      </c>
      <c r="G147" s="157"/>
      <c r="H147" s="32"/>
      <c r="I147" s="84">
        <f>+I122</f>
        <v>-47671399.310000002</v>
      </c>
      <c r="J147" s="84">
        <f>+J122</f>
        <v>0</v>
      </c>
      <c r="K147" s="84">
        <f>+K122</f>
        <v>-47671399.310000002</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-131212.97999999672</v>
      </c>
      <c r="F149" s="88" t="e">
        <f>SUM(F139:F148)</f>
        <v>#REF!</v>
      </c>
      <c r="G149" s="166"/>
      <c r="H149" s="88"/>
      <c r="I149" s="89">
        <f>SUM(I135:I148)</f>
        <v>3569405.2999999896</v>
      </c>
      <c r="J149" s="89">
        <f>SUM(J135:J148)</f>
        <v>0</v>
      </c>
      <c r="K149" s="89">
        <f>SUM(K135:K148)</f>
        <v>3569405.2999999896</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0</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623390.45000000019</v>
      </c>
      <c r="H157" s="19">
        <f>+H92+H93+H94+H95+H91</f>
        <v>-17977.03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-3676590.83</v>
      </c>
      <c r="H159" s="110">
        <f>+H155+H156+H157-H130</f>
        <v>0</v>
      </c>
      <c r="I159" s="19"/>
      <c r="J159" s="19"/>
      <c r="K159" s="19"/>
      <c r="M159" s="20"/>
      <c r="S159" s="18"/>
    </row>
    <row r="160" spans="1:19" hidden="1" x14ac:dyDescent="0.2">
      <c r="B160" s="18"/>
      <c r="C160" s="18"/>
      <c r="F160" s="19"/>
      <c r="H160" s="29">
        <f>+H156+H157+H155+G155+G156+G157</f>
        <v>605413.42000000016</v>
      </c>
      <c r="I160" s="19"/>
      <c r="J160" s="19"/>
      <c r="K160" s="19"/>
      <c r="M160" s="20"/>
      <c r="S160" s="18"/>
    </row>
    <row r="161" spans="1:19" hidden="1" x14ac:dyDescent="0.2">
      <c r="B161" s="18"/>
      <c r="C161" s="18"/>
      <c r="F161" s="19"/>
      <c r="G161" s="148"/>
      <c r="H161" s="29">
        <f>+H160-G130-H130</f>
        <v>-3676590.8300000005</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30"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2"/>
  <sheetViews>
    <sheetView topLeftCell="A76" zoomScale="80" zoomScaleNormal="80" workbookViewId="0">
      <selection activeCell="I119" sqref="I11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200" t="s">
        <v>66</v>
      </c>
    </row>
    <row r="4" spans="1:22" x14ac:dyDescent="0.2">
      <c r="A4" s="99"/>
      <c r="B4" s="7"/>
      <c r="C4" s="3"/>
      <c r="D4" s="3"/>
      <c r="E4" s="3"/>
      <c r="F4" s="8"/>
      <c r="G4" s="147"/>
      <c r="H4" s="8"/>
      <c r="I4" s="202"/>
      <c r="J4" s="9"/>
      <c r="K4" s="202"/>
      <c r="M4" s="10"/>
      <c r="P4" s="200" t="s">
        <v>1</v>
      </c>
    </row>
    <row r="5" spans="1:22" x14ac:dyDescent="0.2">
      <c r="E5" s="200" t="s">
        <v>2</v>
      </c>
      <c r="F5" s="200" t="s">
        <v>3</v>
      </c>
      <c r="G5" s="200" t="s">
        <v>4</v>
      </c>
      <c r="H5" s="200"/>
      <c r="I5" s="123" t="s">
        <v>208</v>
      </c>
      <c r="J5" s="13" t="s">
        <v>180</v>
      </c>
      <c r="K5" s="123" t="s">
        <v>209</v>
      </c>
      <c r="L5" s="200" t="s">
        <v>5</v>
      </c>
      <c r="M5" s="11" t="s">
        <v>6</v>
      </c>
      <c r="N5" s="11" t="s">
        <v>0</v>
      </c>
      <c r="O5" s="11" t="s">
        <v>8</v>
      </c>
      <c r="P5" s="200" t="s">
        <v>9</v>
      </c>
      <c r="Q5" s="576" t="s">
        <v>10</v>
      </c>
      <c r="R5" s="576"/>
      <c r="U5" s="12" t="s">
        <v>11</v>
      </c>
    </row>
    <row r="6" spans="1:22" x14ac:dyDescent="0.2">
      <c r="E6" s="13">
        <v>42247</v>
      </c>
      <c r="F6" s="13" t="s">
        <v>12</v>
      </c>
      <c r="G6" s="14" t="s">
        <v>13</v>
      </c>
      <c r="H6" s="14" t="s">
        <v>8</v>
      </c>
      <c r="I6" s="112">
        <v>42277</v>
      </c>
      <c r="J6" s="13" t="s">
        <v>210</v>
      </c>
      <c r="K6" s="112">
        <f>I6</f>
        <v>42277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Aug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29">
        <f>VLOOKUP(A10,'DEK Aug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Aug 2015'!$A$1:$I$252,9,FALSE)</f>
        <v>534290.81000000006</v>
      </c>
      <c r="F15" s="30">
        <v>0</v>
      </c>
      <c r="G15" s="130">
        <v>253020</v>
      </c>
      <c r="H15" s="30">
        <v>0</v>
      </c>
      <c r="I15" s="115">
        <f>E15+F15+G15+H15</f>
        <v>787310.81</v>
      </c>
      <c r="J15" s="30">
        <v>0</v>
      </c>
      <c r="K15" s="115">
        <f>I15+J15</f>
        <v>787310.81</v>
      </c>
      <c r="L15" s="210" t="s">
        <v>22</v>
      </c>
      <c r="M15" s="20"/>
      <c r="S15" s="18"/>
    </row>
    <row r="16" spans="1:22" x14ac:dyDescent="0.2">
      <c r="A16" s="100" t="s">
        <v>157</v>
      </c>
      <c r="B16" s="28"/>
      <c r="C16" s="28" t="s">
        <v>37</v>
      </c>
      <c r="D16" s="4" t="s">
        <v>192</v>
      </c>
      <c r="E16" s="29">
        <f>VLOOKUP(A16,'DEK Aug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29">
        <f>VLOOKUP(A17,'DEK Aug 2015'!$A$1:$I$252,9,FALSE)</f>
        <v>0</v>
      </c>
      <c r="F17" s="30">
        <v>0</v>
      </c>
      <c r="G17" s="33">
        <v>0</v>
      </c>
      <c r="H17" s="33">
        <v>0</v>
      </c>
      <c r="I17" s="115">
        <f>E17+F17+G17+H17</f>
        <v>0</v>
      </c>
      <c r="J17" s="30">
        <v>4164067.04</v>
      </c>
      <c r="K17" s="115">
        <f t="shared" ref="K17" si="1">I17+J17</f>
        <v>4164067.04</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253020</v>
      </c>
      <c r="H19" s="29">
        <f t="shared" si="2"/>
        <v>0</v>
      </c>
      <c r="I19" s="123">
        <f t="shared" si="2"/>
        <v>2083963.81</v>
      </c>
      <c r="J19" s="49">
        <f t="shared" si="2"/>
        <v>4164067.04</v>
      </c>
      <c r="K19" s="123">
        <f t="shared" si="2"/>
        <v>6248030.8499999996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Aug 2015'!$A$1:$I$252,9,FALSE)</f>
        <v>1810204.4900000009</v>
      </c>
      <c r="F22" s="33">
        <v>0</v>
      </c>
      <c r="G22" s="33">
        <v>0</v>
      </c>
      <c r="H22" s="130">
        <v>-22206.17</v>
      </c>
      <c r="I22" s="115">
        <f>E22+F22+G22+H22</f>
        <v>1787998.320000001</v>
      </c>
      <c r="J22" s="33">
        <v>-266474.03999999998</v>
      </c>
      <c r="K22" s="115">
        <f>I22+J22</f>
        <v>1521524.280000001</v>
      </c>
      <c r="L22" s="210" t="s">
        <v>22</v>
      </c>
      <c r="M22" s="20"/>
      <c r="R22" s="4" t="s">
        <v>27</v>
      </c>
      <c r="S22" s="18">
        <v>189010</v>
      </c>
      <c r="U22" s="39" t="s">
        <v>113</v>
      </c>
    </row>
    <row r="23" spans="1:21" x14ac:dyDescent="0.2">
      <c r="B23" s="28"/>
      <c r="C23" s="18"/>
      <c r="E23" s="40"/>
      <c r="F23" s="40"/>
      <c r="G23" s="156"/>
      <c r="H23" s="40"/>
      <c r="I23" s="121"/>
      <c r="J23" s="40"/>
      <c r="K23" s="121"/>
      <c r="L23" s="209"/>
      <c r="M23" s="20"/>
      <c r="S23" s="18"/>
    </row>
    <row r="24" spans="1:21" x14ac:dyDescent="0.2">
      <c r="B24" s="28"/>
      <c r="C24" s="18"/>
      <c r="E24" s="29">
        <f>SUM(E22:E23)</f>
        <v>1810204.4900000009</v>
      </c>
      <c r="F24" s="29">
        <f t="shared" ref="F24:K24" si="3">SUM(F22:F23)</f>
        <v>0</v>
      </c>
      <c r="G24" s="29">
        <f t="shared" si="3"/>
        <v>0</v>
      </c>
      <c r="H24" s="29">
        <f t="shared" si="3"/>
        <v>-22206.17</v>
      </c>
      <c r="I24" s="123">
        <f t="shared" si="3"/>
        <v>1787998.320000001</v>
      </c>
      <c r="J24" s="49">
        <f t="shared" si="3"/>
        <v>-266474.03999999998</v>
      </c>
      <c r="K24" s="123">
        <f t="shared" si="3"/>
        <v>1521524.280000001</v>
      </c>
      <c r="L24" s="209"/>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Aug 2015'!$A$1:$I$252,9,FALSE)</f>
        <v>1587797</v>
      </c>
      <c r="F27" s="33">
        <v>0</v>
      </c>
      <c r="G27" s="130">
        <v>9771</v>
      </c>
      <c r="H27" s="29">
        <v>0</v>
      </c>
      <c r="I27" s="115">
        <f>E27+F27+G27+H27</f>
        <v>1597568</v>
      </c>
      <c r="J27" s="33">
        <v>0</v>
      </c>
      <c r="K27" s="115">
        <f>I27+J27</f>
        <v>1597568</v>
      </c>
      <c r="L27" s="210" t="s">
        <v>22</v>
      </c>
      <c r="M27" s="20"/>
      <c r="S27" s="28" t="s">
        <v>23</v>
      </c>
    </row>
    <row r="28" spans="1:21" ht="13.5" customHeight="1" x14ac:dyDescent="0.2">
      <c r="A28" s="100" t="s">
        <v>80</v>
      </c>
      <c r="B28" s="28"/>
      <c r="C28" s="28" t="s">
        <v>24</v>
      </c>
      <c r="D28" s="4" t="s">
        <v>204</v>
      </c>
      <c r="E28" s="197">
        <f>VLOOKUP(A28,'DEK Aug 2015'!$A$1:$I$252,9,FALSE)</f>
        <v>-517459.80000000005</v>
      </c>
      <c r="F28" s="33">
        <v>0</v>
      </c>
      <c r="G28" s="130">
        <v>5067</v>
      </c>
      <c r="H28" s="32">
        <v>0</v>
      </c>
      <c r="I28" s="115">
        <f>E28+F28+G28+H28</f>
        <v>-512392.80000000005</v>
      </c>
      <c r="J28" s="33">
        <v>0</v>
      </c>
      <c r="K28" s="115">
        <f>I28+J28</f>
        <v>-512392.80000000005</v>
      </c>
      <c r="L28" s="210"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1070337.2</v>
      </c>
      <c r="F30" s="44">
        <f t="shared" ref="F30:K30" si="4">SUM(F27:F28)</f>
        <v>0</v>
      </c>
      <c r="G30" s="33">
        <f t="shared" si="4"/>
        <v>14838</v>
      </c>
      <c r="H30" s="33">
        <f t="shared" si="4"/>
        <v>0</v>
      </c>
      <c r="I30" s="123">
        <f t="shared" si="4"/>
        <v>1085175.2</v>
      </c>
      <c r="J30" s="33">
        <f t="shared" si="4"/>
        <v>0</v>
      </c>
      <c r="K30" s="123">
        <f t="shared" si="4"/>
        <v>1085175.2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Aug 2015'!$A$1:$I$252,9,FALSE)</f>
        <v>7377434.5800000001</v>
      </c>
      <c r="F52" s="33">
        <v>0</v>
      </c>
      <c r="G52" s="130">
        <v>23494.78</v>
      </c>
      <c r="H52" s="33">
        <v>0</v>
      </c>
      <c r="I52" s="115">
        <f>E52+F52+G52+H52</f>
        <v>7400929.3600000003</v>
      </c>
      <c r="J52" s="33">
        <v>-3897593</v>
      </c>
      <c r="K52" s="115">
        <f>I52+J52</f>
        <v>3503336.3600000003</v>
      </c>
      <c r="L52" s="210" t="s">
        <v>22</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Aug 2015'!$A$1:$I$252,9,FALSE)</f>
        <v>5236744</v>
      </c>
      <c r="F53" s="33">
        <v>0</v>
      </c>
      <c r="G53" s="130">
        <v>593243</v>
      </c>
      <c r="H53" s="33">
        <v>0</v>
      </c>
      <c r="I53" s="115">
        <f>E53+F53+G53+H53</f>
        <v>5829987</v>
      </c>
      <c r="J53" s="33">
        <v>0</v>
      </c>
      <c r="K53" s="115">
        <f>I53+J53</f>
        <v>5829987</v>
      </c>
      <c r="L53" s="210" t="s">
        <v>22</v>
      </c>
      <c r="M53" s="6" t="s">
        <v>110</v>
      </c>
      <c r="N53" s="6" t="s">
        <v>111</v>
      </c>
      <c r="S53" s="18">
        <v>182410</v>
      </c>
    </row>
    <row r="54" spans="1:23" x14ac:dyDescent="0.2">
      <c r="B54" s="28"/>
      <c r="C54" s="28"/>
      <c r="E54" s="30"/>
      <c r="F54" s="33"/>
      <c r="G54" s="144"/>
      <c r="H54" s="33"/>
      <c r="I54" s="115"/>
      <c r="J54" s="33"/>
      <c r="K54" s="115"/>
      <c r="L54" s="210"/>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L55" s="209"/>
      <c r="S55" s="18"/>
      <c r="W55" s="47"/>
    </row>
    <row r="56" spans="1:23" hidden="1" x14ac:dyDescent="0.2">
      <c r="B56" s="28"/>
      <c r="C56" s="28"/>
      <c r="E56" s="30"/>
      <c r="F56" s="33"/>
      <c r="G56" s="144"/>
      <c r="H56" s="33"/>
      <c r="I56" s="115"/>
      <c r="J56" s="33"/>
      <c r="K56" s="115"/>
      <c r="L56" s="209"/>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L57" s="209"/>
      <c r="S57" s="18"/>
    </row>
    <row r="58" spans="1:23" hidden="1" x14ac:dyDescent="0.2">
      <c r="B58" s="28"/>
      <c r="C58" s="28"/>
      <c r="E58" s="30"/>
      <c r="F58" s="33"/>
      <c r="G58" s="144"/>
      <c r="H58" s="33"/>
      <c r="I58" s="115"/>
      <c r="J58" s="33"/>
      <c r="K58" s="115"/>
      <c r="L58" s="209"/>
      <c r="S58" s="18"/>
    </row>
    <row r="59" spans="1:23" x14ac:dyDescent="0.2">
      <c r="A59" s="100" t="s">
        <v>134</v>
      </c>
      <c r="B59" s="28"/>
      <c r="C59" s="28" t="s">
        <v>133</v>
      </c>
      <c r="D59" s="4" t="s">
        <v>205</v>
      </c>
      <c r="E59" s="29">
        <f>VLOOKUP(A59,'DEK Aug 2015'!$A$1:$I$252,9,FALSE)</f>
        <v>1300000</v>
      </c>
      <c r="F59" s="33">
        <v>0</v>
      </c>
      <c r="G59" s="130">
        <v>50000</v>
      </c>
      <c r="H59" s="33">
        <v>0</v>
      </c>
      <c r="I59" s="115">
        <f>E59+F59+G59+H59</f>
        <v>1350000</v>
      </c>
      <c r="J59" s="33">
        <v>0</v>
      </c>
      <c r="K59" s="115">
        <f>I59+J59</f>
        <v>1350000</v>
      </c>
      <c r="L59" s="210" t="s">
        <v>22</v>
      </c>
      <c r="S59" s="18"/>
    </row>
    <row r="60" spans="1:23" x14ac:dyDescent="0.2">
      <c r="B60" s="28"/>
      <c r="C60" s="28"/>
      <c r="E60" s="30"/>
      <c r="F60" s="33"/>
      <c r="G60" s="144"/>
      <c r="H60" s="33"/>
      <c r="I60" s="115"/>
      <c r="J60" s="33"/>
      <c r="K60" s="115"/>
      <c r="L60" s="209"/>
      <c r="S60" s="18"/>
    </row>
    <row r="61" spans="1:23" hidden="1" x14ac:dyDescent="0.2">
      <c r="A61" s="100" t="s">
        <v>175</v>
      </c>
      <c r="B61" s="28"/>
      <c r="C61" s="28" t="s">
        <v>176</v>
      </c>
      <c r="D61" s="4" t="s">
        <v>175</v>
      </c>
      <c r="E61" s="29">
        <v>0</v>
      </c>
      <c r="F61" s="33">
        <v>0</v>
      </c>
      <c r="G61" s="144">
        <v>0</v>
      </c>
      <c r="H61" s="33">
        <v>0</v>
      </c>
      <c r="I61" s="115">
        <v>0</v>
      </c>
      <c r="J61" s="33">
        <v>0</v>
      </c>
      <c r="K61" s="115">
        <v>0</v>
      </c>
      <c r="L61" s="209"/>
      <c r="S61" s="18"/>
      <c r="W61" s="47"/>
    </row>
    <row r="62" spans="1:23" hidden="1" x14ac:dyDescent="0.2">
      <c r="B62" s="28"/>
      <c r="C62" s="28"/>
      <c r="E62" s="30"/>
      <c r="F62" s="33"/>
      <c r="G62" s="144"/>
      <c r="H62" s="33"/>
      <c r="I62" s="115"/>
      <c r="J62" s="33"/>
      <c r="K62" s="115"/>
      <c r="L62" s="209"/>
      <c r="S62" s="18"/>
      <c r="W62" s="47"/>
    </row>
    <row r="63" spans="1:23" x14ac:dyDescent="0.2">
      <c r="A63" s="100" t="s">
        <v>39</v>
      </c>
      <c r="B63" s="28"/>
      <c r="C63" s="28" t="s">
        <v>38</v>
      </c>
      <c r="D63" s="4" t="s">
        <v>39</v>
      </c>
      <c r="E63" s="29">
        <f>VLOOKUP(A63,'DEK Aug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Aug 2015'!$A$1:$I$252,9,FALSE)</f>
        <v>8484091.8200000003</v>
      </c>
      <c r="F67" s="172"/>
      <c r="G67" s="130">
        <v>811244.29</v>
      </c>
      <c r="H67" s="172"/>
      <c r="I67" s="115">
        <f t="shared" si="5"/>
        <v>9295336.1099999994</v>
      </c>
      <c r="J67" s="172"/>
      <c r="K67" s="115">
        <f t="shared" si="6"/>
        <v>9295336.1099999994</v>
      </c>
      <c r="L67" s="210" t="s">
        <v>243</v>
      </c>
      <c r="M67" s="211" t="s">
        <v>245</v>
      </c>
      <c r="S67" s="18"/>
    </row>
    <row r="68" spans="1:21" ht="12.75" customHeight="1" x14ac:dyDescent="0.35">
      <c r="B68" s="28"/>
      <c r="C68" s="28"/>
      <c r="E68" s="171"/>
      <c r="F68" s="172"/>
      <c r="G68" s="33"/>
      <c r="H68" s="172"/>
      <c r="I68" s="115"/>
      <c r="J68" s="172"/>
      <c r="K68" s="115"/>
      <c r="M68" s="20"/>
      <c r="S68" s="18"/>
    </row>
    <row r="69" spans="1:21" ht="16.5" customHeight="1" x14ac:dyDescent="0.35">
      <c r="A69" s="100" t="s">
        <v>238</v>
      </c>
      <c r="B69" s="28"/>
      <c r="C69" s="28" t="s">
        <v>236</v>
      </c>
      <c r="D69" s="4" t="s">
        <v>238</v>
      </c>
      <c r="E69" s="32">
        <f>VLOOKUP(A69,'DEK Aug 2015'!$A$1:$I$252,9,FALSE)</f>
        <v>-812018.38</v>
      </c>
      <c r="F69" s="172"/>
      <c r="G69" s="130">
        <v>-27067.279999999999</v>
      </c>
      <c r="H69" s="33"/>
      <c r="I69" s="115">
        <f t="shared" si="5"/>
        <v>-839085.66</v>
      </c>
      <c r="J69" s="33"/>
      <c r="K69" s="115">
        <f t="shared" si="6"/>
        <v>-839085.66</v>
      </c>
      <c r="L69" s="210" t="s">
        <v>244</v>
      </c>
      <c r="M69" s="20"/>
      <c r="S69" s="18"/>
    </row>
    <row r="70" spans="1:21" ht="12.75" customHeight="1" x14ac:dyDescent="0.35">
      <c r="B70" s="28"/>
      <c r="C70" s="28"/>
      <c r="E70" s="32"/>
      <c r="F70" s="172"/>
      <c r="G70" s="144"/>
      <c r="H70" s="33"/>
      <c r="I70" s="115"/>
      <c r="J70" s="33"/>
      <c r="K70" s="115"/>
      <c r="L70" s="210"/>
      <c r="M70" s="45"/>
      <c r="S70" s="18"/>
    </row>
    <row r="71" spans="1:21" ht="19.5" customHeight="1" x14ac:dyDescent="0.35">
      <c r="A71" s="100" t="s">
        <v>240</v>
      </c>
      <c r="B71" s="28"/>
      <c r="C71" s="28" t="s">
        <v>239</v>
      </c>
      <c r="D71" s="4" t="s">
        <v>240</v>
      </c>
      <c r="E71" s="32">
        <f>VLOOKUP(A71,'DEK Aug 2015'!$A$1:$I$252,9,FALSE)</f>
        <v>2911422.41</v>
      </c>
      <c r="F71" s="172"/>
      <c r="G71" s="130">
        <v>388804.41</v>
      </c>
      <c r="H71" s="33"/>
      <c r="I71" s="115">
        <f t="shared" ref="I71" si="7">E71+F71+G71+H71</f>
        <v>3300226.8200000003</v>
      </c>
      <c r="J71" s="33"/>
      <c r="K71" s="115">
        <f t="shared" ref="K71" si="8">I71+J71</f>
        <v>3300226.8200000003</v>
      </c>
      <c r="L71" s="210" t="s">
        <v>244</v>
      </c>
      <c r="M71" s="45"/>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Aug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29410358.43</v>
      </c>
      <c r="F74" s="29">
        <f>SUM(F39:F65)+F36</f>
        <v>0</v>
      </c>
      <c r="G74" s="29">
        <f>SUM(G39:G73)+G36</f>
        <v>1839719.2</v>
      </c>
      <c r="H74" s="29">
        <f>SUM(H39:H73)+H36</f>
        <v>0</v>
      </c>
      <c r="I74" s="123">
        <f>SUM(I39:I73)+I36</f>
        <v>31250077.629999999</v>
      </c>
      <c r="J74" s="49">
        <f>SUM(J39:J73)+J36</f>
        <v>-3897593</v>
      </c>
      <c r="K74" s="123">
        <f>SUM(K39:K73)+K36</f>
        <v>27352484.629999999</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Aug 2015'!$A$1:$I$252,9,FALSE)</f>
        <v>22148010.440000001</v>
      </c>
      <c r="F78" s="30">
        <v>0</v>
      </c>
      <c r="G78" s="130">
        <v>-184449</v>
      </c>
      <c r="H78" s="30">
        <v>0</v>
      </c>
      <c r="I78" s="115">
        <f>E78+F78+G78+H78</f>
        <v>21963561.440000001</v>
      </c>
      <c r="J78" s="30">
        <v>0</v>
      </c>
      <c r="K78" s="115">
        <f t="shared" ref="K78:K80" si="11">I78+J78</f>
        <v>21963561.440000001</v>
      </c>
      <c r="L78" s="210" t="s">
        <v>22</v>
      </c>
      <c r="M78" s="20"/>
      <c r="P78" s="58"/>
      <c r="S78" s="18">
        <v>186801</v>
      </c>
    </row>
    <row r="79" spans="1:21" x14ac:dyDescent="0.2">
      <c r="A79" s="108" t="s">
        <v>171</v>
      </c>
      <c r="B79" s="28"/>
      <c r="C79" s="28" t="s">
        <v>122</v>
      </c>
      <c r="D79" s="4" t="s">
        <v>225</v>
      </c>
      <c r="E79" s="29">
        <f>VLOOKUP(A79,'DEK Aug 2015'!$A$1:$I$252,9,FALSE)</f>
        <v>3025273.55</v>
      </c>
      <c r="F79" s="30">
        <v>0</v>
      </c>
      <c r="G79" s="130">
        <v>-27586</v>
      </c>
      <c r="H79" s="30">
        <v>0</v>
      </c>
      <c r="I79" s="115">
        <f>E79+F79+G79+H79</f>
        <v>2997687.55</v>
      </c>
      <c r="J79" s="30">
        <v>0</v>
      </c>
      <c r="K79" s="115">
        <f t="shared" si="11"/>
        <v>2997687.55</v>
      </c>
      <c r="L79" s="210" t="s">
        <v>22</v>
      </c>
      <c r="M79" s="20"/>
      <c r="P79" s="58"/>
      <c r="S79" s="18"/>
    </row>
    <row r="80" spans="1:21" x14ac:dyDescent="0.2">
      <c r="A80" s="108" t="s">
        <v>172</v>
      </c>
      <c r="B80" s="28"/>
      <c r="C80" s="28" t="s">
        <v>123</v>
      </c>
      <c r="D80" s="4" t="s">
        <v>226</v>
      </c>
      <c r="E80" s="29">
        <f>VLOOKUP(A80,'DEK Aug 2015'!$A$1:$I$252,9,FALSE)</f>
        <v>57683.05</v>
      </c>
      <c r="F80" s="30">
        <v>0</v>
      </c>
      <c r="G80" s="130">
        <v>-794</v>
      </c>
      <c r="H80" s="30">
        <v>0</v>
      </c>
      <c r="I80" s="115">
        <f>E80+F80+G80+H80</f>
        <v>56889.05</v>
      </c>
      <c r="J80" s="30">
        <v>0</v>
      </c>
      <c r="K80" s="115">
        <f t="shared" si="11"/>
        <v>56889.05</v>
      </c>
      <c r="L80" s="210" t="s">
        <v>22</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25230967.040000003</v>
      </c>
      <c r="F82" s="29">
        <f t="shared" ref="F82:K82" si="12">SUM(F77:F81)</f>
        <v>0</v>
      </c>
      <c r="G82" s="29">
        <f>SUM(G77:G81)</f>
        <v>-212829</v>
      </c>
      <c r="H82" s="29">
        <f t="shared" si="12"/>
        <v>0</v>
      </c>
      <c r="I82" s="123">
        <f t="shared" si="12"/>
        <v>25018138.040000003</v>
      </c>
      <c r="J82" s="29">
        <f t="shared" si="12"/>
        <v>0</v>
      </c>
      <c r="K82" s="123">
        <f t="shared" si="12"/>
        <v>25018138.040000003</v>
      </c>
      <c r="M82" s="20"/>
      <c r="S82" s="18"/>
    </row>
    <row r="83" spans="1:20" ht="12.75" hidden="1"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59352810.969999999</v>
      </c>
      <c r="F88" s="133">
        <f t="shared" si="14"/>
        <v>0</v>
      </c>
      <c r="G88" s="133">
        <f t="shared" si="14"/>
        <v>1894748.2</v>
      </c>
      <c r="H88" s="133">
        <f t="shared" si="14"/>
        <v>-22206.17</v>
      </c>
      <c r="I88" s="134">
        <f t="shared" si="14"/>
        <v>61225353</v>
      </c>
      <c r="J88" s="133">
        <f t="shared" si="14"/>
        <v>0</v>
      </c>
      <c r="K88" s="134">
        <f t="shared" si="14"/>
        <v>61225353.000000007</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Aug 2015'!$A$1:$I$252,9,FALSE)</f>
        <v>77559.460000000152</v>
      </c>
      <c r="F91" s="30">
        <v>0</v>
      </c>
      <c r="G91" s="130">
        <v>216153.24</v>
      </c>
      <c r="H91" s="130">
        <v>-36164.400000000001</v>
      </c>
      <c r="I91" s="115">
        <f t="shared" ref="I91:I96" si="15">E91+F91+G91+H91</f>
        <v>257548.30000000013</v>
      </c>
      <c r="J91" s="30">
        <v>0</v>
      </c>
      <c r="K91" s="115">
        <f t="shared" ref="K91:K96" si="16">I91+J91</f>
        <v>257548.30000000013</v>
      </c>
      <c r="L91" s="210" t="s">
        <v>22</v>
      </c>
      <c r="M91" s="33"/>
      <c r="N91" s="42"/>
      <c r="O91" s="42"/>
      <c r="S91" s="18">
        <v>191400</v>
      </c>
      <c r="T91" s="58"/>
    </row>
    <row r="92" spans="1:20" x14ac:dyDescent="0.2">
      <c r="A92" s="100" t="s">
        <v>115</v>
      </c>
      <c r="B92" s="18"/>
      <c r="C92" s="28" t="s">
        <v>53</v>
      </c>
      <c r="D92" s="4" t="s">
        <v>115</v>
      </c>
      <c r="E92" s="29">
        <f>VLOOKUP(A92,'DEK Aug 2015'!$A$1:$I$252,9,FALSE)</f>
        <v>-435978</v>
      </c>
      <c r="F92" s="30">
        <v>0</v>
      </c>
      <c r="G92" s="130">
        <v>0</v>
      </c>
      <c r="H92" s="33">
        <v>0</v>
      </c>
      <c r="I92" s="115">
        <f t="shared" si="15"/>
        <v>-435978</v>
      </c>
      <c r="J92" s="30">
        <v>0</v>
      </c>
      <c r="K92" s="115">
        <f t="shared" si="16"/>
        <v>-435978</v>
      </c>
      <c r="L92" s="210" t="s">
        <v>22</v>
      </c>
      <c r="M92" s="30"/>
      <c r="N92" s="42"/>
      <c r="O92" s="42"/>
      <c r="S92" s="18">
        <v>191800</v>
      </c>
      <c r="T92" s="58"/>
    </row>
    <row r="93" spans="1:20" ht="12.75" customHeight="1" x14ac:dyDescent="0.2">
      <c r="A93" s="100" t="s">
        <v>117</v>
      </c>
      <c r="B93" s="18"/>
      <c r="C93" s="28" t="s">
        <v>77</v>
      </c>
      <c r="D93" s="4" t="s">
        <v>117</v>
      </c>
      <c r="E93" s="29">
        <f>VLOOKUP(A93,'DEK Aug 2015'!$A$1:$I$252,9,FALSE)</f>
        <v>-820861</v>
      </c>
      <c r="F93" s="30">
        <v>0</v>
      </c>
      <c r="G93" s="129">
        <v>-248241</v>
      </c>
      <c r="H93" s="33">
        <v>0</v>
      </c>
      <c r="I93" s="115">
        <f t="shared" si="15"/>
        <v>-1069102</v>
      </c>
      <c r="J93" s="30">
        <v>0</v>
      </c>
      <c r="K93" s="115">
        <f t="shared" si="16"/>
        <v>-1069102</v>
      </c>
      <c r="L93" s="210" t="s">
        <v>22</v>
      </c>
      <c r="M93" s="20"/>
      <c r="N93" s="42"/>
      <c r="O93" s="42"/>
      <c r="S93" s="18">
        <v>242995</v>
      </c>
      <c r="T93" s="58"/>
    </row>
    <row r="94" spans="1:20" x14ac:dyDescent="0.2">
      <c r="A94" s="100" t="s">
        <v>119</v>
      </c>
      <c r="B94" s="18"/>
      <c r="C94" s="28" t="s">
        <v>118</v>
      </c>
      <c r="D94" s="4" t="s">
        <v>119</v>
      </c>
      <c r="E94" s="29">
        <f>VLOOKUP(A94,'DEK Aug 2015'!$A$1:$I$252,9,FALSE)</f>
        <v>-2943910.2300000004</v>
      </c>
      <c r="F94" s="30">
        <v>0</v>
      </c>
      <c r="G94" s="129">
        <v>1616851.53</v>
      </c>
      <c r="H94" s="33">
        <v>0</v>
      </c>
      <c r="I94" s="115">
        <f t="shared" si="15"/>
        <v>-1327058.7000000004</v>
      </c>
      <c r="J94" s="30">
        <v>0</v>
      </c>
      <c r="K94" s="115">
        <f t="shared" si="16"/>
        <v>-1327058.7000000004</v>
      </c>
      <c r="L94" s="210" t="s">
        <v>22</v>
      </c>
      <c r="M94" s="20"/>
      <c r="N94" s="42"/>
      <c r="O94" s="42"/>
      <c r="S94" s="18">
        <v>242997</v>
      </c>
      <c r="T94" s="58"/>
    </row>
    <row r="95" spans="1:20" x14ac:dyDescent="0.2">
      <c r="A95" s="100" t="s">
        <v>120</v>
      </c>
      <c r="B95" s="18"/>
      <c r="C95" s="28" t="s">
        <v>54</v>
      </c>
      <c r="D95" s="4" t="s">
        <v>120</v>
      </c>
      <c r="E95" s="29">
        <f>VLOOKUP(A95,'DEK Aug 2015'!$A$1:$I$252,9,FALSE)</f>
        <v>-894897.93999999983</v>
      </c>
      <c r="F95" s="33">
        <v>0</v>
      </c>
      <c r="G95" s="155"/>
      <c r="H95" s="130">
        <v>13095.78</v>
      </c>
      <c r="I95" s="115">
        <f t="shared" si="15"/>
        <v>-881802.1599999998</v>
      </c>
      <c r="J95" s="33">
        <v>0</v>
      </c>
      <c r="K95" s="115">
        <f t="shared" si="16"/>
        <v>-881802.1599999998</v>
      </c>
      <c r="L95" s="210" t="s">
        <v>22</v>
      </c>
      <c r="M95" s="42"/>
      <c r="N95" s="42"/>
      <c r="O95" s="42"/>
      <c r="S95" s="18">
        <v>253130</v>
      </c>
      <c r="T95" s="58"/>
    </row>
    <row r="96" spans="1:20" x14ac:dyDescent="0.2">
      <c r="A96" s="100" t="s">
        <v>156</v>
      </c>
      <c r="B96" s="18"/>
      <c r="C96" s="28" t="s">
        <v>116</v>
      </c>
      <c r="D96" s="4" t="s">
        <v>211</v>
      </c>
      <c r="E96" s="29">
        <f>VLOOKUP(A96,'DEK Aug 2015'!$A$1:$I$252,9,FALSE)</f>
        <v>493194.54</v>
      </c>
      <c r="F96" s="33"/>
      <c r="G96" s="130">
        <v>-1828525.07</v>
      </c>
      <c r="H96" s="33">
        <v>0</v>
      </c>
      <c r="I96" s="115">
        <f t="shared" si="15"/>
        <v>-1335330.53</v>
      </c>
      <c r="J96" s="30">
        <v>0</v>
      </c>
      <c r="K96" s="115">
        <f t="shared" si="16"/>
        <v>-1335330.53</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-4524893.17</v>
      </c>
      <c r="F98" s="33">
        <f t="shared" si="17"/>
        <v>0</v>
      </c>
      <c r="G98" s="33">
        <f t="shared" si="17"/>
        <v>-243761.30000000005</v>
      </c>
      <c r="H98" s="33">
        <f t="shared" si="17"/>
        <v>-23068.620000000003</v>
      </c>
      <c r="I98" s="123">
        <f t="shared" si="17"/>
        <v>-4791723.09</v>
      </c>
      <c r="J98" s="33">
        <f t="shared" si="17"/>
        <v>0</v>
      </c>
      <c r="K98" s="123">
        <f t="shared" si="17"/>
        <v>-4791723.09</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f>VLOOKUP(A101,'[23]DEK Jun 2013'!$A$1:$I$252,9,FALSE)</f>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Aug 2015'!$A$1:$I$252,9,FALSE)</f>
        <v>-3570854.63</v>
      </c>
      <c r="F106" s="30">
        <v>0</v>
      </c>
      <c r="G106" s="130">
        <v>33028</v>
      </c>
      <c r="H106" s="33">
        <v>0</v>
      </c>
      <c r="I106" s="123">
        <f>E106+G106+H106+F106</f>
        <v>-3537826.63</v>
      </c>
      <c r="J106" s="91">
        <v>0</v>
      </c>
      <c r="K106" s="123">
        <f>I106+J106</f>
        <v>-3537826.63</v>
      </c>
      <c r="L106" s="210" t="s">
        <v>22</v>
      </c>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Aug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Aug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Aug 2015'!$A$1:$I$252,9,FALSE)</f>
        <v>-16258.560000000003</v>
      </c>
      <c r="F111" s="30">
        <v>0</v>
      </c>
      <c r="G111" s="130">
        <v>12.75</v>
      </c>
      <c r="H111" s="33">
        <v>0</v>
      </c>
      <c r="I111" s="117">
        <f>E111+F111+G111+H111</f>
        <v>-16245.810000000003</v>
      </c>
      <c r="J111" s="30">
        <v>0</v>
      </c>
      <c r="K111" s="123">
        <f t="shared" si="19"/>
        <v>-16245.810000000003</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-16258.560000000003</v>
      </c>
      <c r="F113" s="30">
        <f t="shared" ref="F113:K113" si="21">SUM(F109:F112)</f>
        <v>0</v>
      </c>
      <c r="G113" s="30">
        <f t="shared" si="21"/>
        <v>12.75</v>
      </c>
      <c r="H113" s="30">
        <f t="shared" si="21"/>
        <v>0</v>
      </c>
      <c r="I113" s="122">
        <f t="shared" si="21"/>
        <v>-16245.810000000003</v>
      </c>
      <c r="J113" s="30">
        <f t="shared" si="21"/>
        <v>0</v>
      </c>
      <c r="K113" s="115">
        <f t="shared" si="21"/>
        <v>-16245.810000000003</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Aug 2015'!$A$1:$I$252,9,FALSE)</f>
        <v>-17259252.780000001</v>
      </c>
      <c r="F115" s="30">
        <v>0</v>
      </c>
      <c r="G115" s="129">
        <v>-57209.8</v>
      </c>
      <c r="H115" s="30">
        <v>0</v>
      </c>
      <c r="I115" s="115">
        <f t="shared" ref="I115:I120" si="22">E115+F115+G115+H115</f>
        <v>-17316462.580000002</v>
      </c>
      <c r="J115" s="30">
        <v>0</v>
      </c>
      <c r="K115" s="115">
        <f t="shared" ref="K115:K120" si="23">I115+J115</f>
        <v>-17316462.580000002</v>
      </c>
      <c r="L115" s="210" t="s">
        <v>241</v>
      </c>
      <c r="M115" s="20"/>
      <c r="N115" s="42"/>
      <c r="O115" s="42"/>
      <c r="Q115" s="200">
        <v>75086</v>
      </c>
      <c r="R115" s="58" t="s">
        <v>44</v>
      </c>
      <c r="S115" s="18">
        <v>108201</v>
      </c>
      <c r="T115" s="58"/>
    </row>
    <row r="116" spans="1:22" x14ac:dyDescent="0.2">
      <c r="A116" s="100" t="s">
        <v>166</v>
      </c>
      <c r="B116" s="18"/>
      <c r="C116" s="28" t="s">
        <v>45</v>
      </c>
      <c r="D116" s="4" t="s">
        <v>198</v>
      </c>
      <c r="E116" s="29">
        <f>VLOOKUP(A116,'DEK Aug 2015'!$A$1:$I$252,9,FALSE)</f>
        <v>-47016484.590000004</v>
      </c>
      <c r="F116" s="30">
        <v>0</v>
      </c>
      <c r="G116" s="129">
        <v>-290586.88</v>
      </c>
      <c r="H116" s="30">
        <v>0</v>
      </c>
      <c r="I116" s="115">
        <f t="shared" si="22"/>
        <v>-47307071.470000006</v>
      </c>
      <c r="J116" s="30">
        <v>0</v>
      </c>
      <c r="K116" s="115">
        <f t="shared" si="23"/>
        <v>-47307071.470000006</v>
      </c>
      <c r="L116" s="210" t="s">
        <v>242</v>
      </c>
      <c r="M116" s="20"/>
      <c r="N116" s="42"/>
      <c r="O116" s="42"/>
      <c r="R116" s="58" t="s">
        <v>44</v>
      </c>
      <c r="S116" s="18">
        <v>108301</v>
      </c>
      <c r="T116" s="58"/>
    </row>
    <row r="117" spans="1:22" x14ac:dyDescent="0.2">
      <c r="A117" s="100" t="s">
        <v>167</v>
      </c>
      <c r="B117" s="18"/>
      <c r="C117" s="28" t="s">
        <v>46</v>
      </c>
      <c r="D117" s="4" t="s">
        <v>199</v>
      </c>
      <c r="E117" s="29">
        <f>VLOOKUP(A117,'DEK Aug 2015'!$A$1:$I$252,9,FALSE)</f>
        <v>10309173.639999999</v>
      </c>
      <c r="F117" s="30">
        <v>0</v>
      </c>
      <c r="G117" s="129">
        <v>159326.57999999999</v>
      </c>
      <c r="H117" s="30">
        <v>0</v>
      </c>
      <c r="I117" s="115">
        <f t="shared" si="22"/>
        <v>10468500.219999999</v>
      </c>
      <c r="J117" s="30">
        <v>0</v>
      </c>
      <c r="K117" s="115">
        <f>I117+J117</f>
        <v>10468500.219999999</v>
      </c>
      <c r="L117" s="210" t="s">
        <v>242</v>
      </c>
      <c r="M117" s="20"/>
      <c r="N117" s="42"/>
      <c r="O117" s="42"/>
      <c r="S117" s="18">
        <v>108410</v>
      </c>
      <c r="T117" s="58"/>
    </row>
    <row r="118" spans="1:22" x14ac:dyDescent="0.2">
      <c r="A118" s="100" t="s">
        <v>168</v>
      </c>
      <c r="B118" s="18"/>
      <c r="C118" s="28" t="s">
        <v>74</v>
      </c>
      <c r="D118" s="4" t="s">
        <v>217</v>
      </c>
      <c r="E118" s="29">
        <f>VLOOKUP(A118,'DEK Aug 2015'!$A$1:$I$252,9,FALSE)</f>
        <v>2187511.3299999996</v>
      </c>
      <c r="F118" s="30">
        <v>0</v>
      </c>
      <c r="G118" s="129">
        <v>20909.14</v>
      </c>
      <c r="H118" s="30">
        <v>0</v>
      </c>
      <c r="I118" s="115">
        <f t="shared" si="22"/>
        <v>2208420.4699999997</v>
      </c>
      <c r="J118" s="30">
        <v>0</v>
      </c>
      <c r="K118" s="115">
        <f>I118+J118</f>
        <v>2208420.4699999997</v>
      </c>
      <c r="M118" s="20"/>
      <c r="N118" s="42"/>
      <c r="O118" s="42"/>
      <c r="Q118" s="4" t="s">
        <v>50</v>
      </c>
      <c r="R118" s="4" t="s">
        <v>51</v>
      </c>
      <c r="S118" s="18">
        <v>182303</v>
      </c>
      <c r="T118" s="58"/>
    </row>
    <row r="119" spans="1:22" x14ac:dyDescent="0.2">
      <c r="A119" s="100" t="s">
        <v>169</v>
      </c>
      <c r="B119" s="18"/>
      <c r="C119" s="28" t="s">
        <v>49</v>
      </c>
      <c r="D119" s="4" t="s">
        <v>218</v>
      </c>
      <c r="E119" s="29">
        <f>VLOOKUP(A119,'DEK Aug 2015'!$A$1:$I$252,9,FALSE)</f>
        <v>4223397.1400000015</v>
      </c>
      <c r="F119" s="30">
        <v>0</v>
      </c>
      <c r="G119" s="129">
        <v>21821.82</v>
      </c>
      <c r="H119" s="30">
        <v>0</v>
      </c>
      <c r="I119" s="115">
        <f t="shared" si="22"/>
        <v>4245218.9600000018</v>
      </c>
      <c r="J119" s="30">
        <v>0</v>
      </c>
      <c r="K119" s="115">
        <f t="shared" si="23"/>
        <v>4245218.9600000018</v>
      </c>
      <c r="M119" s="20"/>
      <c r="N119" s="42"/>
      <c r="O119" s="42"/>
      <c r="Q119" s="4" t="s">
        <v>50</v>
      </c>
      <c r="S119" s="18">
        <v>182304</v>
      </c>
      <c r="T119" s="58"/>
    </row>
    <row r="120" spans="1:22" x14ac:dyDescent="0.2">
      <c r="A120" s="100" t="s">
        <v>170</v>
      </c>
      <c r="B120" s="18"/>
      <c r="C120" s="28" t="s">
        <v>42</v>
      </c>
      <c r="D120" s="4" t="s">
        <v>200</v>
      </c>
      <c r="E120" s="29">
        <f>VLOOKUP(A120,'DEK Aug 2015'!$A$1:$I$252,9,FALSE)</f>
        <v>-115744.05000000002</v>
      </c>
      <c r="F120" s="30">
        <v>0</v>
      </c>
      <c r="G120" s="129">
        <v>-5922.47</v>
      </c>
      <c r="H120" s="30">
        <v>0</v>
      </c>
      <c r="I120" s="115">
        <f t="shared" si="22"/>
        <v>-121666.52000000002</v>
      </c>
      <c r="J120" s="30">
        <v>0</v>
      </c>
      <c r="K120" s="115">
        <f t="shared" si="23"/>
        <v>-121666.52000000002</v>
      </c>
      <c r="L120" s="210" t="s">
        <v>241</v>
      </c>
      <c r="M120" s="20"/>
      <c r="N120" s="42"/>
      <c r="O120" s="42"/>
      <c r="R120" s="58" t="s">
        <v>44</v>
      </c>
      <c r="S120" s="18">
        <v>108101</v>
      </c>
      <c r="T120" s="58"/>
    </row>
    <row r="121" spans="1:22" x14ac:dyDescent="0.2">
      <c r="B121" s="18"/>
      <c r="C121" s="28"/>
      <c r="E121" s="36"/>
      <c r="F121" s="36"/>
      <c r="G121" s="150"/>
      <c r="H121" s="36"/>
      <c r="I121" s="127"/>
      <c r="J121" s="68"/>
      <c r="K121" s="127"/>
      <c r="L121" s="209"/>
      <c r="M121" s="62"/>
      <c r="P121" s="51"/>
      <c r="Q121" s="18"/>
      <c r="R121" s="58"/>
      <c r="S121" s="18">
        <v>254401</v>
      </c>
    </row>
    <row r="122" spans="1:22" x14ac:dyDescent="0.2">
      <c r="B122" s="18"/>
      <c r="C122" s="28"/>
      <c r="E122" s="33">
        <f t="shared" ref="E122:K122" si="24">SUM(E115:E121)</f>
        <v>-47671399.310000002</v>
      </c>
      <c r="F122" s="33">
        <f t="shared" si="24"/>
        <v>0</v>
      </c>
      <c r="G122" s="33">
        <f t="shared" si="24"/>
        <v>-151661.61000000002</v>
      </c>
      <c r="H122" s="33">
        <f t="shared" si="24"/>
        <v>0</v>
      </c>
      <c r="I122" s="123">
        <f t="shared" si="24"/>
        <v>-47823060.920000017</v>
      </c>
      <c r="J122" s="33">
        <f t="shared" si="24"/>
        <v>0</v>
      </c>
      <c r="K122" s="123">
        <f t="shared" si="24"/>
        <v>-47823060.920000017</v>
      </c>
      <c r="L122" s="209"/>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-55783405.670000002</v>
      </c>
      <c r="F124" s="133">
        <f t="shared" ref="F124:H124" si="25">+F98+F106+F113+F122+F103</f>
        <v>0</v>
      </c>
      <c r="G124" s="133">
        <f t="shared" si="25"/>
        <v>-362382.16000000003</v>
      </c>
      <c r="H124" s="133">
        <f t="shared" si="25"/>
        <v>-23068.620000000003</v>
      </c>
      <c r="I124" s="134">
        <f>+I98+I106+I113+I122+I103</f>
        <v>-56168856.450000018</v>
      </c>
      <c r="J124" s="133">
        <f>+J98+J106+J113+J122+J103</f>
        <v>0</v>
      </c>
      <c r="K124" s="134">
        <f>+K98+K106+K113+K122+K103</f>
        <v>-56168856.450000018</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3569405.299999997</v>
      </c>
      <c r="F126" s="137">
        <f>F124+F88</f>
        <v>0</v>
      </c>
      <c r="G126" s="137">
        <f>G124+G88</f>
        <v>1532366.04</v>
      </c>
      <c r="H126" s="137">
        <f>H124+H88</f>
        <v>-45274.79</v>
      </c>
      <c r="I126" s="138">
        <f>I88+I124</f>
        <v>5056496.5499999821</v>
      </c>
      <c r="J126" s="137">
        <f>J124+J88</f>
        <v>0</v>
      </c>
      <c r="K126" s="138">
        <f>K88+K124</f>
        <v>5056496.5499999896</v>
      </c>
      <c r="L126" s="50">
        <v>0</v>
      </c>
      <c r="M126" s="70"/>
      <c r="N126" s="70"/>
      <c r="O126" s="70"/>
      <c r="P126" s="50"/>
      <c r="Q126" s="50"/>
      <c r="R126" s="50"/>
      <c r="S126" s="18"/>
      <c r="T126" s="29">
        <f>+G126+H126+F126</f>
        <v>1487091.25</v>
      </c>
      <c r="U126" s="19">
        <v>13111056.41</v>
      </c>
      <c r="V126" s="29">
        <f>+T126-U126</f>
        <v>-11623965.16</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-300125.91999999993</v>
      </c>
      <c r="H128" s="139">
        <f>-H120-H115-H116-H117-H118-H119-H78-H16-H109-H30-H22-H53-H111-H79-H80-H106-H110-H52</f>
        <v>22206.17</v>
      </c>
      <c r="I128" s="74"/>
      <c r="J128" s="74"/>
      <c r="K128" s="74"/>
      <c r="M128" s="76"/>
      <c r="N128" s="77"/>
      <c r="O128" s="77"/>
      <c r="S128" s="18"/>
    </row>
    <row r="129" spans="1:19" ht="12.75" customHeight="1" x14ac:dyDescent="0.2">
      <c r="A129" s="107"/>
      <c r="B129" s="18"/>
      <c r="C129" s="18"/>
      <c r="D129" s="72"/>
      <c r="E129" s="73"/>
      <c r="F129" s="50"/>
      <c r="G129" s="185">
        <f>G126+H126</f>
        <v>1487091.25</v>
      </c>
      <c r="H129" s="50"/>
      <c r="I129" s="50"/>
      <c r="J129" s="50"/>
      <c r="K129" s="50"/>
      <c r="M129" s="20"/>
      <c r="S129" s="18"/>
    </row>
    <row r="130" spans="1:19" ht="12.75" hidden="1" customHeight="1" x14ac:dyDescent="0.2">
      <c r="A130" s="107" t="s">
        <v>58</v>
      </c>
      <c r="B130" s="18"/>
      <c r="C130" s="71"/>
      <c r="D130" s="72" t="s">
        <v>58</v>
      </c>
      <c r="E130" s="73"/>
      <c r="F130" s="50"/>
      <c r="G130" s="145">
        <f>G126+G128</f>
        <v>1232240.1200000001</v>
      </c>
      <c r="H130" s="50">
        <f>H126+H128</f>
        <v>-23068.620000000003</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1209171.5</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2083963.81</v>
      </c>
      <c r="J137" s="84">
        <f>+J19</f>
        <v>4164067.04</v>
      </c>
      <c r="K137" s="84">
        <f>+K19</f>
        <v>6248030.8499999996</v>
      </c>
      <c r="M137" s="20"/>
      <c r="S137" s="18"/>
    </row>
    <row r="138" spans="1:19" hidden="1" x14ac:dyDescent="0.2">
      <c r="A138" s="109" t="s">
        <v>141</v>
      </c>
      <c r="B138" s="18"/>
      <c r="C138" s="18"/>
      <c r="D138" s="82" t="s">
        <v>141</v>
      </c>
      <c r="E138" s="83">
        <f>+E24</f>
        <v>1810204.4900000009</v>
      </c>
      <c r="F138" s="32">
        <f t="shared" si="26"/>
        <v>0</v>
      </c>
      <c r="G138" s="165"/>
      <c r="H138" s="83"/>
      <c r="I138" s="84">
        <f>+I24</f>
        <v>1787998.320000001</v>
      </c>
      <c r="J138" s="84">
        <f>+J24</f>
        <v>-266474.03999999998</v>
      </c>
      <c r="K138" s="84">
        <f>+K24</f>
        <v>1521524.280000001</v>
      </c>
      <c r="M138" s="20"/>
      <c r="S138" s="18"/>
    </row>
    <row r="139" spans="1:19" hidden="1" x14ac:dyDescent="0.2">
      <c r="A139" s="109" t="s">
        <v>61</v>
      </c>
      <c r="B139" s="18"/>
      <c r="C139" s="18"/>
      <c r="D139" s="82" t="s">
        <v>61</v>
      </c>
      <c r="E139" s="32">
        <f>+E30</f>
        <v>1070337.2</v>
      </c>
      <c r="F139" s="32">
        <f t="shared" si="26"/>
        <v>0</v>
      </c>
      <c r="G139" s="157"/>
      <c r="H139" s="32"/>
      <c r="I139" s="84">
        <f>+I30</f>
        <v>1085175.2</v>
      </c>
      <c r="J139" s="84">
        <f>+J30</f>
        <v>0</v>
      </c>
      <c r="K139" s="84">
        <f>+K30</f>
        <v>1085175.2</v>
      </c>
      <c r="M139" s="20"/>
      <c r="S139" s="18"/>
    </row>
    <row r="140" spans="1:19" hidden="1" x14ac:dyDescent="0.2">
      <c r="A140" s="109" t="s">
        <v>143</v>
      </c>
      <c r="B140" s="18"/>
      <c r="C140" s="18"/>
      <c r="D140" s="82" t="s">
        <v>143</v>
      </c>
      <c r="E140" s="32">
        <f>+E74</f>
        <v>29410358.43</v>
      </c>
      <c r="F140" s="32">
        <f t="shared" si="26"/>
        <v>0</v>
      </c>
      <c r="G140" s="157"/>
      <c r="H140" s="32"/>
      <c r="I140" s="84">
        <f>+I74</f>
        <v>31250077.629999999</v>
      </c>
      <c r="J140" s="84">
        <f>+J74</f>
        <v>-3897593</v>
      </c>
      <c r="K140" s="84">
        <f>+K74</f>
        <v>27352484.629999999</v>
      </c>
      <c r="M140" s="20"/>
      <c r="S140" s="18"/>
    </row>
    <row r="141" spans="1:19" hidden="1" x14ac:dyDescent="0.2">
      <c r="A141" s="109" t="s">
        <v>151</v>
      </c>
      <c r="B141" s="18"/>
      <c r="C141" s="18"/>
      <c r="D141" s="82" t="s">
        <v>151</v>
      </c>
      <c r="E141" s="32">
        <f>+E82</f>
        <v>25230967.040000003</v>
      </c>
      <c r="F141" s="32">
        <f t="shared" si="26"/>
        <v>0</v>
      </c>
      <c r="G141" s="157"/>
      <c r="H141" s="32"/>
      <c r="I141" s="84">
        <f>+I82</f>
        <v>25018138.040000003</v>
      </c>
      <c r="J141" s="84">
        <f>+J82</f>
        <v>0</v>
      </c>
      <c r="K141" s="84">
        <f>+K82</f>
        <v>25018138.040000003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-4524893.17</v>
      </c>
      <c r="F143" s="32" t="e">
        <f>+F92+#REF!</f>
        <v>#REF!</v>
      </c>
      <c r="G143" s="157"/>
      <c r="H143" s="32"/>
      <c r="I143" s="84">
        <f>+I98</f>
        <v>-4791723.09</v>
      </c>
      <c r="J143" s="84">
        <f>+J98</f>
        <v>0</v>
      </c>
      <c r="K143" s="84">
        <f>+K98</f>
        <v>-4791723.09</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-3570854.63</v>
      </c>
      <c r="F145" s="32" t="e">
        <f>+#REF!+#REF!</f>
        <v>#REF!</v>
      </c>
      <c r="G145" s="157"/>
      <c r="H145" s="32"/>
      <c r="I145" s="84">
        <f>+I106</f>
        <v>-3537826.63</v>
      </c>
      <c r="J145" s="84">
        <f>+J106</f>
        <v>0</v>
      </c>
      <c r="K145" s="84">
        <f>+K106</f>
        <v>-3537826.63</v>
      </c>
      <c r="M145" s="20"/>
      <c r="S145" s="18"/>
    </row>
    <row r="146" spans="1:19" hidden="1" x14ac:dyDescent="0.2">
      <c r="A146" s="109" t="s">
        <v>153</v>
      </c>
      <c r="B146" s="18"/>
      <c r="C146" s="18"/>
      <c r="D146" s="82" t="s">
        <v>153</v>
      </c>
      <c r="E146" s="32">
        <f>+E113</f>
        <v>-16258.560000000003</v>
      </c>
      <c r="F146" s="32" t="e">
        <f>+#REF!+F93</f>
        <v>#REF!</v>
      </c>
      <c r="G146" s="157"/>
      <c r="H146" s="32"/>
      <c r="I146" s="84">
        <f>+I113</f>
        <v>-16245.810000000003</v>
      </c>
      <c r="J146" s="84">
        <f>+J113</f>
        <v>0</v>
      </c>
      <c r="K146" s="84">
        <f>+K113</f>
        <v>-16245.810000000003</v>
      </c>
      <c r="M146" s="20"/>
      <c r="S146" s="18"/>
    </row>
    <row r="147" spans="1:19" hidden="1" x14ac:dyDescent="0.2">
      <c r="A147" s="109" t="s">
        <v>155</v>
      </c>
      <c r="B147" s="18"/>
      <c r="C147" s="18"/>
      <c r="D147" s="82" t="s">
        <v>155</v>
      </c>
      <c r="E147" s="32">
        <f>+E122</f>
        <v>-47671399.310000002</v>
      </c>
      <c r="F147" s="32">
        <f t="shared" ref="F147" si="27">+F93+F94</f>
        <v>0</v>
      </c>
      <c r="G147" s="157"/>
      <c r="H147" s="32"/>
      <c r="I147" s="84">
        <f>+I122</f>
        <v>-47823060.920000017</v>
      </c>
      <c r="J147" s="84">
        <f>+J122</f>
        <v>0</v>
      </c>
      <c r="K147" s="84">
        <f>+K122</f>
        <v>-47823060.920000017</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3569405.2999999896</v>
      </c>
      <c r="F149" s="88" t="e">
        <f>SUM(F139:F148)</f>
        <v>#REF!</v>
      </c>
      <c r="G149" s="166"/>
      <c r="H149" s="88"/>
      <c r="I149" s="89">
        <f>SUM(I135:I148)</f>
        <v>5056496.5499999747</v>
      </c>
      <c r="J149" s="89">
        <f>SUM(J135:J148)</f>
        <v>0</v>
      </c>
      <c r="K149" s="89">
        <f>SUM(K135:K148)</f>
        <v>5056496.5499999747</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-7.4505805969238281E-9</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303020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-243761.30000000005</v>
      </c>
      <c r="H157" s="19">
        <f>+H92+H93+H94+H95+H91</f>
        <v>-23068.620000000003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-1172981.4200000002</v>
      </c>
      <c r="H159" s="110">
        <f>+H155+H156+H157-H130</f>
        <v>0</v>
      </c>
      <c r="I159" s="19"/>
      <c r="J159" s="19"/>
      <c r="K159" s="19"/>
      <c r="M159" s="20"/>
      <c r="S159" s="18"/>
    </row>
    <row r="160" spans="1:19" hidden="1" x14ac:dyDescent="0.2">
      <c r="B160" s="18"/>
      <c r="C160" s="18"/>
      <c r="F160" s="19"/>
      <c r="H160" s="29">
        <f>+H156+H157+H155+G155+G156+G157</f>
        <v>36190.079999999958</v>
      </c>
      <c r="I160" s="19"/>
      <c r="J160" s="19"/>
      <c r="K160" s="19"/>
      <c r="M160" s="20"/>
      <c r="S160" s="18"/>
    </row>
    <row r="161" spans="1:19" hidden="1" x14ac:dyDescent="0.2">
      <c r="B161" s="18"/>
      <c r="C161" s="18"/>
      <c r="F161" s="19"/>
      <c r="G161" s="148"/>
      <c r="H161" s="29">
        <f>+H160-G130-H130</f>
        <v>-1172981.42</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9"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292"/>
  <sheetViews>
    <sheetView topLeftCell="A86" zoomScale="80" zoomScaleNormal="80" workbookViewId="0">
      <selection activeCell="G173" sqref="G173"/>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ht="12.75" customHeight="1" x14ac:dyDescent="0.25">
      <c r="A2" s="99"/>
      <c r="B2" s="3" t="s">
        <v>220</v>
      </c>
      <c r="C2" s="3"/>
      <c r="D2" s="3"/>
      <c r="E2" s="3"/>
      <c r="F2" s="3"/>
      <c r="G2" s="146"/>
      <c r="H2" s="3"/>
      <c r="I2" s="3"/>
      <c r="J2" s="208"/>
      <c r="K2" s="3"/>
      <c r="M2" s="5"/>
    </row>
    <row r="3" spans="1:22" x14ac:dyDescent="0.2">
      <c r="A3" s="99"/>
      <c r="B3" s="3" t="s">
        <v>221</v>
      </c>
      <c r="C3" s="3"/>
      <c r="D3" s="3"/>
      <c r="E3" s="3"/>
      <c r="F3" s="3"/>
      <c r="G3" s="146"/>
      <c r="H3" s="3"/>
      <c r="I3" s="3"/>
      <c r="J3" s="3"/>
      <c r="K3" s="3"/>
      <c r="M3" s="5"/>
      <c r="P3" s="201" t="s">
        <v>66</v>
      </c>
    </row>
    <row r="4" spans="1:22" x14ac:dyDescent="0.2">
      <c r="A4" s="99"/>
      <c r="B4" s="7"/>
      <c r="C4" s="3"/>
      <c r="D4" s="3"/>
      <c r="E4" s="3"/>
      <c r="F4" s="8"/>
      <c r="G4" s="147"/>
      <c r="H4" s="8"/>
      <c r="I4" s="202"/>
      <c r="J4" s="9"/>
      <c r="K4" s="202"/>
      <c r="M4" s="10"/>
      <c r="P4" s="201" t="s">
        <v>1</v>
      </c>
    </row>
    <row r="5" spans="1:22" x14ac:dyDescent="0.2">
      <c r="E5" s="206" t="s">
        <v>2</v>
      </c>
      <c r="F5" s="201" t="s">
        <v>3</v>
      </c>
      <c r="G5" s="201" t="s">
        <v>4</v>
      </c>
      <c r="H5" s="201"/>
      <c r="I5" s="123" t="s">
        <v>208</v>
      </c>
      <c r="J5" s="13" t="s">
        <v>180</v>
      </c>
      <c r="K5" s="204" t="s">
        <v>209</v>
      </c>
      <c r="L5" s="201" t="s">
        <v>5</v>
      </c>
      <c r="M5" s="11" t="s">
        <v>6</v>
      </c>
      <c r="N5" s="11" t="s">
        <v>0</v>
      </c>
      <c r="O5" s="11" t="s">
        <v>8</v>
      </c>
      <c r="P5" s="201" t="s">
        <v>9</v>
      </c>
      <c r="Q5" s="576" t="s">
        <v>10</v>
      </c>
      <c r="R5" s="576"/>
      <c r="U5" s="12" t="s">
        <v>11</v>
      </c>
    </row>
    <row r="6" spans="1:22" x14ac:dyDescent="0.2">
      <c r="E6" s="207">
        <v>42185</v>
      </c>
      <c r="F6" s="13" t="s">
        <v>12</v>
      </c>
      <c r="G6" s="14" t="s">
        <v>13</v>
      </c>
      <c r="H6" s="14" t="s">
        <v>8</v>
      </c>
      <c r="I6" s="112">
        <v>42277</v>
      </c>
      <c r="J6" s="13" t="s">
        <v>210</v>
      </c>
      <c r="K6" s="205">
        <f>I6</f>
        <v>42277</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Jun 2015'!$A$1:$I$252,9,FALSE)</f>
        <v>534290.81000000006</v>
      </c>
      <c r="F15" s="30">
        <v>0</v>
      </c>
      <c r="G15" s="130">
        <v>253020</v>
      </c>
      <c r="H15" s="30">
        <v>0</v>
      </c>
      <c r="I15" s="115">
        <f>E15+F15+G15+H15</f>
        <v>787310.81</v>
      </c>
      <c r="J15" s="30">
        <v>0</v>
      </c>
      <c r="K15" s="115">
        <f>I15+J15</f>
        <v>787310.81</v>
      </c>
      <c r="M15" s="20"/>
      <c r="S15" s="18"/>
    </row>
    <row r="16" spans="1:22" x14ac:dyDescent="0.2">
      <c r="A16" s="100" t="s">
        <v>157</v>
      </c>
      <c r="B16" s="28"/>
      <c r="C16" s="28" t="s">
        <v>37</v>
      </c>
      <c r="D16" s="4" t="s">
        <v>192</v>
      </c>
      <c r="E16" s="29">
        <f>VLOOKUP(A16,'DEK Jun 2015'!$A$1:$I$252,9,FALSE)</f>
        <v>1296653</v>
      </c>
      <c r="F16" s="30">
        <v>0</v>
      </c>
      <c r="G16" s="30">
        <v>0</v>
      </c>
      <c r="H16" s="30">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Jun 2015'!$A$1:$I$252,9,FALSE)</f>
        <v>0</v>
      </c>
      <c r="F17" s="30">
        <v>0</v>
      </c>
      <c r="G17" s="33">
        <v>0</v>
      </c>
      <c r="H17" s="33">
        <v>0</v>
      </c>
      <c r="I17" s="115">
        <f>E17+F17+G17+H17</f>
        <v>0</v>
      </c>
      <c r="J17" s="30">
        <v>4164067.04</v>
      </c>
      <c r="K17" s="115">
        <f t="shared" ref="K17" si="1">I17+J17</f>
        <v>4164067.04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253020</v>
      </c>
      <c r="H19" s="29">
        <f t="shared" si="2"/>
        <v>0</v>
      </c>
      <c r="I19" s="123">
        <f t="shared" si="2"/>
        <v>2083963.81</v>
      </c>
      <c r="J19" s="49">
        <f t="shared" si="2"/>
        <v>4164067.04</v>
      </c>
      <c r="K19" s="123">
        <f t="shared" si="2"/>
        <v>6248030.8499999996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Jun 2015'!$A$1:$I$252,9,FALSE)</f>
        <v>1854616.8400000008</v>
      </c>
      <c r="F22" s="33">
        <v>0</v>
      </c>
      <c r="G22" s="33">
        <v>0</v>
      </c>
      <c r="H22" s="130">
        <v>-66618.52</v>
      </c>
      <c r="I22" s="115">
        <f>E22+F22+G22+H22</f>
        <v>1787998.3200000008</v>
      </c>
      <c r="J22" s="33">
        <v>-266474.03999999998</v>
      </c>
      <c r="K22" s="115">
        <f>I22+J22</f>
        <v>1521524.2800000007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1854616.8400000008</v>
      </c>
      <c r="F24" s="29">
        <f t="shared" ref="F24:K24" si="3">SUM(F22:F23)</f>
        <v>0</v>
      </c>
      <c r="G24" s="29">
        <f t="shared" si="3"/>
        <v>0</v>
      </c>
      <c r="H24" s="29">
        <f t="shared" si="3"/>
        <v>-66618.52</v>
      </c>
      <c r="I24" s="123">
        <f t="shared" si="3"/>
        <v>1787998.3200000008</v>
      </c>
      <c r="J24" s="49">
        <f t="shared" si="3"/>
        <v>-266474.03999999998</v>
      </c>
      <c r="K24" s="123">
        <f t="shared" si="3"/>
        <v>1521524.2800000007</v>
      </c>
      <c r="M24" s="20"/>
      <c r="S24" s="18"/>
    </row>
    <row r="25" spans="1:21" x14ac:dyDescent="0.2">
      <c r="B25" s="28"/>
      <c r="C25" s="18"/>
      <c r="E25" s="197"/>
      <c r="F25" s="30"/>
      <c r="G25" s="152"/>
      <c r="H25" s="30"/>
      <c r="I25" s="118"/>
      <c r="J25" s="37"/>
      <c r="K25" s="118"/>
      <c r="M25" s="20"/>
      <c r="S25" s="18"/>
    </row>
    <row r="26" spans="1:21" x14ac:dyDescent="0.2">
      <c r="B26" s="41" t="s">
        <v>191</v>
      </c>
      <c r="E26" s="197"/>
      <c r="F26" s="30"/>
      <c r="G26" s="152"/>
      <c r="H26" s="30"/>
      <c r="I26" s="115"/>
      <c r="J26" s="30"/>
      <c r="K26" s="115"/>
      <c r="M26" s="20"/>
    </row>
    <row r="27" spans="1:21" x14ac:dyDescent="0.2">
      <c r="A27" s="100" t="s">
        <v>79</v>
      </c>
      <c r="B27" s="28"/>
      <c r="C27" s="28" t="s">
        <v>21</v>
      </c>
      <c r="D27" s="4" t="s">
        <v>203</v>
      </c>
      <c r="E27" s="197">
        <f>VLOOKUP(A27,'DEK Jun 2015'!$A$1:$I$252,9,FALSE)</f>
        <v>1568254</v>
      </c>
      <c r="F27" s="33">
        <v>0</v>
      </c>
      <c r="G27" s="130">
        <v>29314</v>
      </c>
      <c r="H27" s="29">
        <v>0</v>
      </c>
      <c r="I27" s="115">
        <f>E27+F27+G27+H27</f>
        <v>1597568</v>
      </c>
      <c r="J27" s="33">
        <v>0</v>
      </c>
      <c r="K27" s="115">
        <f>I27+J27</f>
        <v>1597568</v>
      </c>
      <c r="L27" s="4" t="s">
        <v>22</v>
      </c>
      <c r="M27" s="20"/>
      <c r="S27" s="28" t="s">
        <v>23</v>
      </c>
    </row>
    <row r="28" spans="1:21" ht="13.5" customHeight="1" x14ac:dyDescent="0.2">
      <c r="A28" s="100" t="s">
        <v>80</v>
      </c>
      <c r="B28" s="28"/>
      <c r="C28" s="28" t="s">
        <v>24</v>
      </c>
      <c r="D28" s="4" t="s">
        <v>204</v>
      </c>
      <c r="E28" s="197">
        <f>VLOOKUP(A28,'DEK Jun 2015'!$A$1:$I$252,9,FALSE)</f>
        <v>-527590.80000000005</v>
      </c>
      <c r="F28" s="33">
        <v>0</v>
      </c>
      <c r="G28" s="130">
        <v>15198</v>
      </c>
      <c r="H28" s="32">
        <v>0</v>
      </c>
      <c r="I28" s="115">
        <f>E28+F28+G28+H28</f>
        <v>-512392.80000000005</v>
      </c>
      <c r="J28" s="33">
        <v>0</v>
      </c>
      <c r="K28" s="115">
        <f>I28+J28</f>
        <v>-512392.80000000005</v>
      </c>
      <c r="L28" s="4" t="s">
        <v>22</v>
      </c>
      <c r="M28" s="42"/>
      <c r="P28" s="31"/>
      <c r="S28" s="18">
        <v>254300</v>
      </c>
    </row>
    <row r="29" spans="1:21" ht="12" customHeight="1" x14ac:dyDescent="0.2">
      <c r="B29" s="28"/>
      <c r="C29" s="28"/>
      <c r="E29" s="198"/>
      <c r="F29" s="36"/>
      <c r="G29" s="150"/>
      <c r="H29" s="35"/>
      <c r="I29" s="116"/>
      <c r="J29" s="36"/>
      <c r="K29" s="116"/>
      <c r="M29" s="42"/>
      <c r="P29" s="31"/>
      <c r="S29" s="18"/>
    </row>
    <row r="30" spans="1:21" x14ac:dyDescent="0.2">
      <c r="A30" s="102" t="s">
        <v>25</v>
      </c>
      <c r="B30" s="18"/>
      <c r="C30" s="18"/>
      <c r="D30" s="43"/>
      <c r="E30" s="199">
        <f>SUM(E27:E29)</f>
        <v>1040663.2</v>
      </c>
      <c r="F30" s="44">
        <f t="shared" ref="F30:K30" si="4">SUM(F27:F28)</f>
        <v>0</v>
      </c>
      <c r="G30" s="33">
        <f t="shared" si="4"/>
        <v>44512</v>
      </c>
      <c r="H30" s="33">
        <f t="shared" si="4"/>
        <v>0</v>
      </c>
      <c r="I30" s="123">
        <f t="shared" si="4"/>
        <v>1085175.2</v>
      </c>
      <c r="J30" s="33">
        <f t="shared" si="4"/>
        <v>0</v>
      </c>
      <c r="K30" s="123">
        <f t="shared" si="4"/>
        <v>1085175.2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Jun 2015'!$A$1:$I$252,9,FALSE)</f>
        <v>7629291.9400000004</v>
      </c>
      <c r="F52" s="33">
        <v>0</v>
      </c>
      <c r="G52" s="130">
        <v>-228362.58</v>
      </c>
      <c r="H52" s="33">
        <v>0</v>
      </c>
      <c r="I52" s="115">
        <f>E52+F52+G52+H52</f>
        <v>7400929.3600000003</v>
      </c>
      <c r="J52" s="33">
        <v>-3897593</v>
      </c>
      <c r="K52" s="115">
        <f>I52+J52</f>
        <v>3503336.3600000003</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Jun 2015'!$A$1:$I$252,9,FALSE)</f>
        <v>5236744</v>
      </c>
      <c r="F53" s="33">
        <v>0</v>
      </c>
      <c r="G53" s="130">
        <v>593243</v>
      </c>
      <c r="H53" s="33">
        <v>0</v>
      </c>
      <c r="I53" s="115">
        <f>E53+F53+G53+H53</f>
        <v>5829987</v>
      </c>
      <c r="J53" s="33">
        <v>0</v>
      </c>
      <c r="K53" s="115">
        <f>I53+J53</f>
        <v>5829987</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Jun 2015'!$A$1:$I$252,9,FALSE)</f>
        <v>1300000</v>
      </c>
      <c r="F59" s="33">
        <v>0</v>
      </c>
      <c r="G59" s="130">
        <v>50000</v>
      </c>
      <c r="H59" s="33">
        <v>0</v>
      </c>
      <c r="I59" s="115">
        <f>E59+F59+G59+H59</f>
        <v>1350000</v>
      </c>
      <c r="J59" s="33">
        <v>0</v>
      </c>
      <c r="K59" s="115">
        <f>I59+J59</f>
        <v>1350000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Jun 2015'!$A$1:$I$252,9,FALSE)</f>
        <v>6887033.9499999993</v>
      </c>
      <c r="F67" s="172"/>
      <c r="G67" s="130">
        <v>2408302.16</v>
      </c>
      <c r="H67" s="172"/>
      <c r="I67" s="115">
        <f t="shared" si="5"/>
        <v>9295336.1099999994</v>
      </c>
      <c r="J67" s="172"/>
      <c r="K67" s="115">
        <f t="shared" si="6"/>
        <v>9295336.1099999994</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Jun 2015'!$A$1:$I$252,9,FALSE)</f>
        <v>-812018.38</v>
      </c>
      <c r="F69" s="172"/>
      <c r="G69" s="130">
        <v>-27067.279999999999</v>
      </c>
      <c r="H69" s="33"/>
      <c r="I69" s="115">
        <f t="shared" si="5"/>
        <v>-839085.66</v>
      </c>
      <c r="J69" s="33"/>
      <c r="K69" s="115">
        <f t="shared" si="6"/>
        <v>-839085.66</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240</v>
      </c>
      <c r="B71" s="28"/>
      <c r="C71" s="28" t="s">
        <v>239</v>
      </c>
      <c r="D71" s="4" t="s">
        <v>240</v>
      </c>
      <c r="E71" s="32">
        <v>0</v>
      </c>
      <c r="F71" s="172"/>
      <c r="G71" s="130">
        <v>3300226.82</v>
      </c>
      <c r="H71" s="33"/>
      <c r="I71" s="115">
        <f t="shared" ref="I71" si="7">E71+F71+G71+H71</f>
        <v>3300226.82</v>
      </c>
      <c r="J71" s="33"/>
      <c r="K71" s="115">
        <f t="shared" ref="K71" si="8">I71+J71</f>
        <v>3300226.82</v>
      </c>
      <c r="M71" s="20"/>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Jun 2015'!$A$1:$I$252,9,FALSE)</f>
        <v>0</v>
      </c>
      <c r="F73" s="174"/>
      <c r="G73" s="36">
        <v>0</v>
      </c>
      <c r="H73" s="36"/>
      <c r="I73" s="116">
        <f t="shared" ref="I73" si="9">E73+F73+G73+H73</f>
        <v>0</v>
      </c>
      <c r="J73" s="36"/>
      <c r="K73" s="116">
        <f t="shared" ref="K73" si="10">I73+J73</f>
        <v>0</v>
      </c>
      <c r="M73" s="20"/>
      <c r="S73" s="18"/>
    </row>
    <row r="74" spans="1:21" x14ac:dyDescent="0.2">
      <c r="B74" s="54"/>
      <c r="C74" s="28"/>
      <c r="E74" s="29">
        <f>SUM(E42:E73)</f>
        <v>25153735.510000002</v>
      </c>
      <c r="F74" s="29">
        <f>SUM(F39:F65)+F36</f>
        <v>0</v>
      </c>
      <c r="G74" s="29">
        <f>SUM(G39:G73)+G36</f>
        <v>6096342.1200000001</v>
      </c>
      <c r="H74" s="29">
        <f>SUM(H39:H73)+H36</f>
        <v>0</v>
      </c>
      <c r="I74" s="123">
        <f>SUM(I39:I73)+I36</f>
        <v>31250077.629999999</v>
      </c>
      <c r="J74" s="49">
        <f>SUM(J39:J73)+J36</f>
        <v>-3897593</v>
      </c>
      <c r="K74" s="123">
        <f>SUM(K39:K73)+K36</f>
        <v>27352484.629999999</v>
      </c>
      <c r="M74" s="20"/>
      <c r="S74" s="18"/>
    </row>
    <row r="75" spans="1:21" x14ac:dyDescent="0.2">
      <c r="B75" s="28"/>
      <c r="C75" s="28"/>
      <c r="E75" s="29"/>
      <c r="F75" s="30"/>
      <c r="G75" s="152"/>
      <c r="H75" s="30"/>
      <c r="I75" s="115"/>
      <c r="J75" s="30"/>
      <c r="K75" s="115"/>
      <c r="M75" s="20"/>
      <c r="S75" s="18"/>
    </row>
    <row r="76" spans="1:21" s="22" customFormat="1" x14ac:dyDescent="0.2">
      <c r="A76" s="101"/>
      <c r="B76" s="54" t="s">
        <v>129</v>
      </c>
      <c r="C76" s="55"/>
      <c r="E76" s="47"/>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29">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29">
        <f>VLOOKUP(A78,'DEK Jun 2015'!$A$1:$I$252,9,FALSE)</f>
        <v>22516908.440000001</v>
      </c>
      <c r="F78" s="30">
        <v>0</v>
      </c>
      <c r="G78" s="130">
        <v>-553347</v>
      </c>
      <c r="H78" s="30">
        <v>0</v>
      </c>
      <c r="I78" s="115">
        <f>E78+F78+G78+H78</f>
        <v>21963561.440000001</v>
      </c>
      <c r="J78" s="30">
        <v>0</v>
      </c>
      <c r="K78" s="115">
        <f t="shared" ref="K78:K80" si="11">I78+J78</f>
        <v>21963561.440000001</v>
      </c>
      <c r="M78" s="20"/>
      <c r="P78" s="58"/>
      <c r="S78" s="18">
        <v>186801</v>
      </c>
    </row>
    <row r="79" spans="1:21" x14ac:dyDescent="0.2">
      <c r="A79" s="108" t="s">
        <v>171</v>
      </c>
      <c r="B79" s="28"/>
      <c r="C79" s="28" t="s">
        <v>122</v>
      </c>
      <c r="D79" s="4" t="s">
        <v>225</v>
      </c>
      <c r="E79" s="29">
        <f>VLOOKUP(A79,'DEK Jun 2015'!$A$1:$I$252,9,FALSE)</f>
        <v>3080445.55</v>
      </c>
      <c r="F79" s="30">
        <v>0</v>
      </c>
      <c r="G79" s="130">
        <v>-82758</v>
      </c>
      <c r="H79" s="30">
        <v>0</v>
      </c>
      <c r="I79" s="115">
        <f>E79+F79+G79+H79</f>
        <v>2997687.55</v>
      </c>
      <c r="J79" s="30">
        <v>0</v>
      </c>
      <c r="K79" s="115">
        <f t="shared" si="11"/>
        <v>2997687.55</v>
      </c>
      <c r="M79" s="20"/>
      <c r="P79" s="58"/>
      <c r="S79" s="18"/>
    </row>
    <row r="80" spans="1:21" x14ac:dyDescent="0.2">
      <c r="A80" s="108" t="s">
        <v>172</v>
      </c>
      <c r="B80" s="28"/>
      <c r="C80" s="28" t="s">
        <v>123</v>
      </c>
      <c r="D80" s="4" t="s">
        <v>226</v>
      </c>
      <c r="E80" s="29">
        <f>VLOOKUP(A80,'DEK Jun 2015'!$A$1:$I$252,9,FALSE)</f>
        <v>59271.05</v>
      </c>
      <c r="F80" s="30">
        <v>0</v>
      </c>
      <c r="G80" s="130">
        <v>-2382</v>
      </c>
      <c r="H80" s="30">
        <v>0</v>
      </c>
      <c r="I80" s="115">
        <f>E80+F80+G80+H80</f>
        <v>56889.05</v>
      </c>
      <c r="J80" s="30">
        <v>0</v>
      </c>
      <c r="K80" s="115">
        <f t="shared" si="11"/>
        <v>56889.05</v>
      </c>
      <c r="M80" s="20"/>
      <c r="P80" s="58"/>
      <c r="S80" s="18"/>
    </row>
    <row r="81" spans="1:20" x14ac:dyDescent="0.2">
      <c r="B81" s="28"/>
      <c r="C81" s="28"/>
      <c r="E81" s="35"/>
      <c r="F81" s="36"/>
      <c r="G81" s="150"/>
      <c r="H81" s="36"/>
      <c r="I81" s="116"/>
      <c r="J81" s="36"/>
      <c r="K81" s="116"/>
      <c r="M81" s="20"/>
      <c r="P81" s="58"/>
      <c r="S81" s="18"/>
    </row>
    <row r="82" spans="1:20" x14ac:dyDescent="0.2">
      <c r="B82" s="28"/>
      <c r="C82" s="18"/>
      <c r="E82" s="29">
        <f>SUM(E77:E81)</f>
        <v>25656625.040000003</v>
      </c>
      <c r="F82" s="29">
        <f t="shared" ref="F82:K82" si="12">SUM(F77:F81)</f>
        <v>0</v>
      </c>
      <c r="G82" s="29">
        <f>SUM(G77:G81)</f>
        <v>-638487</v>
      </c>
      <c r="H82" s="29">
        <f t="shared" si="12"/>
        <v>0</v>
      </c>
      <c r="I82" s="123">
        <f t="shared" si="12"/>
        <v>25018138.040000003</v>
      </c>
      <c r="J82" s="29">
        <f t="shared" si="12"/>
        <v>0</v>
      </c>
      <c r="K82" s="123">
        <f t="shared" si="12"/>
        <v>25018138.040000003</v>
      </c>
      <c r="M82" s="20"/>
      <c r="S82" s="18"/>
    </row>
    <row r="83" spans="1:20" ht="12.75" customHeight="1" x14ac:dyDescent="0.2">
      <c r="B83" s="54" t="s">
        <v>135</v>
      </c>
      <c r="C83" s="18"/>
      <c r="E83" s="29"/>
      <c r="F83" s="29"/>
      <c r="G83" s="151"/>
      <c r="H83" s="29"/>
      <c r="I83" s="117"/>
      <c r="J83" s="29"/>
      <c r="K83" s="117"/>
      <c r="M83" s="20"/>
      <c r="S83" s="18"/>
    </row>
    <row r="84" spans="1:20" ht="12.75" hidden="1" customHeight="1" x14ac:dyDescent="0.2">
      <c r="A84" s="100" t="s">
        <v>108</v>
      </c>
      <c r="B84" s="28"/>
      <c r="C84" s="28" t="s">
        <v>71</v>
      </c>
      <c r="D84" s="4" t="s">
        <v>108</v>
      </c>
      <c r="E84" s="29">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29">
        <v>0</v>
      </c>
      <c r="F85" s="30">
        <v>0</v>
      </c>
      <c r="G85" s="152">
        <v>0</v>
      </c>
      <c r="H85" s="30">
        <v>0</v>
      </c>
      <c r="I85" s="115">
        <f t="shared" si="13"/>
        <v>0</v>
      </c>
      <c r="J85" s="30">
        <f t="shared" si="13"/>
        <v>0</v>
      </c>
      <c r="K85" s="115">
        <f t="shared" si="13"/>
        <v>0</v>
      </c>
      <c r="M85" s="20"/>
      <c r="S85" s="18"/>
    </row>
    <row r="86" spans="1:20" ht="7.5" customHeight="1" x14ac:dyDescent="0.2">
      <c r="B86" s="28"/>
      <c r="C86" s="18"/>
      <c r="D86" s="59"/>
      <c r="E86" s="29"/>
      <c r="F86" s="30"/>
      <c r="G86" s="152"/>
      <c r="H86" s="30"/>
      <c r="I86" s="115"/>
      <c r="J86" s="30"/>
      <c r="K86" s="115"/>
      <c r="M86" s="20"/>
      <c r="P86" s="58"/>
      <c r="S86" s="18"/>
    </row>
    <row r="87" spans="1:20" x14ac:dyDescent="0.2">
      <c r="B87" s="28"/>
      <c r="C87" s="18"/>
      <c r="E87" s="29"/>
      <c r="F87" s="30"/>
      <c r="G87" s="152"/>
      <c r="H87" s="30"/>
      <c r="I87" s="115"/>
      <c r="J87" s="30"/>
      <c r="K87" s="115"/>
      <c r="M87" s="20"/>
      <c r="S87" s="18"/>
    </row>
    <row r="88" spans="1:20" x14ac:dyDescent="0.2">
      <c r="B88" s="18"/>
      <c r="C88" s="131" t="s">
        <v>41</v>
      </c>
      <c r="D88" s="135"/>
      <c r="E88" s="133">
        <f t="shared" ref="E88:K88" si="14">+E12+E24+E30+E74+E82+E84+E19+E85</f>
        <v>55536584.400000006</v>
      </c>
      <c r="F88" s="133">
        <f t="shared" si="14"/>
        <v>0</v>
      </c>
      <c r="G88" s="133">
        <f t="shared" si="14"/>
        <v>5755387.1200000001</v>
      </c>
      <c r="H88" s="133">
        <f t="shared" si="14"/>
        <v>-66618.52</v>
      </c>
      <c r="I88" s="134">
        <f t="shared" si="14"/>
        <v>61225353</v>
      </c>
      <c r="J88" s="133">
        <f t="shared" si="14"/>
        <v>0</v>
      </c>
      <c r="K88" s="134">
        <f t="shared" si="14"/>
        <v>61225353.000000007</v>
      </c>
      <c r="M88" s="45"/>
      <c r="N88" s="143"/>
      <c r="S88" s="18"/>
    </row>
    <row r="89" spans="1:20" x14ac:dyDescent="0.2">
      <c r="A89" s="105"/>
      <c r="B89" s="18"/>
      <c r="C89" s="18"/>
      <c r="D89" s="12"/>
      <c r="E89" s="49"/>
      <c r="F89" s="50"/>
      <c r="G89" s="145"/>
      <c r="H89" s="50"/>
      <c r="I89" s="115"/>
      <c r="J89" s="30"/>
      <c r="K89" s="115"/>
      <c r="M89" s="45"/>
      <c r="S89" s="18"/>
    </row>
    <row r="90" spans="1:20" s="22" customFormat="1" x14ac:dyDescent="0.2">
      <c r="A90" s="106"/>
      <c r="B90" s="21" t="s">
        <v>130</v>
      </c>
      <c r="C90" s="46"/>
      <c r="D90" s="27"/>
      <c r="E90" s="60"/>
      <c r="F90" s="50"/>
      <c r="G90" s="145"/>
      <c r="H90" s="145"/>
      <c r="I90" s="113"/>
      <c r="J90" s="19"/>
      <c r="K90" s="113"/>
      <c r="M90" s="19"/>
      <c r="N90" s="20"/>
      <c r="O90" s="48"/>
      <c r="R90" s="57"/>
      <c r="S90" s="57"/>
    </row>
    <row r="91" spans="1:20" x14ac:dyDescent="0.2">
      <c r="A91" s="100" t="s">
        <v>114</v>
      </c>
      <c r="B91" s="18"/>
      <c r="C91" s="28" t="s">
        <v>52</v>
      </c>
      <c r="D91" s="4" t="s">
        <v>114</v>
      </c>
      <c r="E91" s="29">
        <f>VLOOKUP(A91,'DEK Jun 2015'!$A$1:$I$252,9,FALSE)</f>
        <v>-879743.40999999992</v>
      </c>
      <c r="F91" s="30">
        <v>0</v>
      </c>
      <c r="G91" s="130">
        <v>1220568.43</v>
      </c>
      <c r="H91" s="130">
        <v>-83276.72</v>
      </c>
      <c r="I91" s="115">
        <f t="shared" ref="I91:I96" si="15">E91+F91+G91+H91</f>
        <v>257548.30000000002</v>
      </c>
      <c r="J91" s="30">
        <v>0</v>
      </c>
      <c r="K91" s="115">
        <f t="shared" ref="K91:K96" si="16">I91+J91</f>
        <v>257548.30000000002</v>
      </c>
      <c r="L91" s="4" t="s">
        <v>22</v>
      </c>
      <c r="M91" s="33"/>
      <c r="N91" s="42"/>
      <c r="O91" s="42"/>
      <c r="S91" s="18">
        <v>191400</v>
      </c>
      <c r="T91" s="58"/>
    </row>
    <row r="92" spans="1:20" x14ac:dyDescent="0.2">
      <c r="A92" s="100" t="s">
        <v>115</v>
      </c>
      <c r="B92" s="18"/>
      <c r="C92" s="28" t="s">
        <v>53</v>
      </c>
      <c r="D92" s="4" t="s">
        <v>115</v>
      </c>
      <c r="E92" s="29">
        <f>VLOOKUP(A92,'DEK Jun 2015'!$A$1:$I$252,9,FALSE)</f>
        <v>-438480</v>
      </c>
      <c r="F92" s="30">
        <v>0</v>
      </c>
      <c r="G92" s="130">
        <v>2502</v>
      </c>
      <c r="H92" s="33">
        <v>0</v>
      </c>
      <c r="I92" s="115">
        <f t="shared" si="15"/>
        <v>-435978</v>
      </c>
      <c r="J92" s="30">
        <v>0</v>
      </c>
      <c r="K92" s="115">
        <f t="shared" si="16"/>
        <v>-435978</v>
      </c>
      <c r="L92" s="4" t="s">
        <v>22</v>
      </c>
      <c r="M92" s="30"/>
      <c r="N92" s="42"/>
      <c r="O92" s="42"/>
      <c r="S92" s="18">
        <v>191800</v>
      </c>
      <c r="T92" s="58"/>
    </row>
    <row r="93" spans="1:20" ht="12.75" customHeight="1" x14ac:dyDescent="0.2">
      <c r="A93" s="100" t="s">
        <v>117</v>
      </c>
      <c r="B93" s="18"/>
      <c r="C93" s="28" t="s">
        <v>77</v>
      </c>
      <c r="D93" s="4" t="s">
        <v>117</v>
      </c>
      <c r="E93" s="29">
        <f>VLOOKUP(A93,'DEK Jun 2015'!$A$1:$I$252,9,FALSE)</f>
        <v>-820861</v>
      </c>
      <c r="F93" s="30">
        <v>0</v>
      </c>
      <c r="G93" s="129">
        <v>-248241</v>
      </c>
      <c r="H93" s="33">
        <v>0</v>
      </c>
      <c r="I93" s="115">
        <f t="shared" si="15"/>
        <v>-1069102</v>
      </c>
      <c r="J93" s="30">
        <v>0</v>
      </c>
      <c r="K93" s="115">
        <f t="shared" si="16"/>
        <v>-1069102</v>
      </c>
      <c r="M93" s="20"/>
      <c r="N93" s="42"/>
      <c r="O93" s="42"/>
      <c r="S93" s="18">
        <v>242995</v>
      </c>
      <c r="T93" s="58"/>
    </row>
    <row r="94" spans="1:20" x14ac:dyDescent="0.2">
      <c r="A94" s="100" t="s">
        <v>119</v>
      </c>
      <c r="B94" s="18"/>
      <c r="C94" s="28" t="s">
        <v>118</v>
      </c>
      <c r="D94" s="4" t="s">
        <v>119</v>
      </c>
      <c r="E94" s="29">
        <f>VLOOKUP(A94,'DEK Jun 2015'!$A$1:$I$252,9,FALSE)</f>
        <v>-3850381.6400000006</v>
      </c>
      <c r="F94" s="30">
        <v>0</v>
      </c>
      <c r="G94" s="129">
        <v>2523322.94</v>
      </c>
      <c r="H94" s="33">
        <v>0</v>
      </c>
      <c r="I94" s="115">
        <f t="shared" si="15"/>
        <v>-1327058.7000000007</v>
      </c>
      <c r="J94" s="30">
        <v>0</v>
      </c>
      <c r="K94" s="115">
        <f t="shared" si="16"/>
        <v>-1327058.7000000007</v>
      </c>
      <c r="M94" s="20"/>
      <c r="N94" s="42"/>
      <c r="O94" s="42"/>
      <c r="S94" s="18">
        <v>242997</v>
      </c>
      <c r="T94" s="58"/>
    </row>
    <row r="95" spans="1:20" x14ac:dyDescent="0.2">
      <c r="A95" s="100" t="s">
        <v>120</v>
      </c>
      <c r="B95" s="18"/>
      <c r="C95" s="28" t="s">
        <v>54</v>
      </c>
      <c r="D95" s="4" t="s">
        <v>120</v>
      </c>
      <c r="E95" s="29">
        <f>VLOOKUP(A95,'DEK Jun 2015'!$A$1:$I$252,9,FALSE)</f>
        <v>-408103.01999999996</v>
      </c>
      <c r="F95" s="33">
        <v>0</v>
      </c>
      <c r="G95" s="155"/>
      <c r="H95" s="130">
        <v>-473699.14</v>
      </c>
      <c r="I95" s="115">
        <f t="shared" si="15"/>
        <v>-881802.15999999992</v>
      </c>
      <c r="J95" s="33">
        <v>0</v>
      </c>
      <c r="K95" s="115">
        <f t="shared" si="16"/>
        <v>-881802.15999999992</v>
      </c>
      <c r="L95" s="4" t="s">
        <v>22</v>
      </c>
      <c r="M95" s="42"/>
      <c r="N95" s="42"/>
      <c r="O95" s="42"/>
      <c r="S95" s="18">
        <v>253130</v>
      </c>
      <c r="T95" s="58"/>
    </row>
    <row r="96" spans="1:20" x14ac:dyDescent="0.2">
      <c r="A96" s="100" t="s">
        <v>156</v>
      </c>
      <c r="B96" s="18"/>
      <c r="C96" s="28" t="s">
        <v>116</v>
      </c>
      <c r="D96" s="4" t="s">
        <v>211</v>
      </c>
      <c r="E96" s="29">
        <f>VLOOKUP(A96,'DEK Jun 2015'!$A$1:$I$252,9,FALSE)</f>
        <v>-101883.44000000006</v>
      </c>
      <c r="F96" s="33"/>
      <c r="G96" s="130">
        <v>-1233447.0900000001</v>
      </c>
      <c r="H96" s="33">
        <v>0</v>
      </c>
      <c r="I96" s="115">
        <f t="shared" si="15"/>
        <v>-1335330.5300000003</v>
      </c>
      <c r="J96" s="30">
        <v>0</v>
      </c>
      <c r="K96" s="115">
        <f t="shared" si="16"/>
        <v>-1335330.5300000003</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-6499452.5100000007</v>
      </c>
      <c r="F98" s="33">
        <f t="shared" si="17"/>
        <v>0</v>
      </c>
      <c r="G98" s="33">
        <f t="shared" si="17"/>
        <v>2264705.2800000003</v>
      </c>
      <c r="H98" s="33">
        <f t="shared" si="17"/>
        <v>-556975.86</v>
      </c>
      <c r="I98" s="123">
        <f t="shared" si="17"/>
        <v>-4791723.0900000008</v>
      </c>
      <c r="J98" s="33">
        <f t="shared" si="17"/>
        <v>0</v>
      </c>
      <c r="K98" s="123">
        <f t="shared" si="17"/>
        <v>-4791723.0900000008</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29">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29">
        <f>VLOOKUP(A101,'[23]DEK Jun 2013'!$A$1:$I$252,9,FALSE)</f>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6"/>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29">
        <f>VLOOKUP(A106,'DEK Jun 2015'!$A$1:$I$252,9,FALSE)</f>
        <v>-3636910.63</v>
      </c>
      <c r="F106" s="30">
        <v>0</v>
      </c>
      <c r="G106" s="130">
        <v>99084</v>
      </c>
      <c r="H106" s="33">
        <v>0</v>
      </c>
      <c r="I106" s="123">
        <f>E106+G106+H106+F106</f>
        <v>-3537826.63</v>
      </c>
      <c r="J106" s="91">
        <v>0</v>
      </c>
      <c r="K106" s="123">
        <f>I106+J106</f>
        <v>-3537826.63</v>
      </c>
      <c r="L106" s="66"/>
      <c r="M106" s="67"/>
      <c r="P106" s="51"/>
      <c r="Q106" s="18"/>
      <c r="R106" s="58"/>
      <c r="S106" s="18"/>
    </row>
    <row r="107" spans="1:23" ht="15" x14ac:dyDescent="0.25">
      <c r="B107" s="18"/>
      <c r="C107" s="28"/>
      <c r="D107" s="65"/>
      <c r="E107" s="30"/>
      <c r="F107" s="30"/>
      <c r="G107" s="144"/>
      <c r="H107" s="33"/>
      <c r="I107" s="126"/>
      <c r="J107" s="1"/>
      <c r="K107" s="126"/>
      <c r="L107" s="66"/>
      <c r="M107" s="67"/>
      <c r="P107" s="51"/>
      <c r="Q107" s="18"/>
      <c r="R107" s="58"/>
      <c r="S107" s="18"/>
    </row>
    <row r="108" spans="1:23" x14ac:dyDescent="0.2">
      <c r="B108" s="21" t="s">
        <v>227</v>
      </c>
      <c r="C108" s="28"/>
      <c r="E108" s="30"/>
      <c r="F108" s="30"/>
      <c r="G108" s="152"/>
      <c r="H108" s="30"/>
      <c r="I108" s="115"/>
      <c r="J108" s="30"/>
      <c r="K108" s="115"/>
      <c r="M108" s="20"/>
      <c r="N108" s="42"/>
      <c r="O108" s="42"/>
      <c r="R108" s="58"/>
      <c r="S108" s="18"/>
      <c r="T108" s="58"/>
    </row>
    <row r="109" spans="1:23" x14ac:dyDescent="0.2">
      <c r="A109" s="100" t="s">
        <v>163</v>
      </c>
      <c r="B109" s="18"/>
      <c r="C109" s="28" t="s">
        <v>48</v>
      </c>
      <c r="D109" s="4" t="s">
        <v>195</v>
      </c>
      <c r="E109" s="29">
        <f>VLOOKUP(A109,'DEK Jun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29">
        <f>VLOOKUP(A110,'DEK Jun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29">
        <f>VLOOKUP(A111,'DEK Jun 2015'!$A$1:$I$252,9,FALSE)</f>
        <v>-16487.040000000005</v>
      </c>
      <c r="F111" s="30">
        <v>0</v>
      </c>
      <c r="G111" s="130">
        <v>241.23</v>
      </c>
      <c r="H111" s="33">
        <v>0</v>
      </c>
      <c r="I111" s="117">
        <f>E111+F111+G111+H111</f>
        <v>-16245.810000000005</v>
      </c>
      <c r="J111" s="30">
        <v>0</v>
      </c>
      <c r="K111" s="123">
        <f t="shared" si="19"/>
        <v>-16245.810000000005</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0">
        <f t="shared" ref="E113" si="20">SUM(E109:E112)</f>
        <v>-16487.040000000005</v>
      </c>
      <c r="F113" s="30">
        <f t="shared" ref="F113:K113" si="21">SUM(F109:F112)</f>
        <v>0</v>
      </c>
      <c r="G113" s="30">
        <f t="shared" si="21"/>
        <v>241.23</v>
      </c>
      <c r="H113" s="30">
        <f t="shared" si="21"/>
        <v>0</v>
      </c>
      <c r="I113" s="122">
        <f t="shared" si="21"/>
        <v>-16245.810000000005</v>
      </c>
      <c r="J113" s="30">
        <f t="shared" si="21"/>
        <v>0</v>
      </c>
      <c r="K113" s="115">
        <f t="shared" si="21"/>
        <v>-16245.810000000005</v>
      </c>
      <c r="M113" s="20"/>
      <c r="N113" s="42"/>
      <c r="O113" s="42"/>
      <c r="R113" s="58"/>
      <c r="S113" s="18"/>
      <c r="T113" s="58"/>
    </row>
    <row r="114" spans="1:22" x14ac:dyDescent="0.2">
      <c r="B114" s="21" t="s">
        <v>216</v>
      </c>
      <c r="C114" s="28"/>
      <c r="E114" s="30"/>
      <c r="F114" s="30"/>
      <c r="G114" s="152"/>
      <c r="H114" s="30"/>
      <c r="I114" s="115"/>
      <c r="J114" s="30"/>
      <c r="K114" s="115"/>
      <c r="M114" s="20"/>
      <c r="N114" s="42"/>
      <c r="O114" s="42"/>
      <c r="R114" s="58"/>
      <c r="S114" s="18"/>
      <c r="T114" s="58"/>
    </row>
    <row r="115" spans="1:22" x14ac:dyDescent="0.2">
      <c r="A115" s="100" t="s">
        <v>165</v>
      </c>
      <c r="B115" s="18"/>
      <c r="C115" s="28" t="s">
        <v>45</v>
      </c>
      <c r="D115" s="4" t="s">
        <v>197</v>
      </c>
      <c r="E115" s="29">
        <f>VLOOKUP(A115,'DEK Jun 2015'!$A$1:$I$252,9,FALSE)</f>
        <v>-17207646.300000001</v>
      </c>
      <c r="F115" s="30">
        <v>0</v>
      </c>
      <c r="G115" s="129">
        <v>-108816.28</v>
      </c>
      <c r="H115" s="30">
        <v>0</v>
      </c>
      <c r="I115" s="115">
        <f t="shared" ref="I115:I120" si="22">E115+F115+G115+H115</f>
        <v>-17316462.580000002</v>
      </c>
      <c r="J115" s="30">
        <v>0</v>
      </c>
      <c r="K115" s="115">
        <f t="shared" ref="K115:K120" si="23">I115+J115</f>
        <v>-17316462.580000002</v>
      </c>
      <c r="L115" s="4" t="s">
        <v>43</v>
      </c>
      <c r="M115" s="20"/>
      <c r="N115" s="42"/>
      <c r="O115" s="42"/>
      <c r="Q115" s="201">
        <v>75086</v>
      </c>
      <c r="R115" s="58" t="s">
        <v>44</v>
      </c>
      <c r="S115" s="18">
        <v>108201</v>
      </c>
      <c r="T115" s="58"/>
    </row>
    <row r="116" spans="1:22" x14ac:dyDescent="0.2">
      <c r="A116" s="100" t="s">
        <v>166</v>
      </c>
      <c r="B116" s="18"/>
      <c r="C116" s="28" t="s">
        <v>45</v>
      </c>
      <c r="D116" s="4" t="s">
        <v>198</v>
      </c>
      <c r="E116" s="29">
        <f>VLOOKUP(A116,'DEK Jun 2015'!$A$1:$I$252,9,FALSE)</f>
        <v>-46310550.770000003</v>
      </c>
      <c r="F116" s="30">
        <v>0</v>
      </c>
      <c r="G116" s="129">
        <v>-996520.7</v>
      </c>
      <c r="H116" s="30">
        <v>0</v>
      </c>
      <c r="I116" s="115">
        <f t="shared" si="22"/>
        <v>-47307071.470000006</v>
      </c>
      <c r="J116" s="30">
        <v>0</v>
      </c>
      <c r="K116" s="115">
        <f t="shared" si="23"/>
        <v>-47307071.470000006</v>
      </c>
      <c r="L116" s="4" t="s">
        <v>43</v>
      </c>
      <c r="M116" s="20"/>
      <c r="N116" s="42"/>
      <c r="O116" s="42"/>
      <c r="R116" s="58" t="s">
        <v>44</v>
      </c>
      <c r="S116" s="18">
        <v>108301</v>
      </c>
      <c r="T116" s="58"/>
    </row>
    <row r="117" spans="1:22" x14ac:dyDescent="0.2">
      <c r="A117" s="100" t="s">
        <v>167</v>
      </c>
      <c r="B117" s="18"/>
      <c r="C117" s="28" t="s">
        <v>46</v>
      </c>
      <c r="D117" s="4" t="s">
        <v>199</v>
      </c>
      <c r="E117" s="29">
        <f>VLOOKUP(A117,'DEK Jun 2015'!$A$1:$I$252,9,FALSE)</f>
        <v>10052104.339999998</v>
      </c>
      <c r="F117" s="30">
        <v>0</v>
      </c>
      <c r="G117" s="129">
        <v>416395.88</v>
      </c>
      <c r="H117" s="30">
        <v>0</v>
      </c>
      <c r="I117" s="115">
        <f t="shared" si="22"/>
        <v>10468500.219999999</v>
      </c>
      <c r="J117" s="30">
        <v>0</v>
      </c>
      <c r="K117" s="115">
        <f>I117+J117</f>
        <v>10468500.219999999</v>
      </c>
      <c r="L117" s="4" t="s">
        <v>43</v>
      </c>
      <c r="M117" s="20"/>
      <c r="N117" s="42"/>
      <c r="O117" s="42"/>
      <c r="S117" s="18">
        <v>108410</v>
      </c>
      <c r="T117" s="58"/>
    </row>
    <row r="118" spans="1:22" x14ac:dyDescent="0.2">
      <c r="A118" s="100" t="s">
        <v>168</v>
      </c>
      <c r="B118" s="18"/>
      <c r="C118" s="28" t="s">
        <v>74</v>
      </c>
      <c r="D118" s="4" t="s">
        <v>217</v>
      </c>
      <c r="E118" s="29">
        <f>VLOOKUP(A118,'DEK Jun 2015'!$A$1:$I$252,9,FALSE)</f>
        <v>2145931.19</v>
      </c>
      <c r="F118" s="30">
        <v>0</v>
      </c>
      <c r="G118" s="129">
        <v>62489.279999999999</v>
      </c>
      <c r="H118" s="30">
        <v>0</v>
      </c>
      <c r="I118" s="115">
        <f t="shared" si="22"/>
        <v>2208420.4699999997</v>
      </c>
      <c r="J118" s="30">
        <v>0</v>
      </c>
      <c r="K118" s="115">
        <f>I118+J118</f>
        <v>2208420.4699999997</v>
      </c>
      <c r="M118" s="20"/>
      <c r="N118" s="42"/>
      <c r="O118" s="42"/>
      <c r="Q118" s="4" t="s">
        <v>50</v>
      </c>
      <c r="R118" s="4" t="s">
        <v>51</v>
      </c>
      <c r="S118" s="18">
        <v>182303</v>
      </c>
      <c r="T118" s="58"/>
    </row>
    <row r="119" spans="1:22" x14ac:dyDescent="0.2">
      <c r="A119" s="100" t="s">
        <v>169</v>
      </c>
      <c r="B119" s="18"/>
      <c r="C119" s="28" t="s">
        <v>49</v>
      </c>
      <c r="D119" s="4" t="s">
        <v>218</v>
      </c>
      <c r="E119" s="29">
        <f>VLOOKUP(A119,'DEK Jun 2015'!$A$1:$I$252,9,FALSE)</f>
        <v>4180066.1100000013</v>
      </c>
      <c r="F119" s="30">
        <v>0</v>
      </c>
      <c r="G119" s="129">
        <v>65152.85</v>
      </c>
      <c r="H119" s="30">
        <v>0</v>
      </c>
      <c r="I119" s="115">
        <f t="shared" si="22"/>
        <v>4245218.9600000009</v>
      </c>
      <c r="J119" s="30">
        <v>0</v>
      </c>
      <c r="K119" s="115">
        <f t="shared" si="23"/>
        <v>4245218.9600000009</v>
      </c>
      <c r="M119" s="20"/>
      <c r="N119" s="42"/>
      <c r="O119" s="42"/>
      <c r="Q119" s="4" t="s">
        <v>50</v>
      </c>
      <c r="S119" s="18">
        <v>182304</v>
      </c>
      <c r="T119" s="58"/>
    </row>
    <row r="120" spans="1:22" x14ac:dyDescent="0.2">
      <c r="A120" s="100" t="s">
        <v>170</v>
      </c>
      <c r="B120" s="18"/>
      <c r="C120" s="28" t="s">
        <v>42</v>
      </c>
      <c r="D120" s="4" t="s">
        <v>200</v>
      </c>
      <c r="E120" s="29">
        <f>VLOOKUP(A120,'DEK Jun 2015'!$A$1:$I$252,9,FALSE)</f>
        <v>-112389.09000000001</v>
      </c>
      <c r="F120" s="30">
        <v>0</v>
      </c>
      <c r="G120" s="129">
        <v>-9277.43</v>
      </c>
      <c r="H120" s="30">
        <v>0</v>
      </c>
      <c r="I120" s="115">
        <f t="shared" si="22"/>
        <v>-121666.52000000002</v>
      </c>
      <c r="J120" s="30">
        <v>0</v>
      </c>
      <c r="K120" s="115">
        <f t="shared" si="23"/>
        <v>-121666.52000000002</v>
      </c>
      <c r="L120" s="4" t="s">
        <v>43</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-47252484.520000018</v>
      </c>
      <c r="F122" s="33">
        <f t="shared" si="24"/>
        <v>0</v>
      </c>
      <c r="G122" s="33">
        <f t="shared" si="24"/>
        <v>-570576.4</v>
      </c>
      <c r="H122" s="33">
        <f t="shared" si="24"/>
        <v>0</v>
      </c>
      <c r="I122" s="123">
        <f t="shared" si="24"/>
        <v>-47823060.920000017</v>
      </c>
      <c r="J122" s="33">
        <f t="shared" si="24"/>
        <v>0</v>
      </c>
      <c r="K122" s="123">
        <f t="shared" si="24"/>
        <v>-47823060.920000017</v>
      </c>
      <c r="M122" s="62"/>
      <c r="P122" s="51"/>
      <c r="Q122" s="18"/>
      <c r="R122" s="58"/>
      <c r="S122" s="18"/>
    </row>
    <row r="123" spans="1:22" ht="15" x14ac:dyDescent="0.25">
      <c r="B123" s="18"/>
      <c r="C123" s="28"/>
      <c r="D123" s="65"/>
      <c r="E123" s="30"/>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-57405334.700000018</v>
      </c>
      <c r="F124" s="133">
        <f t="shared" ref="F124:H124" si="25">+F98+F106+F113+F122+F103</f>
        <v>0</v>
      </c>
      <c r="G124" s="133">
        <f t="shared" si="25"/>
        <v>1793454.1100000003</v>
      </c>
      <c r="H124" s="133">
        <f t="shared" si="25"/>
        <v>-556975.86</v>
      </c>
      <c r="I124" s="134">
        <f>+I98+I106+I113+I122+I103</f>
        <v>-56168856.450000018</v>
      </c>
      <c r="J124" s="133">
        <f>+J98+J106+J113+J122+J103</f>
        <v>0</v>
      </c>
      <c r="K124" s="134">
        <f>+K98+K106+K113+K122+K103</f>
        <v>-56168856.450000018</v>
      </c>
      <c r="M124" s="20"/>
      <c r="N124" s="69"/>
      <c r="R124" s="58"/>
      <c r="S124" s="18"/>
    </row>
    <row r="125" spans="1:22" x14ac:dyDescent="0.2">
      <c r="A125" s="105"/>
      <c r="B125" s="18"/>
      <c r="C125" s="18"/>
      <c r="D125" s="12"/>
      <c r="E125" s="49"/>
      <c r="F125" s="50"/>
      <c r="G125" s="145"/>
      <c r="H125" s="50"/>
      <c r="I125" s="122"/>
      <c r="J125" s="50"/>
      <c r="K125" s="122"/>
      <c r="M125" s="45"/>
      <c r="S125" s="18"/>
    </row>
    <row r="126" spans="1:22" x14ac:dyDescent="0.2">
      <c r="A126" s="105" t="s">
        <v>56</v>
      </c>
      <c r="B126" s="18"/>
      <c r="C126" s="18"/>
      <c r="D126" s="136" t="s">
        <v>219</v>
      </c>
      <c r="E126" s="137">
        <f>E124+E88</f>
        <v>-1868750.3000000119</v>
      </c>
      <c r="F126" s="137">
        <f>F124+F88</f>
        <v>0</v>
      </c>
      <c r="G126" s="137">
        <f>G124+G88</f>
        <v>7548841.2300000004</v>
      </c>
      <c r="H126" s="137">
        <f>H124+H88</f>
        <v>-623594.38</v>
      </c>
      <c r="I126" s="138">
        <f>I88+I124</f>
        <v>5056496.5499999821</v>
      </c>
      <c r="J126" s="137">
        <f>J124+J88</f>
        <v>0</v>
      </c>
      <c r="K126" s="138">
        <f>K88+K124</f>
        <v>5056496.5499999896</v>
      </c>
      <c r="L126" s="50">
        <v>0</v>
      </c>
      <c r="M126" s="70"/>
      <c r="N126" s="70"/>
      <c r="O126" s="70"/>
      <c r="P126" s="50"/>
      <c r="Q126" s="50"/>
      <c r="R126" s="50"/>
      <c r="S126" s="18"/>
      <c r="T126" s="29">
        <f>+G126+H126+F126</f>
        <v>6925246.8500000006</v>
      </c>
      <c r="U126" s="19">
        <v>13111056.41</v>
      </c>
      <c r="V126" s="29">
        <f>+T126-U126</f>
        <v>-6185809.5599999996</v>
      </c>
    </row>
    <row r="127" spans="1:22" hidden="1" x14ac:dyDescent="0.2">
      <c r="A127" s="105"/>
      <c r="B127" s="18"/>
      <c r="C127" s="18"/>
      <c r="D127" s="12"/>
      <c r="E127" s="49"/>
      <c r="F127" s="50"/>
      <c r="G127" s="145"/>
      <c r="H127" s="50"/>
      <c r="I127" s="50"/>
      <c r="J127" s="50"/>
      <c r="K127" s="50"/>
      <c r="M127" s="45"/>
      <c r="S127" s="18"/>
    </row>
    <row r="128" spans="1:22" s="75" customFormat="1" ht="12.75" hidden="1" customHeight="1" x14ac:dyDescent="0.2">
      <c r="A128" s="107" t="s">
        <v>57</v>
      </c>
      <c r="B128" s="71"/>
      <c r="C128" s="18"/>
      <c r="D128" s="140" t="s">
        <v>57</v>
      </c>
      <c r="E128" s="141"/>
      <c r="F128" s="142"/>
      <c r="G128" s="163">
        <f>-G120-G115-G116-G117-G118-G119-G78-G16-G109-G30-G22-G53-G111-G79-G80-G106-G110-G52</f>
        <v>700345.74999999988</v>
      </c>
      <c r="H128" s="139">
        <f>-H120-H115-H116-H117-H118-H119-H78-H16-H109-H30-H22-H53-H111-H79-H80-H106-H110-H52</f>
        <v>66618.52</v>
      </c>
      <c r="I128" s="74"/>
      <c r="J128" s="74"/>
      <c r="K128" s="74"/>
      <c r="M128" s="76"/>
      <c r="N128" s="77"/>
      <c r="O128" s="77"/>
      <c r="S128" s="18"/>
    </row>
    <row r="129" spans="1:19" ht="12.75" customHeight="1" x14ac:dyDescent="0.2">
      <c r="A129" s="107"/>
      <c r="B129" s="18"/>
      <c r="C129" s="18"/>
      <c r="D129" s="72"/>
      <c r="E129" s="73"/>
      <c r="F129" s="50"/>
      <c r="G129" s="185">
        <f>G126+H126</f>
        <v>6925246.8500000006</v>
      </c>
      <c r="H129" s="50"/>
      <c r="I129" s="50"/>
      <c r="J129" s="50"/>
      <c r="K129" s="50"/>
      <c r="M129" s="20"/>
      <c r="S129" s="18"/>
    </row>
    <row r="130" spans="1:19" ht="12.75" hidden="1" customHeight="1" x14ac:dyDescent="0.2">
      <c r="A130" s="107" t="s">
        <v>58</v>
      </c>
      <c r="B130" s="18"/>
      <c r="C130" s="71"/>
      <c r="D130" s="72" t="s">
        <v>58</v>
      </c>
      <c r="E130" s="73"/>
      <c r="F130" s="50"/>
      <c r="G130" s="145">
        <f>G126+G128</f>
        <v>8249186.9800000004</v>
      </c>
      <c r="H130" s="50">
        <f>H126+H128</f>
        <v>-556975.86</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7692211.1200000001</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1830943.81</v>
      </c>
      <c r="F137" s="32">
        <f t="shared" ref="F137:F142" si="26">+F86+F87</f>
        <v>0</v>
      </c>
      <c r="G137" s="165"/>
      <c r="H137" s="83"/>
      <c r="I137" s="84">
        <f>+I19</f>
        <v>2083963.81</v>
      </c>
      <c r="J137" s="84">
        <f>+J19</f>
        <v>4164067.04</v>
      </c>
      <c r="K137" s="84">
        <f>+K19</f>
        <v>6248030.8499999996</v>
      </c>
      <c r="M137" s="20"/>
      <c r="S137" s="18"/>
    </row>
    <row r="138" spans="1:19" hidden="1" x14ac:dyDescent="0.2">
      <c r="A138" s="109" t="s">
        <v>141</v>
      </c>
      <c r="B138" s="18"/>
      <c r="C138" s="18"/>
      <c r="D138" s="82" t="s">
        <v>141</v>
      </c>
      <c r="E138" s="83">
        <f>+E24</f>
        <v>1854616.8400000008</v>
      </c>
      <c r="F138" s="32">
        <f t="shared" si="26"/>
        <v>0</v>
      </c>
      <c r="G138" s="165"/>
      <c r="H138" s="83"/>
      <c r="I138" s="84">
        <f>+I24</f>
        <v>1787998.3200000008</v>
      </c>
      <c r="J138" s="84">
        <f>+J24</f>
        <v>-266474.03999999998</v>
      </c>
      <c r="K138" s="84">
        <f>+K24</f>
        <v>1521524.2800000007</v>
      </c>
      <c r="M138" s="20"/>
      <c r="S138" s="18"/>
    </row>
    <row r="139" spans="1:19" hidden="1" x14ac:dyDescent="0.2">
      <c r="A139" s="109" t="s">
        <v>61</v>
      </c>
      <c r="B139" s="18"/>
      <c r="C139" s="18"/>
      <c r="D139" s="82" t="s">
        <v>61</v>
      </c>
      <c r="E139" s="32">
        <f>+E30</f>
        <v>1040663.2</v>
      </c>
      <c r="F139" s="32">
        <f t="shared" si="26"/>
        <v>0</v>
      </c>
      <c r="G139" s="157"/>
      <c r="H139" s="32"/>
      <c r="I139" s="84">
        <f>+I30</f>
        <v>1085175.2</v>
      </c>
      <c r="J139" s="84">
        <f>+J30</f>
        <v>0</v>
      </c>
      <c r="K139" s="84">
        <f>+K30</f>
        <v>1085175.2</v>
      </c>
      <c r="M139" s="20"/>
      <c r="S139" s="18"/>
    </row>
    <row r="140" spans="1:19" hidden="1" x14ac:dyDescent="0.2">
      <c r="A140" s="109" t="s">
        <v>143</v>
      </c>
      <c r="B140" s="18"/>
      <c r="C140" s="18"/>
      <c r="D140" s="82" t="s">
        <v>143</v>
      </c>
      <c r="E140" s="32">
        <f>+E74</f>
        <v>25153735.510000002</v>
      </c>
      <c r="F140" s="32">
        <f t="shared" si="26"/>
        <v>0</v>
      </c>
      <c r="G140" s="157"/>
      <c r="H140" s="32"/>
      <c r="I140" s="84">
        <f>+I74</f>
        <v>31250077.629999999</v>
      </c>
      <c r="J140" s="84">
        <f>+J74</f>
        <v>-3897593</v>
      </c>
      <c r="K140" s="84">
        <f>+K74</f>
        <v>27352484.629999999</v>
      </c>
      <c r="M140" s="20"/>
      <c r="S140" s="18"/>
    </row>
    <row r="141" spans="1:19" hidden="1" x14ac:dyDescent="0.2">
      <c r="A141" s="109" t="s">
        <v>151</v>
      </c>
      <c r="B141" s="18"/>
      <c r="C141" s="18"/>
      <c r="D141" s="82" t="s">
        <v>151</v>
      </c>
      <c r="E141" s="32">
        <f>+E82</f>
        <v>25656625.040000003</v>
      </c>
      <c r="F141" s="32">
        <f t="shared" si="26"/>
        <v>0</v>
      </c>
      <c r="G141" s="157"/>
      <c r="H141" s="32"/>
      <c r="I141" s="84">
        <f>+I82</f>
        <v>25018138.040000003</v>
      </c>
      <c r="J141" s="84">
        <f>+J82</f>
        <v>0</v>
      </c>
      <c r="K141" s="84">
        <f>+K82</f>
        <v>25018138.040000003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-6499452.5100000007</v>
      </c>
      <c r="F143" s="32" t="e">
        <f>+F92+#REF!</f>
        <v>#REF!</v>
      </c>
      <c r="G143" s="157"/>
      <c r="H143" s="32"/>
      <c r="I143" s="84">
        <f>+I98</f>
        <v>-4791723.0900000008</v>
      </c>
      <c r="J143" s="84">
        <f>+J98</f>
        <v>0</v>
      </c>
      <c r="K143" s="84">
        <f>+K98</f>
        <v>-4791723.0900000008</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-3636910.63</v>
      </c>
      <c r="F145" s="32" t="e">
        <f>+#REF!+#REF!</f>
        <v>#REF!</v>
      </c>
      <c r="G145" s="157"/>
      <c r="H145" s="32"/>
      <c r="I145" s="84">
        <f>+I106</f>
        <v>-3537826.63</v>
      </c>
      <c r="J145" s="84">
        <f>+J106</f>
        <v>0</v>
      </c>
      <c r="K145" s="84">
        <f>+K106</f>
        <v>-3537826.63</v>
      </c>
      <c r="M145" s="20"/>
      <c r="S145" s="18"/>
    </row>
    <row r="146" spans="1:19" hidden="1" x14ac:dyDescent="0.2">
      <c r="A146" s="109" t="s">
        <v>153</v>
      </c>
      <c r="B146" s="18"/>
      <c r="C146" s="18"/>
      <c r="D146" s="82" t="s">
        <v>153</v>
      </c>
      <c r="E146" s="32">
        <f>+E113</f>
        <v>-16487.040000000005</v>
      </c>
      <c r="F146" s="32" t="e">
        <f>+#REF!+F93</f>
        <v>#REF!</v>
      </c>
      <c r="G146" s="157"/>
      <c r="H146" s="32"/>
      <c r="I146" s="84">
        <f>+I113</f>
        <v>-16245.810000000005</v>
      </c>
      <c r="J146" s="84">
        <f>+J113</f>
        <v>0</v>
      </c>
      <c r="K146" s="84">
        <f>+K113</f>
        <v>-16245.810000000005</v>
      </c>
      <c r="M146" s="20"/>
      <c r="S146" s="18"/>
    </row>
    <row r="147" spans="1:19" hidden="1" x14ac:dyDescent="0.2">
      <c r="A147" s="109" t="s">
        <v>155</v>
      </c>
      <c r="B147" s="18"/>
      <c r="C147" s="18"/>
      <c r="D147" s="82" t="s">
        <v>155</v>
      </c>
      <c r="E147" s="32">
        <f>+E122</f>
        <v>-47252484.520000018</v>
      </c>
      <c r="F147" s="32">
        <f t="shared" ref="F147" si="27">+F93+F94</f>
        <v>0</v>
      </c>
      <c r="G147" s="157"/>
      <c r="H147" s="32"/>
      <c r="I147" s="84">
        <f>+I122</f>
        <v>-47823060.920000017</v>
      </c>
      <c r="J147" s="84">
        <f>+J122</f>
        <v>0</v>
      </c>
      <c r="K147" s="84">
        <f>+K122</f>
        <v>-47823060.920000017</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-1868750.3000000119</v>
      </c>
      <c r="F149" s="88" t="e">
        <f>SUM(F139:F148)</f>
        <v>#REF!</v>
      </c>
      <c r="G149" s="166"/>
      <c r="H149" s="88"/>
      <c r="I149" s="89">
        <f>SUM(I135:I148)</f>
        <v>5056496.5499999747</v>
      </c>
      <c r="J149" s="89">
        <f>SUM(J135:J148)</f>
        <v>0</v>
      </c>
      <c r="K149" s="89">
        <f>SUM(K135:K148)</f>
        <v>5056496.5499999747</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0</v>
      </c>
      <c r="F151" s="19"/>
      <c r="G151" s="148"/>
      <c r="H151" s="19"/>
      <c r="I151" s="19">
        <f>+I149-I126</f>
        <v>-7.4505805969238281E-9</v>
      </c>
      <c r="J151" s="19">
        <f>+J149-J126</f>
        <v>0</v>
      </c>
      <c r="K151" s="19">
        <f>+K149-K126</f>
        <v>-1.4901161193847656E-8</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303020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2264705.2800000003</v>
      </c>
      <c r="H157" s="19">
        <f>+H92+H93+H94+H95+H91</f>
        <v>-556975.86</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-5681461.7000000002</v>
      </c>
      <c r="H159" s="110">
        <f>+H155+H156+H157-H130</f>
        <v>0</v>
      </c>
      <c r="I159" s="19"/>
      <c r="J159" s="19"/>
      <c r="K159" s="19"/>
      <c r="M159" s="20"/>
      <c r="S159" s="18"/>
    </row>
    <row r="160" spans="1:19" hidden="1" x14ac:dyDescent="0.2">
      <c r="B160" s="18"/>
      <c r="C160" s="18"/>
      <c r="F160" s="19"/>
      <c r="H160" s="29">
        <f>+H156+H157+H155+G155+G156+G157</f>
        <v>2010749.4200000004</v>
      </c>
      <c r="I160" s="19"/>
      <c r="J160" s="19"/>
      <c r="K160" s="19"/>
      <c r="M160" s="20"/>
      <c r="S160" s="18"/>
    </row>
    <row r="161" spans="1:19" hidden="1" x14ac:dyDescent="0.2">
      <c r="B161" s="18"/>
      <c r="C161" s="18"/>
      <c r="F161" s="19"/>
      <c r="G161" s="148"/>
      <c r="H161" s="29">
        <f>+H160-G130-H130</f>
        <v>-5681461.7000000002</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E177" s="4" t="s">
        <v>222</v>
      </c>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8"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2"/>
  <sheetViews>
    <sheetView topLeftCell="A63" zoomScale="80" zoomScaleNormal="80" workbookViewId="0">
      <selection activeCell="D29" sqref="D2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03" t="s">
        <v>66</v>
      </c>
    </row>
    <row r="4" spans="1:22" x14ac:dyDescent="0.2">
      <c r="A4" s="99"/>
      <c r="B4" s="7"/>
      <c r="C4" s="3"/>
      <c r="D4" s="3"/>
      <c r="E4" s="212"/>
      <c r="F4" s="8"/>
      <c r="G4" s="215"/>
      <c r="H4" s="216"/>
      <c r="I4" s="202"/>
      <c r="J4" s="202"/>
      <c r="K4" s="202"/>
      <c r="M4" s="10"/>
      <c r="P4" s="203" t="s">
        <v>1</v>
      </c>
    </row>
    <row r="5" spans="1:22" x14ac:dyDescent="0.2">
      <c r="E5" s="217" t="s">
        <v>208</v>
      </c>
      <c r="F5" s="203" t="s">
        <v>3</v>
      </c>
      <c r="G5" s="203" t="s">
        <v>4</v>
      </c>
      <c r="H5" s="203"/>
      <c r="I5" s="204" t="s">
        <v>208</v>
      </c>
      <c r="J5" s="13" t="s">
        <v>180</v>
      </c>
      <c r="K5" s="204" t="s">
        <v>209</v>
      </c>
      <c r="L5" s="203" t="s">
        <v>5</v>
      </c>
      <c r="M5" s="11" t="s">
        <v>6</v>
      </c>
      <c r="N5" s="11" t="s">
        <v>0</v>
      </c>
      <c r="O5" s="11" t="s">
        <v>8</v>
      </c>
      <c r="P5" s="203" t="s">
        <v>9</v>
      </c>
      <c r="Q5" s="576" t="s">
        <v>10</v>
      </c>
      <c r="R5" s="576"/>
      <c r="U5" s="12" t="s">
        <v>11</v>
      </c>
    </row>
    <row r="6" spans="1:22" x14ac:dyDescent="0.2">
      <c r="E6" s="218">
        <v>42277</v>
      </c>
      <c r="F6" s="13" t="s">
        <v>12</v>
      </c>
      <c r="G6" s="14" t="s">
        <v>13</v>
      </c>
      <c r="H6" s="14" t="s">
        <v>8</v>
      </c>
      <c r="I6" s="205">
        <v>42308</v>
      </c>
      <c r="J6" s="13" t="s">
        <v>210</v>
      </c>
      <c r="K6" s="205">
        <f>I6</f>
        <v>42308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Sep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Sep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Sep 2015'!$A$1:$I$252,9,FALSE)</f>
        <v>787310.81</v>
      </c>
      <c r="F15" s="30">
        <v>0</v>
      </c>
      <c r="G15" s="130">
        <v>0</v>
      </c>
      <c r="H15" s="30">
        <v>0</v>
      </c>
      <c r="I15" s="115">
        <f>E15+F15+G15+H15</f>
        <v>787310.81</v>
      </c>
      <c r="J15" s="30">
        <v>0</v>
      </c>
      <c r="K15" s="115">
        <f>I15+J15</f>
        <v>787310.81</v>
      </c>
      <c r="L15" s="210" t="s">
        <v>22</v>
      </c>
      <c r="M15" s="20"/>
      <c r="S15" s="18"/>
    </row>
    <row r="16" spans="1:22" x14ac:dyDescent="0.2">
      <c r="A16" s="100" t="s">
        <v>157</v>
      </c>
      <c r="B16" s="28"/>
      <c r="C16" s="28" t="s">
        <v>37</v>
      </c>
      <c r="D16" s="4" t="s">
        <v>192</v>
      </c>
      <c r="E16" s="32">
        <f>VLOOKUP(A16,'DEK Sep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32">
        <f>VLOOKUP(A17,'DEK Sep 2015'!$A$1:$I$252,9,FALSE)</f>
        <v>0</v>
      </c>
      <c r="F17" s="30">
        <v>0</v>
      </c>
      <c r="G17" s="33">
        <v>0</v>
      </c>
      <c r="H17" s="33">
        <v>0</v>
      </c>
      <c r="I17" s="115">
        <f>E17+F17+G17+H17</f>
        <v>0</v>
      </c>
      <c r="J17" s="30">
        <v>3607267.95</v>
      </c>
      <c r="K17" s="115">
        <f t="shared" ref="K17" si="1">I17+J17</f>
        <v>3607267.95</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0</v>
      </c>
      <c r="H19" s="29">
        <f t="shared" si="2"/>
        <v>0</v>
      </c>
      <c r="I19" s="123">
        <f t="shared" si="2"/>
        <v>2083963.81</v>
      </c>
      <c r="J19" s="49">
        <f t="shared" si="2"/>
        <v>3607267.95</v>
      </c>
      <c r="K19" s="123">
        <f t="shared" si="2"/>
        <v>5691231.7599999998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Sep 2015'!$A$1:$I$252,9,FALSE)</f>
        <v>1787998.320000001</v>
      </c>
      <c r="F22" s="33">
        <v>0</v>
      </c>
      <c r="G22" s="33">
        <v>0</v>
      </c>
      <c r="H22" s="130">
        <v>-22206.17</v>
      </c>
      <c r="I22" s="115">
        <f>E22+F22+G22+H22</f>
        <v>1765792.1500000011</v>
      </c>
      <c r="J22" s="33">
        <v>-266474.03999999998</v>
      </c>
      <c r="K22" s="115">
        <f>I22+J22</f>
        <v>1499318.110000001</v>
      </c>
      <c r="L22" s="210" t="s">
        <v>22</v>
      </c>
      <c r="M22" s="20"/>
      <c r="R22" s="4" t="s">
        <v>27</v>
      </c>
      <c r="S22" s="18">
        <v>189010</v>
      </c>
      <c r="U22" s="39" t="s">
        <v>113</v>
      </c>
    </row>
    <row r="23" spans="1:21" x14ac:dyDescent="0.2">
      <c r="B23" s="28"/>
      <c r="C23" s="18"/>
      <c r="E23" s="94"/>
      <c r="F23" s="40"/>
      <c r="G23" s="156"/>
      <c r="H23" s="40"/>
      <c r="I23" s="121"/>
      <c r="J23" s="40"/>
      <c r="K23" s="121"/>
      <c r="M23" s="20"/>
      <c r="S23" s="18"/>
    </row>
    <row r="24" spans="1:21" x14ac:dyDescent="0.2">
      <c r="B24" s="28"/>
      <c r="C24" s="18"/>
      <c r="E24" s="32">
        <f>SUM(E22:E23)</f>
        <v>1787998.320000001</v>
      </c>
      <c r="F24" s="29">
        <f t="shared" ref="F24:K24" si="3">SUM(F22:F23)</f>
        <v>0</v>
      </c>
      <c r="G24" s="29">
        <f t="shared" si="3"/>
        <v>0</v>
      </c>
      <c r="H24" s="29">
        <f t="shared" si="3"/>
        <v>-22206.17</v>
      </c>
      <c r="I24" s="123">
        <f t="shared" si="3"/>
        <v>1765792.1500000011</v>
      </c>
      <c r="J24" s="49">
        <f t="shared" si="3"/>
        <v>-266474.03999999998</v>
      </c>
      <c r="K24" s="123">
        <f t="shared" si="3"/>
        <v>1499318.110000001</v>
      </c>
      <c r="M24" s="20"/>
      <c r="S24" s="18"/>
    </row>
    <row r="25" spans="1:21" x14ac:dyDescent="0.2">
      <c r="B25" s="28"/>
      <c r="C25" s="18"/>
      <c r="F25" s="30"/>
      <c r="G25" s="152"/>
      <c r="H25" s="30"/>
      <c r="I25" s="118"/>
      <c r="J25" s="37"/>
      <c r="K25" s="118"/>
      <c r="M25" s="20"/>
      <c r="S25" s="18"/>
    </row>
    <row r="26" spans="1:21" x14ac:dyDescent="0.2">
      <c r="B26" s="41" t="s">
        <v>191</v>
      </c>
      <c r="F26" s="30"/>
      <c r="G26" s="152"/>
      <c r="H26" s="30"/>
      <c r="I26" s="115"/>
      <c r="J26" s="30"/>
      <c r="K26" s="115"/>
      <c r="M26" s="20"/>
    </row>
    <row r="27" spans="1:21" x14ac:dyDescent="0.2">
      <c r="A27" s="100" t="s">
        <v>79</v>
      </c>
      <c r="B27" s="28"/>
      <c r="C27" s="28" t="s">
        <v>21</v>
      </c>
      <c r="D27" s="4" t="s">
        <v>203</v>
      </c>
      <c r="E27" s="32">
        <f>VLOOKUP(A27,'DEK Sep 2015'!$A$1:$I$252,9,FALSE)</f>
        <v>1597568</v>
      </c>
      <c r="F27" s="33">
        <v>0</v>
      </c>
      <c r="G27" s="130">
        <v>9772</v>
      </c>
      <c r="H27" s="29">
        <v>0</v>
      </c>
      <c r="I27" s="115">
        <f>E27+F27+G27+H27</f>
        <v>1607340</v>
      </c>
      <c r="J27" s="33">
        <v>0</v>
      </c>
      <c r="K27" s="115">
        <f>I27+J27</f>
        <v>1607340</v>
      </c>
      <c r="L27" s="210" t="s">
        <v>22</v>
      </c>
      <c r="M27" s="226"/>
      <c r="S27" s="28" t="s">
        <v>23</v>
      </c>
    </row>
    <row r="28" spans="1:21" ht="13.5" customHeight="1" x14ac:dyDescent="0.2">
      <c r="A28" s="100" t="s">
        <v>80</v>
      </c>
      <c r="B28" s="28"/>
      <c r="C28" s="28" t="s">
        <v>24</v>
      </c>
      <c r="D28" s="4" t="s">
        <v>204</v>
      </c>
      <c r="E28" s="32">
        <f>VLOOKUP(A28,'DEK Sep 2015'!$A$1:$I$252,9,FALSE)</f>
        <v>-512392.80000000005</v>
      </c>
      <c r="F28" s="33">
        <v>0</v>
      </c>
      <c r="G28" s="130">
        <v>5066</v>
      </c>
      <c r="H28" s="32">
        <v>0</v>
      </c>
      <c r="I28" s="115">
        <f>E28+F28+G28+H28</f>
        <v>-507326.80000000005</v>
      </c>
      <c r="J28" s="33">
        <v>0</v>
      </c>
      <c r="K28" s="115">
        <f>I28+J28</f>
        <v>-507326.80000000005</v>
      </c>
      <c r="L28" s="210" t="s">
        <v>22</v>
      </c>
      <c r="M28" s="42"/>
      <c r="P28" s="31"/>
      <c r="S28" s="18">
        <v>254300</v>
      </c>
    </row>
    <row r="29" spans="1:21" ht="12" customHeight="1" x14ac:dyDescent="0.2">
      <c r="B29" s="28"/>
      <c r="C29" s="28"/>
      <c r="E29" s="94"/>
      <c r="F29" s="36"/>
      <c r="G29" s="150"/>
      <c r="H29" s="35"/>
      <c r="I29" s="116"/>
      <c r="J29" s="36"/>
      <c r="K29" s="116"/>
      <c r="M29" s="42"/>
      <c r="P29" s="31"/>
      <c r="S29" s="18"/>
    </row>
    <row r="30" spans="1:21" x14ac:dyDescent="0.2">
      <c r="A30" s="102" t="s">
        <v>25</v>
      </c>
      <c r="B30" s="18"/>
      <c r="C30" s="18"/>
      <c r="D30" s="43"/>
      <c r="E30" s="32">
        <f>SUM(E27:E29)</f>
        <v>1085175.2</v>
      </c>
      <c r="F30" s="44">
        <f t="shared" ref="F30:K30" si="4">SUM(F27:F28)</f>
        <v>0</v>
      </c>
      <c r="G30" s="33">
        <f t="shared" si="4"/>
        <v>14838</v>
      </c>
      <c r="H30" s="33">
        <f t="shared" si="4"/>
        <v>0</v>
      </c>
      <c r="I30" s="123">
        <f t="shared" si="4"/>
        <v>1100013.2</v>
      </c>
      <c r="J30" s="33">
        <f t="shared" si="4"/>
        <v>0</v>
      </c>
      <c r="K30" s="123">
        <f t="shared" si="4"/>
        <v>1100013.2</v>
      </c>
      <c r="M30" s="45"/>
      <c r="S30" s="18"/>
    </row>
    <row r="31" spans="1:21" x14ac:dyDescent="0.2">
      <c r="B31" s="18"/>
      <c r="C31" s="18"/>
      <c r="F31" s="30"/>
      <c r="G31" s="152"/>
      <c r="H31" s="30"/>
      <c r="I31" s="115"/>
      <c r="J31" s="30"/>
      <c r="K31" s="115"/>
      <c r="M31" s="20"/>
      <c r="S31" s="18"/>
    </row>
    <row r="32" spans="1:21" s="22" customFormat="1" ht="12.75" hidden="1" customHeight="1" x14ac:dyDescent="0.2">
      <c r="A32" s="101"/>
      <c r="B32" s="21" t="s">
        <v>128</v>
      </c>
      <c r="C32" s="46"/>
      <c r="E32" s="4"/>
      <c r="F32" s="30"/>
      <c r="G32" s="152"/>
      <c r="H32" s="30"/>
      <c r="I32" s="115"/>
      <c r="J32" s="30"/>
      <c r="K32" s="115"/>
      <c r="M32" s="48"/>
      <c r="N32" s="48"/>
      <c r="O32" s="48"/>
      <c r="S32" s="46"/>
    </row>
    <row r="33" spans="1:21" ht="12.75" hidden="1" customHeight="1" x14ac:dyDescent="0.2">
      <c r="A33" s="103"/>
      <c r="C33" s="38" t="s">
        <v>81</v>
      </c>
      <c r="D33" s="41"/>
      <c r="F33" s="30"/>
      <c r="G33" s="152"/>
      <c r="H33" s="30"/>
      <c r="I33" s="115"/>
      <c r="J33" s="30"/>
      <c r="K33" s="115"/>
      <c r="M33" s="20"/>
      <c r="S33" s="38"/>
    </row>
    <row r="34" spans="1:21" ht="25.5" hidden="1" customHeight="1" x14ac:dyDescent="0.2">
      <c r="A34" s="100" t="s">
        <v>83</v>
      </c>
      <c r="C34" s="28" t="s">
        <v>82</v>
      </c>
      <c r="D34" s="4" t="s">
        <v>83</v>
      </c>
      <c r="E34" s="4"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F35" s="35"/>
      <c r="G35" s="158"/>
      <c r="H35" s="36"/>
      <c r="I35" s="116"/>
      <c r="J35" s="36"/>
      <c r="K35" s="116"/>
      <c r="P35" s="31"/>
      <c r="S35" s="18"/>
      <c r="U35" s="39"/>
    </row>
    <row r="36" spans="1:21" ht="12.75" hidden="1" customHeight="1" x14ac:dyDescent="0.2">
      <c r="E36" s="4">
        <v>0</v>
      </c>
      <c r="F36" s="49">
        <f>F34</f>
        <v>0</v>
      </c>
      <c r="G36" s="159">
        <f>G34</f>
        <v>0</v>
      </c>
      <c r="H36" s="49">
        <f>H34</f>
        <v>0</v>
      </c>
      <c r="I36" s="122">
        <f>E36+F36+G36+H36</f>
        <v>0</v>
      </c>
      <c r="J36" s="50">
        <f>F36+G36+H36+I36</f>
        <v>0</v>
      </c>
      <c r="K36" s="122">
        <f>G36+H36+I36+J36</f>
        <v>0</v>
      </c>
    </row>
    <row r="37" spans="1:21" ht="12.75" hidden="1" customHeight="1" x14ac:dyDescent="0.2">
      <c r="C37" s="38" t="s">
        <v>28</v>
      </c>
      <c r="F37" s="30"/>
      <c r="G37" s="152"/>
      <c r="H37" s="30"/>
      <c r="I37" s="115"/>
      <c r="J37" s="30"/>
      <c r="K37" s="115"/>
      <c r="M37" s="20"/>
      <c r="S37" s="18"/>
    </row>
    <row r="38" spans="1:21" ht="12.75" hidden="1" customHeight="1" x14ac:dyDescent="0.2">
      <c r="B38" s="18"/>
      <c r="C38" s="28"/>
      <c r="F38" s="36"/>
      <c r="G38" s="150"/>
      <c r="H38" s="36"/>
      <c r="I38" s="116"/>
      <c r="J38" s="36"/>
      <c r="K38" s="116"/>
      <c r="M38" s="20"/>
      <c r="P38" s="51"/>
      <c r="S38" s="18"/>
      <c r="U38" s="39"/>
    </row>
    <row r="39" spans="1:21" ht="12.75" hidden="1" customHeight="1" x14ac:dyDescent="0.2">
      <c r="B39" s="28"/>
      <c r="C39" s="52"/>
      <c r="E39" s="4">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F40" s="30"/>
      <c r="G40" s="152"/>
      <c r="H40" s="30"/>
      <c r="I40" s="115"/>
      <c r="J40" s="30"/>
      <c r="K40" s="115"/>
      <c r="M40" s="20"/>
      <c r="S40" s="18"/>
    </row>
    <row r="41" spans="1:21" x14ac:dyDescent="0.2">
      <c r="C41" s="38" t="s">
        <v>32</v>
      </c>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Sep 2015'!$A$1:$I$252,9,FALSE)</f>
        <v>7400929.3600000003</v>
      </c>
      <c r="F52" s="33">
        <v>0</v>
      </c>
      <c r="G52" s="130">
        <v>128970.44</v>
      </c>
      <c r="H52" s="33">
        <v>0</v>
      </c>
      <c r="I52" s="115">
        <f>E52+F52+G52+H52</f>
        <v>7529899.8000000007</v>
      </c>
      <c r="J52" s="33">
        <v>-3340793.91</v>
      </c>
      <c r="K52" s="115">
        <f>I52+J52</f>
        <v>4189105.8900000006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Sep 2015'!$A$1:$I$252,9,FALSE)</f>
        <v>5829987</v>
      </c>
      <c r="F53" s="33">
        <v>0</v>
      </c>
      <c r="G53" s="130">
        <v>0</v>
      </c>
      <c r="H53" s="33">
        <v>0</v>
      </c>
      <c r="I53" s="115">
        <f>E53+F53+G53+H53</f>
        <v>5829987</v>
      </c>
      <c r="J53" s="33">
        <v>0</v>
      </c>
      <c r="K53" s="115">
        <f>I53+J53</f>
        <v>5829987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Sep 2015'!$A$1:$I$252,9,FALSE)</f>
        <v>1350000</v>
      </c>
      <c r="F59" s="33">
        <v>0</v>
      </c>
      <c r="G59" s="130">
        <v>0</v>
      </c>
      <c r="H59" s="33">
        <v>0</v>
      </c>
      <c r="I59" s="115">
        <f>E59+F59+G59+H59</f>
        <v>1350000</v>
      </c>
      <c r="J59" s="33">
        <v>0</v>
      </c>
      <c r="K59" s="115">
        <f>I59+J59</f>
        <v>1350000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Sep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Sep 2015'!$A$1:$I$252,9,FALSE)</f>
        <v>9295336.1099999994</v>
      </c>
      <c r="F67" s="172"/>
      <c r="G67" s="130">
        <v>970078.87</v>
      </c>
      <c r="H67" s="172"/>
      <c r="I67" s="115">
        <f t="shared" si="5"/>
        <v>10265414.979999999</v>
      </c>
      <c r="J67" s="172"/>
      <c r="K67" s="115">
        <f t="shared" si="6"/>
        <v>10265414.979999999</v>
      </c>
      <c r="L67" s="210" t="s">
        <v>250</v>
      </c>
      <c r="M67" s="20" t="s">
        <v>246</v>
      </c>
      <c r="S67" s="18"/>
    </row>
    <row r="68" spans="1:21" ht="12.75" customHeight="1" x14ac:dyDescent="0.35">
      <c r="B68" s="28"/>
      <c r="C68" s="28"/>
      <c r="E68" s="171"/>
      <c r="F68" s="172"/>
      <c r="G68" s="33"/>
      <c r="H68" s="172"/>
      <c r="I68" s="115"/>
      <c r="J68" s="172"/>
      <c r="K68" s="115"/>
      <c r="M68" s="20"/>
      <c r="S68" s="18"/>
    </row>
    <row r="69" spans="1:21" ht="20.25" customHeight="1" x14ac:dyDescent="0.35">
      <c r="A69" s="100" t="s">
        <v>238</v>
      </c>
      <c r="B69" s="28"/>
      <c r="C69" s="28" t="s">
        <v>236</v>
      </c>
      <c r="D69" s="4" t="s">
        <v>238</v>
      </c>
      <c r="E69" s="32">
        <f>VLOOKUP(A69,'DEK Sep 2015'!$A$1:$I$252,9,FALSE)</f>
        <v>-839085.66</v>
      </c>
      <c r="F69" s="172"/>
      <c r="G69" s="130">
        <v>0</v>
      </c>
      <c r="H69" s="33"/>
      <c r="I69" s="115">
        <f t="shared" si="5"/>
        <v>-839085.66</v>
      </c>
      <c r="J69" s="33"/>
      <c r="K69" s="115">
        <f t="shared" si="6"/>
        <v>-839085.66</v>
      </c>
      <c r="L69" s="210" t="s">
        <v>251</v>
      </c>
      <c r="M69" s="20"/>
      <c r="S69" s="18"/>
    </row>
    <row r="70" spans="1:21" ht="12.75" customHeight="1" x14ac:dyDescent="0.35">
      <c r="B70" s="28"/>
      <c r="C70" s="28"/>
      <c r="E70" s="32"/>
      <c r="F70" s="172"/>
      <c r="G70" s="144"/>
      <c r="H70" s="33"/>
      <c r="I70" s="115"/>
      <c r="J70" s="33"/>
      <c r="K70" s="115"/>
      <c r="M70" s="20"/>
      <c r="S70" s="18"/>
    </row>
    <row r="71" spans="1:21" ht="16.5" customHeight="1" x14ac:dyDescent="0.35">
      <c r="A71" s="100" t="s">
        <v>240</v>
      </c>
      <c r="B71" s="28"/>
      <c r="C71" s="28" t="s">
        <v>239</v>
      </c>
      <c r="D71" s="4" t="s">
        <v>240</v>
      </c>
      <c r="E71" s="32">
        <f>VLOOKUP(A71,'DEK Sep 2015'!$A$1:$I$252,9,FALSE)</f>
        <v>3300226.8200000003</v>
      </c>
      <c r="F71" s="172"/>
      <c r="G71" s="130">
        <v>316364.92</v>
      </c>
      <c r="H71" s="33"/>
      <c r="I71" s="115">
        <f t="shared" ref="I71" si="7">E71+F71+G71+H71</f>
        <v>3616591.74</v>
      </c>
      <c r="J71" s="33"/>
      <c r="K71" s="115">
        <f t="shared" ref="K71" si="8">I71+J71</f>
        <v>3616591.74</v>
      </c>
      <c r="L71" s="210" t="s">
        <v>22</v>
      </c>
      <c r="M71" s="20" t="s">
        <v>247</v>
      </c>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5">
        <f>VLOOKUP(A73,'DEK Sep 2015'!$A$1:$I$252,9,FALSE)</f>
        <v>0</v>
      </c>
      <c r="F73" s="174"/>
      <c r="G73" s="36">
        <v>0</v>
      </c>
      <c r="H73" s="36"/>
      <c r="I73" s="116">
        <f t="shared" ref="I73" si="9">E73+F73+G73+H73</f>
        <v>0</v>
      </c>
      <c r="J73" s="36"/>
      <c r="K73" s="116">
        <f t="shared" ref="K73" si="10">I73+J73</f>
        <v>0</v>
      </c>
      <c r="M73" s="20"/>
      <c r="S73" s="18"/>
    </row>
    <row r="74" spans="1:21" x14ac:dyDescent="0.2">
      <c r="B74" s="54"/>
      <c r="C74" s="28"/>
      <c r="E74" s="32">
        <f>SUM(E42:E73)</f>
        <v>31250077.629999999</v>
      </c>
      <c r="F74" s="29">
        <f>SUM(F39:F65)+F36</f>
        <v>0</v>
      </c>
      <c r="G74" s="29">
        <f>SUM(G39:G73)+G36</f>
        <v>1415414.23</v>
      </c>
      <c r="H74" s="29">
        <f>SUM(H39:H73)+H36</f>
        <v>0</v>
      </c>
      <c r="I74" s="123">
        <f>SUM(I39:I73)+I36</f>
        <v>32665491.859999999</v>
      </c>
      <c r="J74" s="49">
        <f>SUM(J39:J73)+J36</f>
        <v>-3340793.91</v>
      </c>
      <c r="K74" s="123">
        <f>SUM(K39:K73)+K36</f>
        <v>29324697.949999996</v>
      </c>
      <c r="M74" s="20"/>
      <c r="S74" s="18"/>
    </row>
    <row r="75" spans="1:21" x14ac:dyDescent="0.2">
      <c r="B75" s="28"/>
      <c r="C75" s="28"/>
      <c r="E75" s="32"/>
      <c r="F75" s="30"/>
      <c r="G75" s="152"/>
      <c r="H75" s="30"/>
      <c r="I75" s="115"/>
      <c r="J75" s="30"/>
      <c r="K75" s="115"/>
      <c r="M75" s="20"/>
      <c r="S75" s="18"/>
    </row>
    <row r="76" spans="1:21" s="22" customFormat="1" x14ac:dyDescent="0.2">
      <c r="A76" s="101"/>
      <c r="B76" s="54" t="s">
        <v>129</v>
      </c>
      <c r="C76" s="55"/>
      <c r="E76" s="220"/>
      <c r="F76" s="47"/>
      <c r="G76" s="162"/>
      <c r="H76" s="47"/>
      <c r="I76" s="124"/>
      <c r="J76" s="47"/>
      <c r="K76" s="124"/>
      <c r="M76" s="19"/>
      <c r="N76" s="48"/>
      <c r="O76" s="48"/>
      <c r="P76" s="56"/>
      <c r="R76" s="57"/>
      <c r="S76" s="57"/>
      <c r="T76" s="55"/>
      <c r="U76" s="55"/>
    </row>
    <row r="77" spans="1:21" ht="25.5" hidden="1" customHeight="1" x14ac:dyDescent="0.2">
      <c r="A77" s="100" t="s">
        <v>125</v>
      </c>
      <c r="B77" s="18"/>
      <c r="C77" s="28" t="s">
        <v>73</v>
      </c>
      <c r="D77" s="4" t="s">
        <v>125</v>
      </c>
      <c r="E77" s="32">
        <v>0</v>
      </c>
      <c r="F77" s="33">
        <v>0</v>
      </c>
      <c r="G77" s="144">
        <v>0</v>
      </c>
      <c r="H77" s="33">
        <v>0</v>
      </c>
      <c r="I77" s="115">
        <f>E77+F77+G77+H77</f>
        <v>0</v>
      </c>
      <c r="J77" s="30">
        <f>F77+G77+H77+I77</f>
        <v>0</v>
      </c>
      <c r="K77" s="115">
        <f>G77+H77+I77+J77</f>
        <v>0</v>
      </c>
      <c r="M77" s="42" t="s">
        <v>126</v>
      </c>
      <c r="O77" s="53"/>
      <c r="P77" s="31"/>
      <c r="R77" s="4" t="s">
        <v>107</v>
      </c>
      <c r="S77" s="18">
        <v>182940</v>
      </c>
      <c r="U77" s="39" t="s">
        <v>36</v>
      </c>
    </row>
    <row r="78" spans="1:21" x14ac:dyDescent="0.2">
      <c r="A78" s="100" t="s">
        <v>161</v>
      </c>
      <c r="B78" s="28"/>
      <c r="C78" s="28" t="s">
        <v>72</v>
      </c>
      <c r="D78" s="4" t="s">
        <v>224</v>
      </c>
      <c r="E78" s="32">
        <f>VLOOKUP(A78,'DEK Sep 2015'!$A$1:$I$252,9,FALSE)</f>
        <v>21963561.440000001</v>
      </c>
      <c r="F78" s="30">
        <v>0</v>
      </c>
      <c r="G78" s="130">
        <v>-184449</v>
      </c>
      <c r="H78" s="30">
        <v>0</v>
      </c>
      <c r="I78" s="115">
        <f>E78+F78+G78+H78</f>
        <v>21779112.440000001</v>
      </c>
      <c r="J78" s="30">
        <v>0</v>
      </c>
      <c r="K78" s="115">
        <f t="shared" ref="K78:K80" si="11">I78+J78</f>
        <v>21779112.440000001</v>
      </c>
      <c r="L78" s="210" t="s">
        <v>22</v>
      </c>
      <c r="M78" s="20"/>
      <c r="P78" s="58"/>
      <c r="S78" s="18">
        <v>186801</v>
      </c>
    </row>
    <row r="79" spans="1:21" x14ac:dyDescent="0.2">
      <c r="A79" s="108" t="s">
        <v>171</v>
      </c>
      <c r="B79" s="28"/>
      <c r="C79" s="28" t="s">
        <v>122</v>
      </c>
      <c r="D79" s="4" t="s">
        <v>225</v>
      </c>
      <c r="E79" s="32">
        <f>VLOOKUP(A79,'DEK Sep 2015'!$A$1:$I$252,9,FALSE)</f>
        <v>2997687.55</v>
      </c>
      <c r="F79" s="30">
        <v>0</v>
      </c>
      <c r="G79" s="130">
        <v>-27586</v>
      </c>
      <c r="H79" s="30">
        <v>0</v>
      </c>
      <c r="I79" s="115">
        <f>E79+F79+G79+H79</f>
        <v>2970101.55</v>
      </c>
      <c r="J79" s="30">
        <v>0</v>
      </c>
      <c r="K79" s="115">
        <f t="shared" si="11"/>
        <v>2970101.55</v>
      </c>
      <c r="L79" s="210" t="s">
        <v>22</v>
      </c>
      <c r="M79" s="20"/>
      <c r="P79" s="58"/>
      <c r="S79" s="18"/>
    </row>
    <row r="80" spans="1:21" x14ac:dyDescent="0.2">
      <c r="A80" s="108" t="s">
        <v>172</v>
      </c>
      <c r="B80" s="28"/>
      <c r="C80" s="28" t="s">
        <v>123</v>
      </c>
      <c r="D80" s="4" t="s">
        <v>226</v>
      </c>
      <c r="E80" s="32">
        <f>VLOOKUP(A80,'DEK Sep 2015'!$A$1:$I$252,9,FALSE)</f>
        <v>56889.05</v>
      </c>
      <c r="F80" s="30">
        <v>0</v>
      </c>
      <c r="G80" s="130">
        <v>-794</v>
      </c>
      <c r="H80" s="30">
        <v>0</v>
      </c>
      <c r="I80" s="115">
        <f>E80+F80+G80+H80</f>
        <v>56095.05</v>
      </c>
      <c r="J80" s="30">
        <v>0</v>
      </c>
      <c r="K80" s="115">
        <f t="shared" si="11"/>
        <v>56095.05</v>
      </c>
      <c r="L80" s="210" t="s">
        <v>22</v>
      </c>
      <c r="M80" s="20"/>
      <c r="P80" s="58"/>
      <c r="S80" s="18"/>
    </row>
    <row r="81" spans="1:20" x14ac:dyDescent="0.2">
      <c r="B81" s="28"/>
      <c r="C81" s="28"/>
      <c r="E81" s="35"/>
      <c r="F81" s="36"/>
      <c r="G81" s="150"/>
      <c r="H81" s="36"/>
      <c r="I81" s="116"/>
      <c r="J81" s="36"/>
      <c r="K81" s="116"/>
      <c r="M81" s="20"/>
      <c r="P81" s="58"/>
      <c r="S81" s="18"/>
    </row>
    <row r="82" spans="1:20" x14ac:dyDescent="0.2">
      <c r="B82" s="28"/>
      <c r="C82" s="18"/>
      <c r="E82" s="32">
        <f>SUM(E77:E81)</f>
        <v>25018138.040000003</v>
      </c>
      <c r="F82" s="29">
        <f t="shared" ref="F82:K82" si="12">SUM(F77:F81)</f>
        <v>0</v>
      </c>
      <c r="G82" s="29">
        <f>SUM(G77:G81)</f>
        <v>-212829</v>
      </c>
      <c r="H82" s="29">
        <f t="shared" si="12"/>
        <v>0</v>
      </c>
      <c r="I82" s="123">
        <f t="shared" si="12"/>
        <v>24805309.040000003</v>
      </c>
      <c r="J82" s="29">
        <f t="shared" si="12"/>
        <v>0</v>
      </c>
      <c r="K82" s="123">
        <f t="shared" si="12"/>
        <v>24805309.040000003</v>
      </c>
      <c r="M82" s="20"/>
      <c r="S82" s="18"/>
    </row>
    <row r="83" spans="1:20" ht="12.75" hidden="1" customHeight="1" x14ac:dyDescent="0.2">
      <c r="B83" s="54" t="s">
        <v>135</v>
      </c>
      <c r="C83" s="18"/>
      <c r="E83" s="32"/>
      <c r="F83" s="29"/>
      <c r="G83" s="151"/>
      <c r="H83" s="29"/>
      <c r="I83" s="117"/>
      <c r="J83" s="29"/>
      <c r="K83" s="117"/>
      <c r="M83" s="20"/>
      <c r="S83" s="18"/>
    </row>
    <row r="84" spans="1:20" ht="12.75" hidden="1" customHeight="1" x14ac:dyDescent="0.2">
      <c r="A84" s="100" t="s">
        <v>108</v>
      </c>
      <c r="B84" s="28"/>
      <c r="C84" s="28" t="s">
        <v>71</v>
      </c>
      <c r="D84" s="4" t="s">
        <v>108</v>
      </c>
      <c r="E84" s="32">
        <v>0</v>
      </c>
      <c r="F84" s="30">
        <v>0</v>
      </c>
      <c r="G84" s="152">
        <v>0</v>
      </c>
      <c r="H84" s="30">
        <v>0</v>
      </c>
      <c r="I84" s="115">
        <f t="shared" ref="I84:K85" si="13">E84+F84+G84+H84</f>
        <v>0</v>
      </c>
      <c r="J84" s="30">
        <f t="shared" si="13"/>
        <v>0</v>
      </c>
      <c r="K84" s="115">
        <f t="shared" si="13"/>
        <v>0</v>
      </c>
      <c r="M84" s="20"/>
      <c r="S84" s="18">
        <v>174995</v>
      </c>
    </row>
    <row r="85" spans="1:20" ht="12.75" hidden="1" customHeight="1" x14ac:dyDescent="0.2">
      <c r="A85" s="100" t="s">
        <v>139</v>
      </c>
      <c r="B85" s="28"/>
      <c r="C85" s="28" t="s">
        <v>124</v>
      </c>
      <c r="D85" s="4" t="s">
        <v>139</v>
      </c>
      <c r="E85" s="32">
        <v>0</v>
      </c>
      <c r="F85" s="30">
        <v>0</v>
      </c>
      <c r="G85" s="152">
        <v>0</v>
      </c>
      <c r="H85" s="30">
        <v>0</v>
      </c>
      <c r="I85" s="115">
        <f t="shared" si="13"/>
        <v>0</v>
      </c>
      <c r="J85" s="30">
        <f t="shared" si="13"/>
        <v>0</v>
      </c>
      <c r="K85" s="115">
        <f t="shared" si="13"/>
        <v>0</v>
      </c>
      <c r="M85" s="20"/>
      <c r="S85" s="18"/>
    </row>
    <row r="86" spans="1:20" ht="7.5" hidden="1" customHeight="1" x14ac:dyDescent="0.2">
      <c r="B86" s="28"/>
      <c r="C86" s="18"/>
      <c r="D86" s="59"/>
      <c r="E86" s="32"/>
      <c r="F86" s="30"/>
      <c r="G86" s="152"/>
      <c r="H86" s="30"/>
      <c r="I86" s="115"/>
      <c r="J86" s="30"/>
      <c r="K86" s="115"/>
      <c r="M86" s="20"/>
      <c r="P86" s="58"/>
      <c r="S86" s="18"/>
    </row>
    <row r="87" spans="1:20" x14ac:dyDescent="0.2">
      <c r="B87" s="28"/>
      <c r="C87" s="18"/>
      <c r="E87" s="32"/>
      <c r="F87" s="30"/>
      <c r="G87" s="152"/>
      <c r="H87" s="30"/>
      <c r="I87" s="115"/>
      <c r="J87" s="30"/>
      <c r="K87" s="115"/>
      <c r="M87" s="20"/>
      <c r="S87" s="18"/>
    </row>
    <row r="88" spans="1:20" x14ac:dyDescent="0.2">
      <c r="B88" s="18"/>
      <c r="C88" s="131" t="s">
        <v>41</v>
      </c>
      <c r="D88" s="135"/>
      <c r="E88" s="133">
        <f t="shared" ref="E88:K88" si="14">+E12+E24+E30+E74+E82+E84+E19+E85</f>
        <v>61225353</v>
      </c>
      <c r="F88" s="133">
        <f t="shared" si="14"/>
        <v>0</v>
      </c>
      <c r="G88" s="133">
        <f t="shared" si="14"/>
        <v>1217423.23</v>
      </c>
      <c r="H88" s="133">
        <f t="shared" si="14"/>
        <v>-22206.17</v>
      </c>
      <c r="I88" s="134">
        <f t="shared" si="14"/>
        <v>62420570.060000002</v>
      </c>
      <c r="J88" s="133">
        <f t="shared" si="14"/>
        <v>0</v>
      </c>
      <c r="K88" s="134">
        <f t="shared" si="14"/>
        <v>62420570.059999995</v>
      </c>
      <c r="M88" s="45"/>
      <c r="N88" s="143"/>
      <c r="S88" s="18"/>
    </row>
    <row r="89" spans="1:20" x14ac:dyDescent="0.2">
      <c r="A89" s="105"/>
      <c r="B89" s="18"/>
      <c r="C89" s="18"/>
      <c r="D89" s="12"/>
      <c r="E89" s="221"/>
      <c r="F89" s="50"/>
      <c r="G89" s="145"/>
      <c r="H89" s="50"/>
      <c r="I89" s="115"/>
      <c r="J89" s="30"/>
      <c r="K89" s="115"/>
      <c r="M89" s="45"/>
      <c r="S89" s="18"/>
    </row>
    <row r="90" spans="1:20" s="22" customFormat="1" x14ac:dyDescent="0.2">
      <c r="A90" s="106"/>
      <c r="B90" s="21" t="s">
        <v>130</v>
      </c>
      <c r="C90" s="46"/>
      <c r="D90" s="27"/>
      <c r="E90" s="222"/>
      <c r="F90" s="50"/>
      <c r="G90" s="145"/>
      <c r="H90" s="145"/>
      <c r="I90" s="113"/>
      <c r="J90" s="19"/>
      <c r="K90" s="113"/>
      <c r="M90" s="19"/>
      <c r="N90" s="20"/>
      <c r="O90" s="48"/>
      <c r="R90" s="57"/>
      <c r="S90" s="57"/>
    </row>
    <row r="91" spans="1:20" x14ac:dyDescent="0.2">
      <c r="A91" s="100" t="s">
        <v>114</v>
      </c>
      <c r="B91" s="18"/>
      <c r="C91" s="28" t="s">
        <v>52</v>
      </c>
      <c r="D91" s="4" t="s">
        <v>114</v>
      </c>
      <c r="E91" s="32">
        <f>VLOOKUP(A91,'DEK Sep 2015'!$A$1:$I$252,9,FALSE)</f>
        <v>257548.30000000013</v>
      </c>
      <c r="F91" s="30">
        <v>0</v>
      </c>
      <c r="G91" s="130">
        <v>523479.03</v>
      </c>
      <c r="H91" s="130">
        <v>-46457.35</v>
      </c>
      <c r="I91" s="115">
        <f t="shared" ref="I91:I96" si="15">E91+F91+G91+H91</f>
        <v>734569.98000000021</v>
      </c>
      <c r="J91" s="30">
        <v>0</v>
      </c>
      <c r="K91" s="115">
        <f t="shared" ref="K91:K96" si="16">I91+J91</f>
        <v>734569.98000000021</v>
      </c>
      <c r="L91" s="210" t="s">
        <v>22</v>
      </c>
      <c r="M91" s="33"/>
      <c r="N91" s="42"/>
      <c r="O91" s="42"/>
      <c r="S91" s="18">
        <v>191400</v>
      </c>
      <c r="T91" s="58"/>
    </row>
    <row r="92" spans="1:20" x14ac:dyDescent="0.2">
      <c r="A92" s="100" t="s">
        <v>115</v>
      </c>
      <c r="B92" s="18"/>
      <c r="C92" s="28" t="s">
        <v>53</v>
      </c>
      <c r="D92" s="4" t="s">
        <v>115</v>
      </c>
      <c r="E92" s="32">
        <f>VLOOKUP(A92,'DEK Sep 2015'!$A$1:$I$252,9,FALSE)</f>
        <v>-435978</v>
      </c>
      <c r="F92" s="30">
        <v>0</v>
      </c>
      <c r="G92" s="130">
        <v>-694006</v>
      </c>
      <c r="H92" s="33">
        <v>0</v>
      </c>
      <c r="I92" s="115">
        <f t="shared" si="15"/>
        <v>-1129984</v>
      </c>
      <c r="J92" s="30">
        <v>0</v>
      </c>
      <c r="K92" s="115">
        <f t="shared" si="16"/>
        <v>-1129984</v>
      </c>
      <c r="L92" s="210" t="s">
        <v>22</v>
      </c>
      <c r="M92" s="30"/>
      <c r="N92" s="42"/>
      <c r="O92" s="42"/>
      <c r="S92" s="18">
        <v>191800</v>
      </c>
      <c r="T92" s="58"/>
    </row>
    <row r="93" spans="1:20" ht="12.75" customHeight="1" x14ac:dyDescent="0.2">
      <c r="A93" s="100" t="s">
        <v>117</v>
      </c>
      <c r="B93" s="18"/>
      <c r="C93" s="28" t="s">
        <v>77</v>
      </c>
      <c r="D93" s="4" t="s">
        <v>117</v>
      </c>
      <c r="E93" s="32">
        <f>VLOOKUP(A93,'DEK Sep 2015'!$A$1:$I$252,9,FALSE)</f>
        <v>-1069102</v>
      </c>
      <c r="F93" s="30">
        <v>0</v>
      </c>
      <c r="G93" s="129">
        <v>0</v>
      </c>
      <c r="H93" s="33">
        <v>0</v>
      </c>
      <c r="I93" s="115">
        <f t="shared" si="15"/>
        <v>-1069102</v>
      </c>
      <c r="J93" s="30">
        <v>0</v>
      </c>
      <c r="K93" s="115">
        <f t="shared" si="16"/>
        <v>-1069102</v>
      </c>
      <c r="L93" s="210" t="s">
        <v>22</v>
      </c>
      <c r="M93" s="20"/>
      <c r="N93" s="42"/>
      <c r="O93" s="42"/>
      <c r="S93" s="18">
        <v>242995</v>
      </c>
      <c r="T93" s="58"/>
    </row>
    <row r="94" spans="1:20" x14ac:dyDescent="0.2">
      <c r="A94" s="100" t="s">
        <v>119</v>
      </c>
      <c r="B94" s="18"/>
      <c r="C94" s="28" t="s">
        <v>118</v>
      </c>
      <c r="D94" s="4" t="s">
        <v>119</v>
      </c>
      <c r="E94" s="32">
        <f>VLOOKUP(A94,'DEK Sep 2015'!$A$1:$I$252,9,FALSE)</f>
        <v>-1327058.7000000004</v>
      </c>
      <c r="F94" s="30">
        <v>0</v>
      </c>
      <c r="G94" s="129">
        <v>425098.11</v>
      </c>
      <c r="H94" s="33">
        <v>0</v>
      </c>
      <c r="I94" s="115">
        <f t="shared" si="15"/>
        <v>-901960.59000000043</v>
      </c>
      <c r="J94" s="30">
        <v>0</v>
      </c>
      <c r="K94" s="115">
        <f t="shared" si="16"/>
        <v>-901960.59000000043</v>
      </c>
      <c r="L94" s="210" t="s">
        <v>22</v>
      </c>
      <c r="M94" s="20"/>
      <c r="N94" s="42"/>
      <c r="O94" s="42"/>
      <c r="S94" s="18">
        <v>242997</v>
      </c>
      <c r="T94" s="58"/>
    </row>
    <row r="95" spans="1:20" x14ac:dyDescent="0.2">
      <c r="A95" s="100" t="s">
        <v>120</v>
      </c>
      <c r="B95" s="18"/>
      <c r="C95" s="28" t="s">
        <v>54</v>
      </c>
      <c r="D95" s="4" t="s">
        <v>120</v>
      </c>
      <c r="E95" s="32">
        <f>VLOOKUP(A95,'DEK Sep 2015'!$A$1:$I$252,9,FALSE)</f>
        <v>-881802.1599999998</v>
      </c>
      <c r="F95" s="33">
        <v>0</v>
      </c>
      <c r="G95" s="155"/>
      <c r="H95" s="130">
        <v>16476.12</v>
      </c>
      <c r="I95" s="115">
        <f t="shared" si="15"/>
        <v>-865326.0399999998</v>
      </c>
      <c r="J95" s="33">
        <v>0</v>
      </c>
      <c r="K95" s="115">
        <f t="shared" si="16"/>
        <v>-865326.0399999998</v>
      </c>
      <c r="L95" s="210" t="s">
        <v>22</v>
      </c>
      <c r="M95" s="42"/>
      <c r="N95" s="42"/>
      <c r="O95" s="42"/>
      <c r="S95" s="18">
        <v>253130</v>
      </c>
      <c r="T95" s="58"/>
    </row>
    <row r="96" spans="1:20" x14ac:dyDescent="0.2">
      <c r="A96" s="100" t="s">
        <v>156</v>
      </c>
      <c r="B96" s="18"/>
      <c r="C96" s="28" t="s">
        <v>116</v>
      </c>
      <c r="D96" s="4" t="s">
        <v>211</v>
      </c>
      <c r="E96" s="32">
        <f>VLOOKUP(A96,'DEK Sep 2015'!$A$1:$I$252,9,FALSE)</f>
        <v>-1335330.53</v>
      </c>
      <c r="F96" s="33"/>
      <c r="G96" s="130">
        <v>-617838.28</v>
      </c>
      <c r="H96" s="33">
        <v>0</v>
      </c>
      <c r="I96" s="115">
        <f t="shared" si="15"/>
        <v>-1953168.81</v>
      </c>
      <c r="J96" s="30">
        <v>0</v>
      </c>
      <c r="K96" s="115">
        <f t="shared" si="16"/>
        <v>-1953168.81</v>
      </c>
      <c r="M96" s="42"/>
      <c r="N96" s="42"/>
      <c r="O96" s="42"/>
      <c r="S96" s="18"/>
      <c r="T96" s="58"/>
    </row>
    <row r="97" spans="1:23" x14ac:dyDescent="0.2">
      <c r="B97" s="18"/>
      <c r="C97" s="28"/>
      <c r="E97" s="36"/>
      <c r="F97" s="36"/>
      <c r="G97" s="150"/>
      <c r="H97" s="36"/>
      <c r="I97" s="116"/>
      <c r="J97" s="36"/>
      <c r="K97" s="116"/>
      <c r="M97" s="42"/>
      <c r="N97" s="42"/>
      <c r="O97" s="42"/>
      <c r="S97" s="18"/>
      <c r="T97" s="58"/>
    </row>
    <row r="98" spans="1:23" x14ac:dyDescent="0.2">
      <c r="B98" s="18"/>
      <c r="C98" s="61"/>
      <c r="D98" s="34"/>
      <c r="E98" s="33">
        <f t="shared" ref="E98:K98" si="17">SUM(E91:E97)</f>
        <v>-4791723.09</v>
      </c>
      <c r="F98" s="33">
        <f t="shared" si="17"/>
        <v>0</v>
      </c>
      <c r="G98" s="33">
        <f t="shared" si="17"/>
        <v>-363267.14</v>
      </c>
      <c r="H98" s="33">
        <f t="shared" si="17"/>
        <v>-29981.23</v>
      </c>
      <c r="I98" s="123">
        <f t="shared" si="17"/>
        <v>-5184971.4600000009</v>
      </c>
      <c r="J98" s="33">
        <f t="shared" si="17"/>
        <v>0</v>
      </c>
      <c r="K98" s="123">
        <f t="shared" si="17"/>
        <v>-5184971.4600000009</v>
      </c>
      <c r="M98" s="42"/>
      <c r="N98" s="42"/>
      <c r="O98" s="42"/>
      <c r="S98" s="18"/>
      <c r="T98" s="58"/>
    </row>
    <row r="99" spans="1:23" hidden="1" x14ac:dyDescent="0.2">
      <c r="B99" s="21" t="s">
        <v>188</v>
      </c>
      <c r="C99" s="61"/>
      <c r="D99" s="34"/>
      <c r="E99" s="33"/>
      <c r="F99" s="33"/>
      <c r="G99" s="144"/>
      <c r="H99" s="33"/>
      <c r="I99" s="115"/>
      <c r="J99" s="33"/>
      <c r="K99" s="115"/>
      <c r="M99" s="42"/>
      <c r="N99" s="42"/>
      <c r="O99" s="42"/>
      <c r="S99" s="18"/>
      <c r="T99" s="58"/>
    </row>
    <row r="100" spans="1:23" hidden="1" x14ac:dyDescent="0.2">
      <c r="A100" s="100" t="s">
        <v>185</v>
      </c>
      <c r="B100" s="18"/>
      <c r="C100" s="28" t="s">
        <v>186</v>
      </c>
      <c r="D100" s="4" t="s">
        <v>213</v>
      </c>
      <c r="E100" s="32">
        <v>0</v>
      </c>
      <c r="F100" s="33">
        <v>0</v>
      </c>
      <c r="G100" s="144">
        <v>0</v>
      </c>
      <c r="H100" s="33">
        <v>0</v>
      </c>
      <c r="I100" s="115">
        <f>E100+F100+G100+H100</f>
        <v>0</v>
      </c>
      <c r="J100" s="33">
        <v>0</v>
      </c>
      <c r="K100" s="115">
        <f>I100+J100</f>
        <v>0</v>
      </c>
      <c r="M100" s="42"/>
      <c r="N100" s="42"/>
      <c r="O100" s="42"/>
      <c r="S100" s="18"/>
      <c r="T100" s="58"/>
    </row>
    <row r="101" spans="1:23" ht="12.75" hidden="1" customHeight="1" x14ac:dyDescent="0.2">
      <c r="A101" s="100" t="s">
        <v>181</v>
      </c>
      <c r="B101" s="18"/>
      <c r="C101" s="28" t="s">
        <v>182</v>
      </c>
      <c r="D101" s="4" t="s">
        <v>213</v>
      </c>
      <c r="E101" s="32">
        <f>VLOOKUP(A101,'[23]DEK Jun 2013'!$A$1:$I$252,9,FALSE)</f>
        <v>0</v>
      </c>
      <c r="F101" s="33">
        <v>0</v>
      </c>
      <c r="G101" s="144">
        <v>0</v>
      </c>
      <c r="H101" s="33">
        <v>0</v>
      </c>
      <c r="I101" s="115">
        <f>E101+F101+G101+H101</f>
        <v>0</v>
      </c>
      <c r="J101" s="30">
        <v>0</v>
      </c>
      <c r="K101" s="115">
        <f>I101+J101</f>
        <v>0</v>
      </c>
      <c r="L101" s="4" t="s">
        <v>22</v>
      </c>
      <c r="M101" s="42"/>
      <c r="N101" s="42"/>
      <c r="O101" s="42"/>
      <c r="S101" s="18">
        <v>253130</v>
      </c>
      <c r="T101" s="58"/>
    </row>
    <row r="102" spans="1:23" hidden="1" x14ac:dyDescent="0.2">
      <c r="B102" s="18"/>
      <c r="C102" s="28"/>
      <c r="E102" s="33"/>
      <c r="F102" s="36"/>
      <c r="G102" s="150"/>
      <c r="H102" s="36"/>
      <c r="I102" s="116"/>
      <c r="J102" s="36"/>
      <c r="K102" s="116"/>
      <c r="M102" s="42"/>
      <c r="N102" s="42"/>
      <c r="O102" s="42"/>
      <c r="S102" s="18"/>
      <c r="T102" s="58"/>
    </row>
    <row r="103" spans="1:23" hidden="1" x14ac:dyDescent="0.2">
      <c r="B103" s="18"/>
      <c r="C103" s="28"/>
      <c r="E103" s="33">
        <f>SUM(E100:E101)</f>
        <v>0</v>
      </c>
      <c r="F103" s="33">
        <f t="shared" ref="F103:L103" si="18">SUM(F100:F101)</f>
        <v>0</v>
      </c>
      <c r="G103" s="144">
        <f t="shared" si="18"/>
        <v>0</v>
      </c>
      <c r="H103" s="33">
        <f t="shared" si="18"/>
        <v>0</v>
      </c>
      <c r="I103" s="128">
        <f>SUM(I100:I101)</f>
        <v>0</v>
      </c>
      <c r="J103" s="33">
        <f t="shared" si="18"/>
        <v>0</v>
      </c>
      <c r="K103" s="128">
        <f t="shared" si="18"/>
        <v>0</v>
      </c>
      <c r="L103" s="33">
        <f t="shared" si="18"/>
        <v>0</v>
      </c>
      <c r="M103" s="42"/>
      <c r="N103" s="42"/>
      <c r="O103" s="42"/>
      <c r="S103" s="18"/>
      <c r="T103" s="58"/>
    </row>
    <row r="104" spans="1:23" hidden="1" x14ac:dyDescent="0.2">
      <c r="B104" s="18"/>
      <c r="C104" s="61"/>
      <c r="D104" s="34"/>
      <c r="E104" s="33"/>
      <c r="F104" s="33"/>
      <c r="G104" s="144"/>
      <c r="H104" s="33"/>
      <c r="I104" s="115"/>
      <c r="J104" s="33"/>
      <c r="K104" s="115"/>
      <c r="M104" s="42"/>
      <c r="N104" s="42"/>
      <c r="O104" s="42"/>
      <c r="S104" s="18"/>
      <c r="T104" s="58"/>
    </row>
    <row r="105" spans="1:23" s="22" customFormat="1" x14ac:dyDescent="0.2">
      <c r="A105" s="101"/>
      <c r="B105" s="21" t="s">
        <v>214</v>
      </c>
      <c r="C105" s="63"/>
      <c r="D105" s="64"/>
      <c r="E105" s="33"/>
      <c r="F105" s="30"/>
      <c r="G105" s="152" t="s">
        <v>187</v>
      </c>
      <c r="H105" s="30"/>
      <c r="I105" s="113"/>
      <c r="J105" s="19"/>
      <c r="K105" s="113"/>
      <c r="M105" s="19"/>
      <c r="N105" s="42"/>
      <c r="O105" s="48"/>
      <c r="T105" s="46"/>
      <c r="U105" s="46"/>
    </row>
    <row r="106" spans="1:23" x14ac:dyDescent="0.2">
      <c r="A106" s="100" t="s">
        <v>162</v>
      </c>
      <c r="B106" s="18"/>
      <c r="C106" s="28" t="s">
        <v>76</v>
      </c>
      <c r="D106" s="4" t="s">
        <v>194</v>
      </c>
      <c r="E106" s="32">
        <f>VLOOKUP(A106,'DEK Sep 2015'!$A$1:$I$252,9,FALSE)</f>
        <v>-3537826.63</v>
      </c>
      <c r="F106" s="30">
        <v>0</v>
      </c>
      <c r="G106" s="130">
        <v>33028</v>
      </c>
      <c r="H106" s="33">
        <v>0</v>
      </c>
      <c r="I106" s="123">
        <f>E106+G106+H106+F106</f>
        <v>-3504798.63</v>
      </c>
      <c r="J106" s="91">
        <v>0</v>
      </c>
      <c r="K106" s="123">
        <f>I106+J106</f>
        <v>-3504798.63</v>
      </c>
      <c r="L106" s="210" t="s">
        <v>22</v>
      </c>
      <c r="M106" s="67"/>
      <c r="P106" s="51"/>
      <c r="Q106" s="18"/>
      <c r="R106" s="58"/>
      <c r="S106" s="18"/>
    </row>
    <row r="107" spans="1:23" ht="15" x14ac:dyDescent="0.25">
      <c r="B107" s="18"/>
      <c r="C107" s="28"/>
      <c r="D107" s="65"/>
      <c r="E107" s="33"/>
      <c r="F107" s="30"/>
      <c r="G107" s="144"/>
      <c r="H107" s="33"/>
      <c r="I107" s="126"/>
      <c r="J107" s="1"/>
      <c r="K107" s="126"/>
      <c r="L107" s="66"/>
      <c r="M107" s="67"/>
      <c r="P107" s="51"/>
      <c r="Q107" s="18"/>
      <c r="R107" s="58"/>
      <c r="S107" s="18"/>
    </row>
    <row r="108" spans="1:23" x14ac:dyDescent="0.2">
      <c r="B108" s="21" t="s">
        <v>227</v>
      </c>
      <c r="C108" s="28"/>
      <c r="E108" s="33"/>
      <c r="F108" s="30"/>
      <c r="G108" s="152"/>
      <c r="H108" s="30"/>
      <c r="I108" s="115"/>
      <c r="J108" s="30"/>
      <c r="K108" s="115"/>
      <c r="M108" s="20"/>
      <c r="N108" s="42"/>
      <c r="O108" s="42"/>
      <c r="R108" s="58"/>
      <c r="S108" s="18"/>
      <c r="T108" s="58"/>
    </row>
    <row r="109" spans="1:23" x14ac:dyDescent="0.2">
      <c r="A109" s="100" t="s">
        <v>163</v>
      </c>
      <c r="B109" s="18"/>
      <c r="C109" s="28" t="s">
        <v>48</v>
      </c>
      <c r="D109" s="4" t="s">
        <v>195</v>
      </c>
      <c r="E109" s="32">
        <f>VLOOKUP(A109,'DEK Sep 2015'!$A$1:$I$252,9,FALSE)</f>
        <v>0</v>
      </c>
      <c r="F109" s="30">
        <v>0</v>
      </c>
      <c r="G109" s="33">
        <v>0</v>
      </c>
      <c r="H109" s="33">
        <v>0</v>
      </c>
      <c r="I109" s="115">
        <f>E109+F109+G109+H109</f>
        <v>0</v>
      </c>
      <c r="J109" s="30">
        <v>0</v>
      </c>
      <c r="K109" s="115">
        <f t="shared" ref="K109:K111" si="19">I109+J109</f>
        <v>0</v>
      </c>
      <c r="M109" s="62"/>
      <c r="P109" s="51"/>
      <c r="Q109" s="18"/>
      <c r="R109" s="58"/>
      <c r="S109" s="18">
        <v>254998</v>
      </c>
    </row>
    <row r="110" spans="1:23" x14ac:dyDescent="0.2">
      <c r="A110" s="100" t="s">
        <v>179</v>
      </c>
      <c r="B110" s="18"/>
      <c r="C110" s="28" t="s">
        <v>47</v>
      </c>
      <c r="D110" s="4" t="s">
        <v>196</v>
      </c>
      <c r="E110" s="32">
        <f>VLOOKUP(A110,'DEK Sep 2015'!$A$1:$I$252,9,FALSE)</f>
        <v>0</v>
      </c>
      <c r="F110" s="30">
        <v>0</v>
      </c>
      <c r="G110" s="30">
        <v>0</v>
      </c>
      <c r="H110" s="33">
        <v>0</v>
      </c>
      <c r="I110" s="115">
        <f>E110+F110+G110+H110</f>
        <v>0</v>
      </c>
      <c r="J110" s="30">
        <v>0</v>
      </c>
      <c r="K110" s="115">
        <f t="shared" si="19"/>
        <v>0</v>
      </c>
      <c r="M110" s="62"/>
      <c r="P110" s="51"/>
      <c r="Q110" s="18"/>
      <c r="R110" s="58"/>
      <c r="S110" s="18">
        <v>254998</v>
      </c>
      <c r="W110" s="47"/>
    </row>
    <row r="111" spans="1:23" x14ac:dyDescent="0.2">
      <c r="A111" s="100" t="s">
        <v>164</v>
      </c>
      <c r="B111" s="18"/>
      <c r="C111" s="28" t="s">
        <v>75</v>
      </c>
      <c r="D111" s="4" t="s">
        <v>215</v>
      </c>
      <c r="E111" s="32">
        <f>VLOOKUP(A111,'DEK Sep 2015'!$A$1:$I$252,9,FALSE)</f>
        <v>-16245.810000000003</v>
      </c>
      <c r="F111" s="30">
        <v>0</v>
      </c>
      <c r="G111" s="130">
        <v>112.71</v>
      </c>
      <c r="H111" s="33">
        <v>0</v>
      </c>
      <c r="I111" s="117">
        <f>E111+F111+G111+H111</f>
        <v>-16133.100000000004</v>
      </c>
      <c r="J111" s="30">
        <v>0</v>
      </c>
      <c r="K111" s="123">
        <f t="shared" si="19"/>
        <v>-16133.100000000004</v>
      </c>
      <c r="M111" s="62"/>
      <c r="P111" s="51"/>
      <c r="Q111" s="18"/>
      <c r="R111" s="58"/>
      <c r="S111" s="18">
        <v>254210</v>
      </c>
    </row>
    <row r="112" spans="1:23" x14ac:dyDescent="0.2">
      <c r="B112" s="18"/>
      <c r="C112" s="28"/>
      <c r="D112" s="65"/>
      <c r="E112" s="36"/>
      <c r="F112" s="36"/>
      <c r="G112" s="150"/>
      <c r="H112" s="36"/>
      <c r="I112" s="116"/>
      <c r="J112" s="36"/>
      <c r="K112" s="116"/>
      <c r="M112" s="62"/>
      <c r="P112" s="51"/>
      <c r="Q112" s="18"/>
      <c r="R112" s="58"/>
      <c r="S112" s="18"/>
    </row>
    <row r="113" spans="1:22" x14ac:dyDescent="0.2">
      <c r="B113" s="18"/>
      <c r="C113" s="28"/>
      <c r="E113" s="33">
        <f t="shared" ref="E113" si="20">SUM(E109:E112)</f>
        <v>-16245.810000000003</v>
      </c>
      <c r="F113" s="30">
        <f t="shared" ref="F113:K113" si="21">SUM(F109:F112)</f>
        <v>0</v>
      </c>
      <c r="G113" s="30">
        <f t="shared" si="21"/>
        <v>112.71</v>
      </c>
      <c r="H113" s="30">
        <f t="shared" si="21"/>
        <v>0</v>
      </c>
      <c r="I113" s="122">
        <f t="shared" si="21"/>
        <v>-16133.100000000004</v>
      </c>
      <c r="J113" s="30">
        <f t="shared" si="21"/>
        <v>0</v>
      </c>
      <c r="K113" s="115">
        <f t="shared" si="21"/>
        <v>-16133.100000000004</v>
      </c>
      <c r="M113" s="20"/>
      <c r="N113" s="42"/>
      <c r="O113" s="42"/>
      <c r="R113" s="58"/>
      <c r="S113" s="18"/>
      <c r="T113" s="58"/>
    </row>
    <row r="114" spans="1:22" x14ac:dyDescent="0.2">
      <c r="B114" s="21" t="s">
        <v>216</v>
      </c>
      <c r="C114" s="28"/>
      <c r="E114" s="33"/>
      <c r="F114" s="30"/>
      <c r="G114" s="152"/>
      <c r="H114" s="30"/>
      <c r="I114" s="115"/>
      <c r="J114" s="30"/>
      <c r="K114" s="115"/>
      <c r="M114" s="20"/>
      <c r="N114" s="42"/>
      <c r="O114" s="42"/>
      <c r="R114" s="58"/>
      <c r="S114" s="18"/>
      <c r="T114" s="58"/>
    </row>
    <row r="115" spans="1:22" x14ac:dyDescent="0.2">
      <c r="A115" s="100" t="s">
        <v>165</v>
      </c>
      <c r="B115" s="18"/>
      <c r="C115" s="28" t="s">
        <v>45</v>
      </c>
      <c r="D115" s="4" t="s">
        <v>197</v>
      </c>
      <c r="E115" s="32">
        <f>VLOOKUP(A115,'DEK Sep 2015'!$A$1:$I$252,9,FALSE)</f>
        <v>-17316462.580000002</v>
      </c>
      <c r="F115" s="30">
        <v>0</v>
      </c>
      <c r="G115" s="129">
        <v>-57371.01</v>
      </c>
      <c r="H115" s="30">
        <v>0</v>
      </c>
      <c r="I115" s="115">
        <f t="shared" ref="I115:I120" si="22">E115+F115+G115+H115</f>
        <v>-17373833.590000004</v>
      </c>
      <c r="J115" s="30">
        <v>0</v>
      </c>
      <c r="K115" s="115">
        <f t="shared" ref="K115:K120" si="23">I115+J115</f>
        <v>-17373833.590000004</v>
      </c>
      <c r="L115" s="210" t="s">
        <v>241</v>
      </c>
      <c r="M115" s="20"/>
      <c r="N115" s="42"/>
      <c r="O115" s="42"/>
      <c r="Q115" s="203">
        <v>75086</v>
      </c>
      <c r="R115" s="58" t="s">
        <v>44</v>
      </c>
      <c r="S115" s="18">
        <v>108201</v>
      </c>
      <c r="T115" s="58"/>
    </row>
    <row r="116" spans="1:22" x14ac:dyDescent="0.2">
      <c r="A116" s="100" t="s">
        <v>166</v>
      </c>
      <c r="B116" s="18"/>
      <c r="C116" s="28" t="s">
        <v>45</v>
      </c>
      <c r="D116" s="4" t="s">
        <v>198</v>
      </c>
      <c r="E116" s="32">
        <f>VLOOKUP(A116,'DEK Sep 2015'!$A$1:$I$252,9,FALSE)</f>
        <v>-47307071.470000006</v>
      </c>
      <c r="F116" s="30">
        <v>0</v>
      </c>
      <c r="G116" s="129">
        <v>144393.26999999999</v>
      </c>
      <c r="H116" s="30">
        <v>0</v>
      </c>
      <c r="I116" s="115">
        <f t="shared" si="22"/>
        <v>-47162678.200000003</v>
      </c>
      <c r="J116" s="30">
        <v>0</v>
      </c>
      <c r="K116" s="115">
        <f t="shared" si="23"/>
        <v>-47162678.200000003</v>
      </c>
      <c r="L116" s="210" t="s">
        <v>242</v>
      </c>
      <c r="M116" s="20"/>
      <c r="N116" s="42"/>
      <c r="O116" s="42"/>
      <c r="R116" s="58" t="s">
        <v>44</v>
      </c>
      <c r="S116" s="18">
        <v>108301</v>
      </c>
      <c r="T116" s="58"/>
    </row>
    <row r="117" spans="1:22" x14ac:dyDescent="0.2">
      <c r="A117" s="100" t="s">
        <v>167</v>
      </c>
      <c r="B117" s="18"/>
      <c r="C117" s="28" t="s">
        <v>46</v>
      </c>
      <c r="D117" s="4" t="s">
        <v>199</v>
      </c>
      <c r="E117" s="32">
        <f>VLOOKUP(A117,'DEK Sep 2015'!$A$1:$I$252,9,FALSE)</f>
        <v>10468500.219999999</v>
      </c>
      <c r="F117" s="30">
        <v>0</v>
      </c>
      <c r="G117" s="129">
        <v>-177581.32</v>
      </c>
      <c r="H117" s="30">
        <v>0</v>
      </c>
      <c r="I117" s="115">
        <f t="shared" si="22"/>
        <v>10290918.899999999</v>
      </c>
      <c r="J117" s="30">
        <v>0</v>
      </c>
      <c r="K117" s="115">
        <f>I117+J117</f>
        <v>10290918.899999999</v>
      </c>
      <c r="L117" s="210" t="s">
        <v>242</v>
      </c>
      <c r="M117" s="20"/>
      <c r="N117" s="42"/>
      <c r="O117" s="42"/>
      <c r="S117" s="18">
        <v>108410</v>
      </c>
      <c r="T117" s="58"/>
    </row>
    <row r="118" spans="1:22" x14ac:dyDescent="0.2">
      <c r="A118" s="100" t="s">
        <v>168</v>
      </c>
      <c r="B118" s="18"/>
      <c r="C118" s="28" t="s">
        <v>74</v>
      </c>
      <c r="D118" s="4" t="s">
        <v>217</v>
      </c>
      <c r="E118" s="32">
        <f>VLOOKUP(A118,'DEK Sep 2015'!$A$1:$I$252,9,FALSE)</f>
        <v>2208420.4699999997</v>
      </c>
      <c r="F118" s="30">
        <v>0</v>
      </c>
      <c r="G118" s="129">
        <v>20988.99</v>
      </c>
      <c r="H118" s="30">
        <v>0</v>
      </c>
      <c r="I118" s="115">
        <f t="shared" si="22"/>
        <v>2229409.46</v>
      </c>
      <c r="J118" s="30">
        <v>0</v>
      </c>
      <c r="K118" s="115">
        <f>I118+J118</f>
        <v>2229409.46</v>
      </c>
      <c r="M118" s="20"/>
      <c r="N118" s="42"/>
      <c r="O118" s="42"/>
      <c r="Q118" s="4" t="s">
        <v>50</v>
      </c>
      <c r="R118" s="4" t="s">
        <v>51</v>
      </c>
      <c r="S118" s="18">
        <v>182303</v>
      </c>
      <c r="T118" s="58"/>
    </row>
    <row r="119" spans="1:22" x14ac:dyDescent="0.2">
      <c r="A119" s="100" t="s">
        <v>169</v>
      </c>
      <c r="B119" s="18"/>
      <c r="C119" s="28" t="s">
        <v>49</v>
      </c>
      <c r="D119" s="4" t="s">
        <v>218</v>
      </c>
      <c r="E119" s="32">
        <f>VLOOKUP(A119,'DEK Sep 2015'!$A$1:$I$252,9,FALSE)</f>
        <v>4245218.9600000018</v>
      </c>
      <c r="F119" s="30">
        <v>0</v>
      </c>
      <c r="G119" s="129">
        <v>21926.69</v>
      </c>
      <c r="H119" s="30">
        <v>0</v>
      </c>
      <c r="I119" s="115">
        <f t="shared" si="22"/>
        <v>4267145.6500000022</v>
      </c>
      <c r="J119" s="30">
        <v>0</v>
      </c>
      <c r="K119" s="115">
        <f t="shared" si="23"/>
        <v>4267145.6500000022</v>
      </c>
      <c r="M119" s="20"/>
      <c r="N119" s="42"/>
      <c r="O119" s="42"/>
      <c r="Q119" s="4" t="s">
        <v>50</v>
      </c>
      <c r="S119" s="18">
        <v>182304</v>
      </c>
      <c r="T119" s="58"/>
    </row>
    <row r="120" spans="1:22" x14ac:dyDescent="0.2">
      <c r="A120" s="100" t="s">
        <v>170</v>
      </c>
      <c r="B120" s="18"/>
      <c r="C120" s="28" t="s">
        <v>42</v>
      </c>
      <c r="D120" s="4" t="s">
        <v>200</v>
      </c>
      <c r="E120" s="32">
        <f>VLOOKUP(A120,'DEK Sep 2015'!$A$1:$I$252,9,FALSE)</f>
        <v>-121666.52000000002</v>
      </c>
      <c r="F120" s="30">
        <v>0</v>
      </c>
      <c r="G120" s="129">
        <v>-5922.47</v>
      </c>
      <c r="H120" s="30">
        <v>0</v>
      </c>
      <c r="I120" s="115">
        <f t="shared" si="22"/>
        <v>-127588.99000000002</v>
      </c>
      <c r="J120" s="30">
        <v>0</v>
      </c>
      <c r="K120" s="115">
        <f t="shared" si="23"/>
        <v>-127588.99000000002</v>
      </c>
      <c r="L120" s="210" t="s">
        <v>241</v>
      </c>
      <c r="M120" s="20"/>
      <c r="N120" s="42"/>
      <c r="O120" s="42"/>
      <c r="R120" s="58" t="s">
        <v>44</v>
      </c>
      <c r="S120" s="18">
        <v>108101</v>
      </c>
      <c r="T120" s="58"/>
    </row>
    <row r="121" spans="1:22" x14ac:dyDescent="0.2">
      <c r="B121" s="18"/>
      <c r="C121" s="28"/>
      <c r="E121" s="36"/>
      <c r="F121" s="36"/>
      <c r="G121" s="150"/>
      <c r="H121" s="36"/>
      <c r="I121" s="127"/>
      <c r="J121" s="68"/>
      <c r="K121" s="127"/>
      <c r="M121" s="62"/>
      <c r="P121" s="51"/>
      <c r="Q121" s="18"/>
      <c r="R121" s="58"/>
      <c r="S121" s="18">
        <v>254401</v>
      </c>
    </row>
    <row r="122" spans="1:22" x14ac:dyDescent="0.2">
      <c r="B122" s="18"/>
      <c r="C122" s="28"/>
      <c r="E122" s="33">
        <f t="shared" ref="E122:K122" si="24">SUM(E115:E121)</f>
        <v>-47823060.920000017</v>
      </c>
      <c r="F122" s="33">
        <f t="shared" si="24"/>
        <v>0</v>
      </c>
      <c r="G122" s="33">
        <f t="shared" si="24"/>
        <v>-53565.85000000002</v>
      </c>
      <c r="H122" s="33">
        <f t="shared" si="24"/>
        <v>0</v>
      </c>
      <c r="I122" s="123">
        <f t="shared" si="24"/>
        <v>-47876626.770000003</v>
      </c>
      <c r="J122" s="33">
        <f t="shared" si="24"/>
        <v>0</v>
      </c>
      <c r="K122" s="123">
        <f t="shared" si="24"/>
        <v>-47876626.770000003</v>
      </c>
      <c r="M122" s="62"/>
      <c r="P122" s="51"/>
      <c r="Q122" s="18"/>
      <c r="R122" s="58"/>
      <c r="S122" s="18"/>
    </row>
    <row r="123" spans="1:22" ht="15" x14ac:dyDescent="0.25">
      <c r="B123" s="18"/>
      <c r="C123" s="28"/>
      <c r="D123" s="65"/>
      <c r="E123" s="33"/>
      <c r="F123" s="30"/>
      <c r="G123" s="144"/>
      <c r="H123" s="33"/>
      <c r="I123" s="126"/>
      <c r="J123" s="1"/>
      <c r="K123" s="126"/>
      <c r="L123" s="66"/>
      <c r="M123" s="67"/>
      <c r="P123" s="51"/>
      <c r="Q123" s="18"/>
      <c r="R123" s="58"/>
      <c r="S123" s="18"/>
    </row>
    <row r="124" spans="1:22" x14ac:dyDescent="0.2">
      <c r="A124" s="105" t="s">
        <v>55</v>
      </c>
      <c r="B124" s="18"/>
      <c r="C124" s="131" t="s">
        <v>55</v>
      </c>
      <c r="D124" s="132"/>
      <c r="E124" s="133">
        <f>+E98+E106+E113+E122+E103</f>
        <v>-56168856.450000018</v>
      </c>
      <c r="F124" s="133">
        <f t="shared" ref="F124:H124" si="25">+F98+F106+F113+F122+F103</f>
        <v>0</v>
      </c>
      <c r="G124" s="133">
        <f t="shared" si="25"/>
        <v>-383692.28</v>
      </c>
      <c r="H124" s="133">
        <f t="shared" si="25"/>
        <v>-29981.23</v>
      </c>
      <c r="I124" s="134">
        <f>+I98+I106+I113+I122+I103</f>
        <v>-56582529.960000001</v>
      </c>
      <c r="J124" s="133">
        <f>+J98+J106+J113+J122+J103</f>
        <v>0</v>
      </c>
      <c r="K124" s="134">
        <f>+K98+K106+K113+K122+K103</f>
        <v>-56582529.960000001</v>
      </c>
      <c r="M124" s="20"/>
      <c r="N124" s="69"/>
      <c r="R124" s="58"/>
      <c r="S124" s="18"/>
    </row>
    <row r="125" spans="1:22" x14ac:dyDescent="0.2">
      <c r="A125" s="105"/>
      <c r="B125" s="18"/>
      <c r="C125" s="18"/>
      <c r="D125" s="12"/>
      <c r="E125" s="221"/>
      <c r="F125" s="50"/>
      <c r="G125" s="145"/>
      <c r="H125" s="50"/>
      <c r="I125" s="122"/>
      <c r="J125" s="50"/>
      <c r="K125" s="122"/>
      <c r="M125" s="45"/>
      <c r="S125" s="18"/>
    </row>
    <row r="126" spans="1:22" x14ac:dyDescent="0.2">
      <c r="A126" s="105" t="s">
        <v>56</v>
      </c>
      <c r="B126" s="18"/>
      <c r="C126" s="18"/>
      <c r="D126" s="136" t="s">
        <v>219</v>
      </c>
      <c r="E126" s="137">
        <f>E124+E88</f>
        <v>5056496.5499999821</v>
      </c>
      <c r="F126" s="137">
        <f>F124+F88</f>
        <v>0</v>
      </c>
      <c r="G126" s="137">
        <f>G124+G88</f>
        <v>833730.95</v>
      </c>
      <c r="H126" s="137">
        <f>H124+H88</f>
        <v>-52187.399999999994</v>
      </c>
      <c r="I126" s="138">
        <f>I88+I124</f>
        <v>5838040.1000000015</v>
      </c>
      <c r="J126" s="137">
        <f>J124+J88</f>
        <v>0</v>
      </c>
      <c r="K126" s="138">
        <f>K88+K124</f>
        <v>5838040.099999994</v>
      </c>
      <c r="L126" s="50">
        <v>0</v>
      </c>
      <c r="M126" s="70"/>
      <c r="N126" s="70"/>
      <c r="O126" s="70"/>
      <c r="P126" s="50"/>
      <c r="Q126" s="50"/>
      <c r="R126" s="50"/>
      <c r="S126" s="18"/>
      <c r="T126" s="29">
        <f>+G126+H126+F126</f>
        <v>781543.54999999993</v>
      </c>
      <c r="U126" s="19">
        <v>13111056.41</v>
      </c>
      <c r="V126" s="29">
        <f>+T126-U126</f>
        <v>-12329512.859999999</v>
      </c>
    </row>
    <row r="127" spans="1:22" hidden="1" x14ac:dyDescent="0.2">
      <c r="A127" s="105"/>
      <c r="B127" s="18"/>
      <c r="C127" s="18"/>
      <c r="D127" s="12"/>
      <c r="E127" s="221"/>
      <c r="F127" s="50"/>
      <c r="G127" s="145"/>
      <c r="H127" s="50"/>
      <c r="I127" s="50"/>
      <c r="J127" s="50"/>
      <c r="K127" s="50"/>
      <c r="M127" s="45"/>
      <c r="S127" s="18"/>
    </row>
    <row r="128" spans="1:22" s="75" customFormat="1" ht="12.75" hidden="1" customHeight="1" x14ac:dyDescent="0.2">
      <c r="A128" s="107" t="s">
        <v>57</v>
      </c>
      <c r="B128" s="71"/>
      <c r="C128" s="18"/>
      <c r="D128" s="140" t="s">
        <v>57</v>
      </c>
      <c r="E128" s="223"/>
      <c r="F128" s="142"/>
      <c r="G128" s="163">
        <f>-G120-G115-G116-G117-G118-G119-G78-G16-G109-G30-G22-G53-G111-G79-G80-G106-G110-G52</f>
        <v>89445.700000000041</v>
      </c>
      <c r="H128" s="139">
        <f>-H120-H115-H116-H117-H118-H119-H78-H16-H109-H30-H22-H53-H111-H79-H80-H106-H110-H52</f>
        <v>22206.17</v>
      </c>
      <c r="I128" s="74"/>
      <c r="J128" s="74"/>
      <c r="K128" s="74"/>
      <c r="M128" s="76"/>
      <c r="N128" s="77"/>
      <c r="O128" s="77"/>
      <c r="S128" s="18"/>
    </row>
    <row r="129" spans="1:19" ht="12.75" customHeight="1" x14ac:dyDescent="0.2">
      <c r="A129" s="107"/>
      <c r="B129" s="18"/>
      <c r="C129" s="18"/>
      <c r="D129" s="72"/>
      <c r="E129" s="224"/>
      <c r="F129" s="50"/>
      <c r="G129" s="185">
        <f>G126+H126</f>
        <v>781543.54999999993</v>
      </c>
      <c r="H129" s="50"/>
      <c r="I129" s="50"/>
      <c r="J129" s="50"/>
      <c r="K129" s="50"/>
      <c r="M129" s="20"/>
      <c r="S129" s="18"/>
    </row>
    <row r="130" spans="1:19" ht="12.75" hidden="1" customHeight="1" x14ac:dyDescent="0.2">
      <c r="A130" s="107" t="s">
        <v>58</v>
      </c>
      <c r="B130" s="18"/>
      <c r="C130" s="71"/>
      <c r="D130" s="72" t="s">
        <v>58</v>
      </c>
      <c r="E130" s="73"/>
      <c r="F130" s="50"/>
      <c r="G130" s="145">
        <f>G126+G128</f>
        <v>923176.65</v>
      </c>
      <c r="H130" s="50">
        <f>H126+H128</f>
        <v>-29981.229999999996</v>
      </c>
      <c r="I130" s="50"/>
      <c r="J130" s="50"/>
      <c r="K130" s="50"/>
      <c r="M130" s="20"/>
      <c r="S130" s="71"/>
    </row>
    <row r="131" spans="1:19" ht="12.75" hidden="1" customHeight="1" x14ac:dyDescent="0.2">
      <c r="A131" s="107"/>
      <c r="B131" s="18"/>
      <c r="C131" s="18"/>
      <c r="D131" s="72"/>
      <c r="E131" s="73"/>
      <c r="F131" s="50"/>
      <c r="G131" s="145"/>
      <c r="H131" s="50"/>
      <c r="I131" s="50"/>
      <c r="J131" s="50"/>
      <c r="K131" s="50"/>
      <c r="M131" s="20"/>
      <c r="S131" s="18"/>
    </row>
    <row r="132" spans="1:19" ht="12.75" hidden="1" customHeight="1" x14ac:dyDescent="0.2">
      <c r="A132" s="107" t="s">
        <v>59</v>
      </c>
      <c r="B132" s="18"/>
      <c r="C132" s="18"/>
      <c r="D132" s="72" t="s">
        <v>59</v>
      </c>
      <c r="E132" s="73"/>
      <c r="F132" s="50"/>
      <c r="G132" s="145">
        <f>+G126+H126+G128+H128</f>
        <v>893195.42</v>
      </c>
      <c r="H132" s="50"/>
      <c r="I132" s="50"/>
      <c r="J132" s="50"/>
      <c r="K132" s="50"/>
      <c r="M132" s="20"/>
      <c r="S132" s="18"/>
    </row>
    <row r="133" spans="1:19" hidden="1" x14ac:dyDescent="0.2">
      <c r="B133" s="18"/>
      <c r="C133" s="18"/>
      <c r="E133" s="29"/>
      <c r="F133" s="19"/>
      <c r="G133" s="148"/>
      <c r="H133" s="19"/>
      <c r="I133" s="19"/>
      <c r="J133" s="19"/>
      <c r="K133" s="19"/>
      <c r="M133" s="20"/>
      <c r="S133" s="18"/>
    </row>
    <row r="134" spans="1:19" hidden="1" x14ac:dyDescent="0.2">
      <c r="A134" s="109" t="s">
        <v>60</v>
      </c>
      <c r="B134" s="18"/>
      <c r="C134" s="18"/>
      <c r="D134" s="78" t="s">
        <v>60</v>
      </c>
      <c r="E134" s="79"/>
      <c r="F134" s="80"/>
      <c r="G134" s="164"/>
      <c r="H134" s="80"/>
      <c r="I134" s="81"/>
      <c r="J134" s="81"/>
      <c r="K134" s="81"/>
      <c r="M134" s="20"/>
      <c r="S134" s="18"/>
    </row>
    <row r="135" spans="1:19" hidden="1" x14ac:dyDescent="0.2">
      <c r="A135" s="109" t="s">
        <v>138</v>
      </c>
      <c r="B135" s="18"/>
      <c r="C135" s="18"/>
      <c r="D135" s="82" t="s">
        <v>138</v>
      </c>
      <c r="E135" s="32">
        <v>0</v>
      </c>
      <c r="F135" s="32">
        <f>+F84+F85</f>
        <v>0</v>
      </c>
      <c r="G135" s="157"/>
      <c r="H135" s="32">
        <f>+H84+H85</f>
        <v>0</v>
      </c>
      <c r="I135" s="84">
        <f>+I84+I85</f>
        <v>0</v>
      </c>
      <c r="J135" s="84">
        <f>+J84+J85</f>
        <v>0</v>
      </c>
      <c r="K135" s="84">
        <f>+K84+K85</f>
        <v>0</v>
      </c>
      <c r="M135" s="20"/>
      <c r="S135" s="18"/>
    </row>
    <row r="136" spans="1:19" hidden="1" x14ac:dyDescent="0.2">
      <c r="A136" s="109" t="s">
        <v>140</v>
      </c>
      <c r="B136" s="18"/>
      <c r="C136" s="18"/>
      <c r="D136" s="82" t="s">
        <v>140</v>
      </c>
      <c r="E136" s="83">
        <f>+E12</f>
        <v>-1.1641532182693481E-9</v>
      </c>
      <c r="F136" s="32">
        <f>+F85+F86</f>
        <v>0</v>
      </c>
      <c r="G136" s="165"/>
      <c r="H136" s="83"/>
      <c r="I136" s="84">
        <f>+I12</f>
        <v>-1.1641532182693481E-9</v>
      </c>
      <c r="J136" s="84">
        <f>+J12</f>
        <v>0</v>
      </c>
      <c r="K136" s="84">
        <f>+K12</f>
        <v>-1.1641532182693481E-9</v>
      </c>
      <c r="M136" s="20"/>
      <c r="S136" s="18"/>
    </row>
    <row r="137" spans="1:19" hidden="1" x14ac:dyDescent="0.2">
      <c r="A137" s="109" t="s">
        <v>142</v>
      </c>
      <c r="B137" s="18"/>
      <c r="C137" s="18"/>
      <c r="D137" s="82" t="s">
        <v>142</v>
      </c>
      <c r="E137" s="83">
        <f>+E19</f>
        <v>2083963.81</v>
      </c>
      <c r="F137" s="32">
        <f t="shared" ref="F137:F142" si="26">+F86+F87</f>
        <v>0</v>
      </c>
      <c r="G137" s="165"/>
      <c r="H137" s="83"/>
      <c r="I137" s="84">
        <f>+I19</f>
        <v>2083963.81</v>
      </c>
      <c r="J137" s="84">
        <f>+J19</f>
        <v>3607267.95</v>
      </c>
      <c r="K137" s="84">
        <f>+K19</f>
        <v>5691231.7599999998</v>
      </c>
      <c r="M137" s="20"/>
      <c r="S137" s="18"/>
    </row>
    <row r="138" spans="1:19" hidden="1" x14ac:dyDescent="0.2">
      <c r="A138" s="109" t="s">
        <v>141</v>
      </c>
      <c r="B138" s="18"/>
      <c r="C138" s="18"/>
      <c r="D138" s="82" t="s">
        <v>141</v>
      </c>
      <c r="E138" s="83">
        <f>+E24</f>
        <v>1787998.320000001</v>
      </c>
      <c r="F138" s="32">
        <f t="shared" si="26"/>
        <v>0</v>
      </c>
      <c r="G138" s="165"/>
      <c r="H138" s="83"/>
      <c r="I138" s="84">
        <f>+I24</f>
        <v>1765792.1500000011</v>
      </c>
      <c r="J138" s="84">
        <f>+J24</f>
        <v>-266474.03999999998</v>
      </c>
      <c r="K138" s="84">
        <f>+K24</f>
        <v>1499318.110000001</v>
      </c>
      <c r="M138" s="20"/>
      <c r="S138" s="18"/>
    </row>
    <row r="139" spans="1:19" hidden="1" x14ac:dyDescent="0.2">
      <c r="A139" s="109" t="s">
        <v>61</v>
      </c>
      <c r="B139" s="18"/>
      <c r="C139" s="18"/>
      <c r="D139" s="82" t="s">
        <v>61</v>
      </c>
      <c r="E139" s="32">
        <f>+E30</f>
        <v>1085175.2</v>
      </c>
      <c r="F139" s="32">
        <f t="shared" si="26"/>
        <v>0</v>
      </c>
      <c r="G139" s="157"/>
      <c r="H139" s="32"/>
      <c r="I139" s="84">
        <f>+I30</f>
        <v>1100013.2</v>
      </c>
      <c r="J139" s="84">
        <f>+J30</f>
        <v>0</v>
      </c>
      <c r="K139" s="84">
        <f>+K30</f>
        <v>1100013.2</v>
      </c>
      <c r="M139" s="20"/>
      <c r="S139" s="18"/>
    </row>
    <row r="140" spans="1:19" hidden="1" x14ac:dyDescent="0.2">
      <c r="A140" s="109" t="s">
        <v>143</v>
      </c>
      <c r="B140" s="18"/>
      <c r="C140" s="18"/>
      <c r="D140" s="82" t="s">
        <v>143</v>
      </c>
      <c r="E140" s="32">
        <f>+E74</f>
        <v>31250077.629999999</v>
      </c>
      <c r="F140" s="32">
        <f t="shared" si="26"/>
        <v>0</v>
      </c>
      <c r="G140" s="157"/>
      <c r="H140" s="32"/>
      <c r="I140" s="84">
        <f>+I74</f>
        <v>32665491.859999999</v>
      </c>
      <c r="J140" s="84">
        <f>+J74</f>
        <v>-3340793.91</v>
      </c>
      <c r="K140" s="84">
        <f>+K74</f>
        <v>29324697.949999996</v>
      </c>
      <c r="M140" s="20"/>
      <c r="S140" s="18"/>
    </row>
    <row r="141" spans="1:19" hidden="1" x14ac:dyDescent="0.2">
      <c r="A141" s="109" t="s">
        <v>151</v>
      </c>
      <c r="B141" s="18"/>
      <c r="C141" s="18"/>
      <c r="D141" s="82" t="s">
        <v>151</v>
      </c>
      <c r="E141" s="32">
        <f>+E82</f>
        <v>25018138.040000003</v>
      </c>
      <c r="F141" s="32">
        <f t="shared" si="26"/>
        <v>0</v>
      </c>
      <c r="G141" s="157"/>
      <c r="H141" s="32"/>
      <c r="I141" s="84">
        <f>+I82</f>
        <v>24805309.040000003</v>
      </c>
      <c r="J141" s="84">
        <f>+J82</f>
        <v>0</v>
      </c>
      <c r="K141" s="84">
        <f>+K82</f>
        <v>24805309.040000003</v>
      </c>
      <c r="M141" s="20"/>
      <c r="S141" s="18"/>
    </row>
    <row r="142" spans="1:19" hidden="1" x14ac:dyDescent="0.2">
      <c r="A142" s="109" t="s">
        <v>62</v>
      </c>
      <c r="B142" s="18"/>
      <c r="C142" s="18"/>
      <c r="D142" s="82" t="s">
        <v>62</v>
      </c>
      <c r="E142" s="32">
        <v>0</v>
      </c>
      <c r="F142" s="32">
        <f t="shared" si="26"/>
        <v>0</v>
      </c>
      <c r="G142" s="157"/>
      <c r="H142" s="32"/>
      <c r="I142" s="84">
        <v>0</v>
      </c>
      <c r="J142" s="84">
        <v>0</v>
      </c>
      <c r="K142" s="84">
        <v>0</v>
      </c>
      <c r="M142" s="20"/>
      <c r="S142" s="18"/>
    </row>
    <row r="143" spans="1:19" hidden="1" x14ac:dyDescent="0.2">
      <c r="A143" s="109" t="s">
        <v>152</v>
      </c>
      <c r="B143" s="18"/>
      <c r="C143" s="18"/>
      <c r="D143" s="82" t="s">
        <v>152</v>
      </c>
      <c r="E143" s="32">
        <f>+E98</f>
        <v>-4791723.09</v>
      </c>
      <c r="F143" s="32" t="e">
        <f>+F92+#REF!</f>
        <v>#REF!</v>
      </c>
      <c r="G143" s="157"/>
      <c r="H143" s="32"/>
      <c r="I143" s="84">
        <f>+I98</f>
        <v>-5184971.4600000009</v>
      </c>
      <c r="J143" s="84">
        <f>+J98</f>
        <v>0</v>
      </c>
      <c r="K143" s="84">
        <f>+K98</f>
        <v>-5184971.4600000009</v>
      </c>
      <c r="M143" s="20"/>
      <c r="S143" s="18"/>
    </row>
    <row r="144" spans="1:19" hidden="1" x14ac:dyDescent="0.2">
      <c r="A144" s="109"/>
      <c r="B144" s="18"/>
      <c r="C144" s="18"/>
      <c r="D144" s="82" t="s">
        <v>189</v>
      </c>
      <c r="E144" s="32">
        <f>E103</f>
        <v>0</v>
      </c>
      <c r="F144" s="32"/>
      <c r="G144" s="157"/>
      <c r="H144" s="32"/>
      <c r="I144" s="84">
        <f>I103</f>
        <v>0</v>
      </c>
      <c r="J144" s="84">
        <f>J103</f>
        <v>0</v>
      </c>
      <c r="K144" s="84">
        <f>K103</f>
        <v>0</v>
      </c>
      <c r="M144" s="20"/>
      <c r="S144" s="18"/>
    </row>
    <row r="145" spans="1:19" hidden="1" x14ac:dyDescent="0.2">
      <c r="A145" s="109" t="s">
        <v>154</v>
      </c>
      <c r="B145" s="18"/>
      <c r="C145" s="18"/>
      <c r="D145" s="82" t="s">
        <v>154</v>
      </c>
      <c r="E145" s="32">
        <f>+E106</f>
        <v>-3537826.63</v>
      </c>
      <c r="F145" s="32" t="e">
        <f>+#REF!+#REF!</f>
        <v>#REF!</v>
      </c>
      <c r="G145" s="157"/>
      <c r="H145" s="32"/>
      <c r="I145" s="84">
        <f>+I106</f>
        <v>-3504798.63</v>
      </c>
      <c r="J145" s="84">
        <f>+J106</f>
        <v>0</v>
      </c>
      <c r="K145" s="84">
        <f>+K106</f>
        <v>-3504798.63</v>
      </c>
      <c r="M145" s="20"/>
      <c r="S145" s="18"/>
    </row>
    <row r="146" spans="1:19" hidden="1" x14ac:dyDescent="0.2">
      <c r="A146" s="109" t="s">
        <v>153</v>
      </c>
      <c r="B146" s="18"/>
      <c r="C146" s="18"/>
      <c r="D146" s="82" t="s">
        <v>153</v>
      </c>
      <c r="E146" s="32">
        <f>+E113</f>
        <v>-16245.810000000003</v>
      </c>
      <c r="F146" s="32" t="e">
        <f>+#REF!+F93</f>
        <v>#REF!</v>
      </c>
      <c r="G146" s="157"/>
      <c r="H146" s="32"/>
      <c r="I146" s="84">
        <f>+I113</f>
        <v>-16133.100000000004</v>
      </c>
      <c r="J146" s="84">
        <f>+J113</f>
        <v>0</v>
      </c>
      <c r="K146" s="84">
        <f>+K113</f>
        <v>-16133.100000000004</v>
      </c>
      <c r="M146" s="20"/>
      <c r="S146" s="18"/>
    </row>
    <row r="147" spans="1:19" hidden="1" x14ac:dyDescent="0.2">
      <c r="A147" s="109" t="s">
        <v>155</v>
      </c>
      <c r="B147" s="18"/>
      <c r="C147" s="18"/>
      <c r="D147" s="82" t="s">
        <v>155</v>
      </c>
      <c r="E147" s="32">
        <f>+E122</f>
        <v>-47823060.920000017</v>
      </c>
      <c r="F147" s="32">
        <f t="shared" ref="F147" si="27">+F93+F94</f>
        <v>0</v>
      </c>
      <c r="G147" s="157"/>
      <c r="H147" s="32"/>
      <c r="I147" s="84">
        <f>+I122</f>
        <v>-47876626.770000003</v>
      </c>
      <c r="J147" s="84">
        <f>+J122</f>
        <v>0</v>
      </c>
      <c r="K147" s="84">
        <f>+K122</f>
        <v>-47876626.770000003</v>
      </c>
      <c r="M147" s="20"/>
      <c r="S147" s="18"/>
    </row>
    <row r="148" spans="1:19" hidden="1" x14ac:dyDescent="0.2">
      <c r="A148" s="109"/>
      <c r="B148" s="18"/>
      <c r="C148" s="18"/>
      <c r="D148" s="85"/>
      <c r="E148" s="83"/>
      <c r="F148" s="83"/>
      <c r="G148" s="165"/>
      <c r="H148" s="83"/>
      <c r="I148" s="86"/>
      <c r="J148" s="86"/>
      <c r="K148" s="86"/>
      <c r="M148" s="20"/>
      <c r="S148" s="18"/>
    </row>
    <row r="149" spans="1:19" hidden="1" x14ac:dyDescent="0.2">
      <c r="A149" s="109" t="s">
        <v>121</v>
      </c>
      <c r="B149" s="18"/>
      <c r="C149" s="18"/>
      <c r="D149" s="87" t="s">
        <v>121</v>
      </c>
      <c r="E149" s="88">
        <f>SUM(E135:E148)</f>
        <v>5056496.5499999747</v>
      </c>
      <c r="F149" s="88" t="e">
        <f>SUM(F139:F148)</f>
        <v>#REF!</v>
      </c>
      <c r="G149" s="166"/>
      <c r="H149" s="88"/>
      <c r="I149" s="89">
        <f>SUM(I135:I148)</f>
        <v>5838040.099999994</v>
      </c>
      <c r="J149" s="89">
        <f>SUM(J135:J148)</f>
        <v>0</v>
      </c>
      <c r="K149" s="89">
        <f>SUM(K135:K148)</f>
        <v>5838040.099999994</v>
      </c>
      <c r="M149" s="20"/>
      <c r="S149" s="18"/>
    </row>
    <row r="150" spans="1:19" hidden="1" x14ac:dyDescent="0.2">
      <c r="B150" s="18"/>
      <c r="C150" s="18"/>
      <c r="F150" s="19"/>
      <c r="G150" s="148"/>
      <c r="H150" s="19"/>
      <c r="I150" s="19"/>
      <c r="J150" s="19"/>
      <c r="K150" s="19"/>
      <c r="M150" s="20"/>
      <c r="S150" s="18"/>
    </row>
    <row r="151" spans="1:19" hidden="1" x14ac:dyDescent="0.2">
      <c r="B151" s="18"/>
      <c r="C151" s="18"/>
      <c r="E151" s="19">
        <f>+E149-E126</f>
        <v>-7.4505805969238281E-9</v>
      </c>
      <c r="F151" s="19"/>
      <c r="G151" s="148"/>
      <c r="H151" s="19"/>
      <c r="I151" s="19">
        <f>+I149-I126</f>
        <v>-7.4505805969238281E-9</v>
      </c>
      <c r="J151" s="19">
        <f>+J149-J126</f>
        <v>0</v>
      </c>
      <c r="K151" s="19">
        <f>+K149-K126</f>
        <v>0</v>
      </c>
      <c r="M151" s="20"/>
      <c r="S151" s="18"/>
    </row>
    <row r="152" spans="1:19" hidden="1" x14ac:dyDescent="0.2">
      <c r="B152" s="18"/>
      <c r="C152" s="18"/>
      <c r="F152" s="19"/>
      <c r="G152" s="148"/>
      <c r="H152" s="19"/>
      <c r="I152" s="19"/>
      <c r="J152" s="19"/>
      <c r="K152" s="19"/>
      <c r="M152" s="20"/>
      <c r="S152" s="18"/>
    </row>
    <row r="153" spans="1:19" hidden="1" x14ac:dyDescent="0.2">
      <c r="B153" s="18"/>
      <c r="C153" s="18"/>
      <c r="F153" s="19"/>
      <c r="G153" s="148"/>
      <c r="H153" s="19"/>
      <c r="I153" s="19"/>
      <c r="J153" s="19"/>
      <c r="K153" s="19"/>
      <c r="M153" s="20"/>
      <c r="S153" s="18"/>
    </row>
    <row r="154" spans="1:19" hidden="1" x14ac:dyDescent="0.2">
      <c r="B154" s="18"/>
      <c r="C154" s="18"/>
      <c r="F154" s="19"/>
      <c r="G154" s="148"/>
      <c r="H154" s="19"/>
      <c r="I154" s="19"/>
      <c r="J154" s="19"/>
      <c r="K154" s="19"/>
      <c r="M154" s="20"/>
      <c r="S154" s="18"/>
    </row>
    <row r="155" spans="1:19" hidden="1" x14ac:dyDescent="0.2">
      <c r="A155" s="100" t="s">
        <v>63</v>
      </c>
      <c r="B155" s="18"/>
      <c r="C155" s="18"/>
      <c r="D155" s="4" t="s">
        <v>63</v>
      </c>
      <c r="F155" s="19"/>
      <c r="G155" s="148">
        <f>+G34+G42+G44+G46+G48+G77+G57+G59+G15+G50+G66+G55+G65</f>
        <v>0</v>
      </c>
      <c r="H155" s="19">
        <f>+H34+H52+H42+H44+H46+H48+H77+H57+H59+H15+H50+H66+H55</f>
        <v>0</v>
      </c>
      <c r="I155" s="19"/>
      <c r="J155" s="19"/>
      <c r="K155" s="19"/>
      <c r="M155" s="20"/>
      <c r="S155" s="18"/>
    </row>
    <row r="156" spans="1:19" hidden="1" x14ac:dyDescent="0.2">
      <c r="A156" s="100" t="s">
        <v>64</v>
      </c>
      <c r="B156" s="18"/>
      <c r="C156" s="18"/>
      <c r="D156" s="34" t="s">
        <v>64</v>
      </c>
      <c r="F156" s="19"/>
      <c r="G156" s="148">
        <f>+G9+G84+G10</f>
        <v>0</v>
      </c>
      <c r="H156" s="19">
        <f>+H9+H84+H10</f>
        <v>0</v>
      </c>
      <c r="I156" s="19"/>
      <c r="J156" s="19"/>
      <c r="K156" s="19"/>
      <c r="M156" s="20"/>
      <c r="S156" s="18"/>
    </row>
    <row r="157" spans="1:19" hidden="1" x14ac:dyDescent="0.2">
      <c r="A157" s="100" t="s">
        <v>65</v>
      </c>
      <c r="B157" s="18"/>
      <c r="C157" s="18"/>
      <c r="D157" s="34" t="s">
        <v>65</v>
      </c>
      <c r="F157" s="19"/>
      <c r="G157" s="148">
        <f>+G92+G93+G94+G95+G91+G96</f>
        <v>-363267.14</v>
      </c>
      <c r="H157" s="19">
        <f>+H92+H93+H94+H95+H91</f>
        <v>-29981.23</v>
      </c>
      <c r="I157" s="19"/>
      <c r="J157" s="19"/>
      <c r="K157" s="19"/>
      <c r="M157" s="20"/>
      <c r="S157" s="18"/>
    </row>
    <row r="158" spans="1:19" hidden="1" x14ac:dyDescent="0.2">
      <c r="B158" s="18"/>
      <c r="C158" s="18"/>
      <c r="F158" s="19"/>
      <c r="G158" s="148"/>
      <c r="H158" s="19"/>
      <c r="I158" s="19"/>
      <c r="J158" s="19"/>
      <c r="K158" s="19"/>
      <c r="M158" s="20"/>
      <c r="S158" s="18"/>
    </row>
    <row r="159" spans="1:19" hidden="1" x14ac:dyDescent="0.2">
      <c r="B159" s="18"/>
      <c r="C159" s="18"/>
      <c r="F159" s="19"/>
      <c r="G159" s="167">
        <f>+G155+G156+G157-G130</f>
        <v>-1286443.79</v>
      </c>
      <c r="H159" s="110">
        <f>+H155+H156+H157-H130</f>
        <v>0</v>
      </c>
      <c r="I159" s="19"/>
      <c r="J159" s="19"/>
      <c r="K159" s="19"/>
      <c r="M159" s="20"/>
      <c r="S159" s="18"/>
    </row>
    <row r="160" spans="1:19" hidden="1" x14ac:dyDescent="0.2">
      <c r="B160" s="18"/>
      <c r="C160" s="18"/>
      <c r="F160" s="19"/>
      <c r="H160" s="29">
        <f>+H156+H157+H155+G155+G156+G157</f>
        <v>-393248.37</v>
      </c>
      <c r="I160" s="19"/>
      <c r="J160" s="19"/>
      <c r="K160" s="19"/>
      <c r="M160" s="20"/>
      <c r="S160" s="18"/>
    </row>
    <row r="161" spans="1:19" hidden="1" x14ac:dyDescent="0.2">
      <c r="B161" s="18"/>
      <c r="C161" s="18"/>
      <c r="F161" s="19"/>
      <c r="G161" s="148"/>
      <c r="H161" s="29">
        <f>+H160-G130-H130</f>
        <v>-1286443.79</v>
      </c>
      <c r="I161" s="19"/>
      <c r="J161" s="19"/>
      <c r="K161" s="19"/>
      <c r="M161" s="20"/>
      <c r="S161" s="18"/>
    </row>
    <row r="162" spans="1:19" x14ac:dyDescent="0.2">
      <c r="B162" s="18"/>
      <c r="C162" s="18"/>
      <c r="F162" s="19"/>
      <c r="G162" s="148"/>
      <c r="H162" s="19"/>
      <c r="I162" s="19"/>
      <c r="J162" s="19"/>
      <c r="K162" s="19"/>
      <c r="M162" s="20"/>
      <c r="S162" s="18"/>
    </row>
    <row r="163" spans="1:19" ht="12.75" hidden="1" customHeight="1" x14ac:dyDescent="0.2">
      <c r="B163" s="18"/>
      <c r="C163" s="18"/>
      <c r="F163" s="19"/>
      <c r="G163" s="148"/>
      <c r="H163" s="19"/>
      <c r="I163" s="19"/>
      <c r="J163" s="19"/>
      <c r="K163" s="19"/>
      <c r="M163" s="20"/>
      <c r="S163" s="18"/>
    </row>
    <row r="164" spans="1:19" ht="12.75" hidden="1" customHeight="1" x14ac:dyDescent="0.2">
      <c r="A164" s="101" t="s">
        <v>144</v>
      </c>
      <c r="B164" s="18"/>
      <c r="C164" s="18"/>
      <c r="D164" s="22" t="s">
        <v>144</v>
      </c>
      <c r="E164" s="4" t="s">
        <v>121</v>
      </c>
      <c r="F164" s="19" t="s">
        <v>147</v>
      </c>
      <c r="G164" s="148" t="s">
        <v>148</v>
      </c>
      <c r="H164" s="19"/>
      <c r="I164" s="19"/>
      <c r="J164" s="19"/>
      <c r="K164" s="19"/>
      <c r="M164" s="20"/>
      <c r="S164" s="18"/>
    </row>
    <row r="165" spans="1:19" ht="12.75" hidden="1" customHeight="1" x14ac:dyDescent="0.2">
      <c r="A165" s="101" t="s">
        <v>145</v>
      </c>
      <c r="B165" s="18"/>
      <c r="C165" s="18"/>
      <c r="D165" s="22" t="s">
        <v>145</v>
      </c>
      <c r="E165" s="19">
        <v>19066028.010000002</v>
      </c>
      <c r="F165" s="19">
        <v>62319564.710000008</v>
      </c>
      <c r="G165" s="148">
        <v>-43253536.700000003</v>
      </c>
      <c r="H165" s="19"/>
      <c r="I165" s="19"/>
      <c r="J165" s="19"/>
      <c r="K165" s="19"/>
      <c r="M165" s="20"/>
      <c r="S165" s="18"/>
    </row>
    <row r="166" spans="1:19" ht="12.75" hidden="1" customHeight="1" x14ac:dyDescent="0.2">
      <c r="A166" s="101" t="s">
        <v>146</v>
      </c>
      <c r="B166" s="18"/>
      <c r="C166" s="18"/>
      <c r="D166" s="22" t="s">
        <v>146</v>
      </c>
      <c r="F166" s="19"/>
      <c r="G166" s="148"/>
      <c r="H166" s="19"/>
      <c r="I166" s="19"/>
      <c r="J166" s="19"/>
      <c r="K166" s="19"/>
      <c r="M166" s="20"/>
      <c r="S166" s="18"/>
    </row>
    <row r="167" spans="1:19" ht="12.75" hidden="1" customHeight="1" x14ac:dyDescent="0.2">
      <c r="A167" s="100" t="s">
        <v>149</v>
      </c>
      <c r="B167" s="18"/>
      <c r="C167" s="18"/>
      <c r="D167" s="4" t="s">
        <v>149</v>
      </c>
      <c r="E167" s="29">
        <f>SUM(F167:G167)</f>
        <v>905563</v>
      </c>
      <c r="F167" s="19">
        <v>905563</v>
      </c>
      <c r="G167" s="148"/>
      <c r="H167" s="19"/>
      <c r="I167" s="19"/>
      <c r="J167" s="19"/>
      <c r="K167" s="19"/>
      <c r="M167" s="20"/>
      <c r="S167" s="18"/>
    </row>
    <row r="168" spans="1:19" ht="12.75" hidden="1" customHeight="1" x14ac:dyDescent="0.2">
      <c r="A168" s="100" t="s">
        <v>150</v>
      </c>
      <c r="B168" s="18"/>
      <c r="C168" s="18"/>
      <c r="D168" s="4" t="s">
        <v>150</v>
      </c>
      <c r="E168" s="29">
        <f>SUM(F168:G168)</f>
        <v>-905563</v>
      </c>
      <c r="G168" s="148">
        <v>-905563</v>
      </c>
      <c r="H168" s="19"/>
      <c r="I168" s="19"/>
      <c r="J168" s="19"/>
      <c r="K168" s="19"/>
      <c r="M168" s="20"/>
      <c r="S168" s="18"/>
    </row>
    <row r="169" spans="1:19" ht="12.75" hidden="1" customHeight="1" x14ac:dyDescent="0.2">
      <c r="B169" s="18"/>
      <c r="C169" s="18"/>
      <c r="F169" s="19"/>
      <c r="G169" s="148"/>
      <c r="H169" s="19"/>
      <c r="I169" s="19"/>
      <c r="J169" s="19"/>
      <c r="K169" s="19"/>
      <c r="M169" s="20"/>
      <c r="S169" s="18"/>
    </row>
    <row r="170" spans="1:19" ht="12.75" hidden="1" customHeight="1" x14ac:dyDescent="0.2">
      <c r="B170" s="18"/>
      <c r="C170" s="18"/>
      <c r="E170" s="94"/>
      <c r="F170" s="95"/>
      <c r="G170" s="169"/>
      <c r="H170" s="19"/>
      <c r="I170" s="19"/>
      <c r="J170" s="19"/>
      <c r="K170" s="19"/>
      <c r="M170" s="20"/>
      <c r="S170" s="18"/>
    </row>
    <row r="171" spans="1:19" ht="12.75" hidden="1" customHeight="1" x14ac:dyDescent="0.2">
      <c r="B171" s="18"/>
      <c r="C171" s="18"/>
      <c r="E171" s="29">
        <f>SUM(E165:E170)</f>
        <v>19066028.010000002</v>
      </c>
      <c r="F171" s="29">
        <f>SUM(F165:F170)</f>
        <v>63225127.710000008</v>
      </c>
      <c r="G171" s="151">
        <f>SUM(G165:G170)</f>
        <v>-44159099.700000003</v>
      </c>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C242" s="18"/>
      <c r="F242" s="19"/>
      <c r="G242" s="148"/>
      <c r="H242" s="19"/>
      <c r="I242" s="19"/>
      <c r="J242" s="19"/>
      <c r="K242" s="19"/>
      <c r="M242" s="20"/>
      <c r="S242" s="18"/>
    </row>
    <row r="243" spans="1:22" x14ac:dyDescent="0.2">
      <c r="C243" s="18"/>
      <c r="F243" s="19"/>
      <c r="G243" s="148"/>
      <c r="H243" s="19"/>
      <c r="I243" s="19"/>
      <c r="J243" s="19"/>
      <c r="K243" s="19"/>
      <c r="M243" s="20"/>
      <c r="S243" s="18"/>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x14ac:dyDescent="0.2">
      <c r="H292" s="19"/>
    </row>
  </sheetData>
  <mergeCells count="1">
    <mergeCell ref="Q5:R5"/>
  </mergeCells>
  <conditionalFormatting sqref="H159 G161">
    <cfRule type="cellIs" dxfId="27"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4"/>
  <sheetViews>
    <sheetView topLeftCell="A83" zoomScale="80" zoomScaleNormal="80" workbookViewId="0">
      <selection activeCell="D75" sqref="D75"/>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5" t="s">
        <v>66</v>
      </c>
    </row>
    <row r="4" spans="1:22" x14ac:dyDescent="0.2">
      <c r="A4" s="99"/>
      <c r="B4" s="7"/>
      <c r="C4" s="3"/>
      <c r="D4" s="3"/>
      <c r="E4" s="212"/>
      <c r="F4" s="8"/>
      <c r="G4" s="215"/>
      <c r="H4" s="216"/>
      <c r="I4" s="202"/>
      <c r="J4" s="202"/>
      <c r="K4" s="202"/>
      <c r="M4" s="10"/>
      <c r="P4" s="225" t="s">
        <v>1</v>
      </c>
    </row>
    <row r="5" spans="1:22" x14ac:dyDescent="0.2">
      <c r="E5" s="217" t="s">
        <v>208</v>
      </c>
      <c r="F5" s="225" t="s">
        <v>3</v>
      </c>
      <c r="G5" s="225" t="s">
        <v>4</v>
      </c>
      <c r="H5" s="225"/>
      <c r="I5" s="204" t="s">
        <v>208</v>
      </c>
      <c r="J5" s="13" t="s">
        <v>180</v>
      </c>
      <c r="K5" s="204" t="s">
        <v>209</v>
      </c>
      <c r="L5" s="225" t="s">
        <v>5</v>
      </c>
      <c r="M5" s="11" t="s">
        <v>6</v>
      </c>
      <c r="N5" s="11" t="s">
        <v>0</v>
      </c>
      <c r="O5" s="11" t="s">
        <v>8</v>
      </c>
      <c r="P5" s="225" t="s">
        <v>9</v>
      </c>
      <c r="Q5" s="576" t="s">
        <v>10</v>
      </c>
      <c r="R5" s="576"/>
      <c r="U5" s="12" t="s">
        <v>11</v>
      </c>
    </row>
    <row r="6" spans="1:22" x14ac:dyDescent="0.2">
      <c r="E6" s="218">
        <v>42308</v>
      </c>
      <c r="F6" s="13" t="s">
        <v>12</v>
      </c>
      <c r="G6" s="14" t="s">
        <v>13</v>
      </c>
      <c r="H6" s="14" t="s">
        <v>8</v>
      </c>
      <c r="I6" s="205">
        <v>42338</v>
      </c>
      <c r="J6" s="13" t="s">
        <v>210</v>
      </c>
      <c r="K6" s="205">
        <f>I6</f>
        <v>42338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Oct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Oct 2015'!$A$1:$I$252,9,FALSE)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Oct 2015'!$A$1:$I$252,9,FALSE)</f>
        <v>787310.81</v>
      </c>
      <c r="F15" s="30">
        <v>0</v>
      </c>
      <c r="G15" s="130">
        <v>0</v>
      </c>
      <c r="H15" s="30">
        <v>0</v>
      </c>
      <c r="I15" s="115">
        <f>E15+F15+G15+H15</f>
        <v>787310.81</v>
      </c>
      <c r="J15" s="30">
        <v>0</v>
      </c>
      <c r="K15" s="115">
        <f>I15+J15</f>
        <v>787310.81</v>
      </c>
      <c r="L15" s="210" t="s">
        <v>22</v>
      </c>
      <c r="M15" s="20"/>
      <c r="S15" s="18"/>
    </row>
    <row r="16" spans="1:22" x14ac:dyDescent="0.2">
      <c r="A16" s="100" t="s">
        <v>157</v>
      </c>
      <c r="B16" s="28"/>
      <c r="C16" s="28" t="s">
        <v>37</v>
      </c>
      <c r="D16" s="4" t="s">
        <v>192</v>
      </c>
      <c r="E16" s="32">
        <f>VLOOKUP(A16,'DEK Oct 2015'!$A$1:$I$252,9,FALSE)</f>
        <v>1296653</v>
      </c>
      <c r="F16" s="30">
        <v>0</v>
      </c>
      <c r="G16" s="30">
        <v>0</v>
      </c>
      <c r="H16" s="30">
        <v>0</v>
      </c>
      <c r="I16" s="115">
        <f>E16+F16+G16+H16</f>
        <v>1296653</v>
      </c>
      <c r="J16" s="30">
        <v>0</v>
      </c>
      <c r="K16" s="115">
        <f>I16+J16</f>
        <v>1296653</v>
      </c>
      <c r="L16" s="210" t="s">
        <v>22</v>
      </c>
      <c r="M16" s="20"/>
      <c r="P16" s="58"/>
      <c r="R16" s="4" t="s">
        <v>96</v>
      </c>
      <c r="S16" s="18">
        <v>186342</v>
      </c>
    </row>
    <row r="17" spans="1:21" x14ac:dyDescent="0.2">
      <c r="A17" s="100" t="s">
        <v>183</v>
      </c>
      <c r="B17" s="28"/>
      <c r="C17" s="28" t="s">
        <v>184</v>
      </c>
      <c r="D17" s="4" t="s">
        <v>202</v>
      </c>
      <c r="E17" s="32">
        <f>VLOOKUP(A17,'DEK Oct 2015'!$A$1:$I$252,9,FALSE)</f>
        <v>0</v>
      </c>
      <c r="F17" s="30">
        <v>0</v>
      </c>
      <c r="G17" s="33">
        <v>0</v>
      </c>
      <c r="H17" s="33">
        <v>0</v>
      </c>
      <c r="I17" s="115">
        <f>E17+F17+G17+H17</f>
        <v>0</v>
      </c>
      <c r="J17" s="30">
        <v>3050469.04</v>
      </c>
      <c r="K17" s="115">
        <f t="shared" ref="K17" si="1">I17+J17</f>
        <v>3050469.04</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0</v>
      </c>
      <c r="H19" s="29">
        <f t="shared" si="2"/>
        <v>0</v>
      </c>
      <c r="I19" s="123">
        <f t="shared" si="2"/>
        <v>2083963.81</v>
      </c>
      <c r="J19" s="49">
        <f t="shared" si="2"/>
        <v>3050469.04</v>
      </c>
      <c r="K19" s="123">
        <f t="shared" si="2"/>
        <v>5134432.8499999996</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Oct 2015'!$A$1:$I$252,9,FALSE)</f>
        <v>1765792.1500000011</v>
      </c>
      <c r="F22" s="33">
        <v>0</v>
      </c>
      <c r="G22" s="33">
        <v>0</v>
      </c>
      <c r="H22" s="130">
        <v>-22206.17</v>
      </c>
      <c r="I22" s="115">
        <f>E22+F22+G22+H22</f>
        <v>1743585.9800000011</v>
      </c>
      <c r="J22" s="33">
        <v>-266474.03999999998</v>
      </c>
      <c r="K22" s="115">
        <f>I22+J22</f>
        <v>1477111.9400000011</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1765792.1500000011</v>
      </c>
      <c r="F24" s="29">
        <f t="shared" ref="F24:K24" si="3">SUM(F22:F23)</f>
        <v>0</v>
      </c>
      <c r="G24" s="29">
        <f t="shared" si="3"/>
        <v>0</v>
      </c>
      <c r="H24" s="29">
        <f t="shared" si="3"/>
        <v>-22206.17</v>
      </c>
      <c r="I24" s="123">
        <f t="shared" si="3"/>
        <v>1743585.9800000011</v>
      </c>
      <c r="J24" s="49">
        <f t="shared" si="3"/>
        <v>-266474.03999999998</v>
      </c>
      <c r="K24" s="123">
        <f t="shared" si="3"/>
        <v>1477111.9400000011</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Oct 2015'!$A$1:$I$252,9,FALSE)</f>
        <v>1607340</v>
      </c>
      <c r="F27" s="33">
        <v>0</v>
      </c>
      <c r="G27" s="130">
        <v>178961</v>
      </c>
      <c r="H27" s="29">
        <v>0</v>
      </c>
      <c r="I27" s="115">
        <f>E27+F27+G27+H27</f>
        <v>1786301</v>
      </c>
      <c r="J27" s="33">
        <v>0</v>
      </c>
      <c r="K27" s="115">
        <f>I27+J27</f>
        <v>1786301</v>
      </c>
      <c r="L27" s="210" t="s">
        <v>22</v>
      </c>
      <c r="M27" s="226"/>
      <c r="S27" s="28" t="s">
        <v>23</v>
      </c>
    </row>
    <row r="28" spans="1:21" ht="13.5" customHeight="1" x14ac:dyDescent="0.2">
      <c r="A28" s="100" t="s">
        <v>80</v>
      </c>
      <c r="B28" s="28"/>
      <c r="C28" s="28" t="s">
        <v>24</v>
      </c>
      <c r="D28" s="4" t="s">
        <v>204</v>
      </c>
      <c r="E28" s="32">
        <f>VLOOKUP(A28,'DEK Oct 2015'!$A$1:$I$252,9,FALSE)</f>
        <v>-507326.80000000005</v>
      </c>
      <c r="F28" s="33">
        <v>0</v>
      </c>
      <c r="G28" s="130">
        <v>5066</v>
      </c>
      <c r="H28" s="32">
        <v>0</v>
      </c>
      <c r="I28" s="115">
        <f>E28+F28+G28+H28</f>
        <v>-502260.80000000005</v>
      </c>
      <c r="J28" s="33">
        <v>0</v>
      </c>
      <c r="K28" s="115">
        <f>I28+J28</f>
        <v>-502260.80000000005</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1100013.2</v>
      </c>
      <c r="F30" s="44">
        <f t="shared" ref="F30:K30" si="4">SUM(F27:F28)</f>
        <v>0</v>
      </c>
      <c r="G30" s="33">
        <f t="shared" si="4"/>
        <v>184027</v>
      </c>
      <c r="H30" s="33">
        <f t="shared" si="4"/>
        <v>0</v>
      </c>
      <c r="I30" s="123">
        <f t="shared" si="4"/>
        <v>1284040.2</v>
      </c>
      <c r="J30" s="33">
        <f t="shared" si="4"/>
        <v>0</v>
      </c>
      <c r="K30" s="123">
        <f t="shared" si="4"/>
        <v>1284040.2</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Oct 2015'!$A$1:$I$252,9,FALSE)</f>
        <v>7529899.8000000007</v>
      </c>
      <c r="F52" s="33">
        <v>0</v>
      </c>
      <c r="G52" s="130">
        <v>-378768.56</v>
      </c>
      <c r="H52" s="33">
        <v>0</v>
      </c>
      <c r="I52" s="115">
        <f>E52+F52+G52+H52</f>
        <v>7151131.2400000012</v>
      </c>
      <c r="J52" s="33">
        <v>-2783995</v>
      </c>
      <c r="K52" s="115">
        <f>I52+J52</f>
        <v>4367136.2400000012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Oct 2015'!$A$1:$I$252,9,FALSE)</f>
        <v>5829987</v>
      </c>
      <c r="F53" s="33">
        <v>0</v>
      </c>
      <c r="G53" s="130">
        <v>0</v>
      </c>
      <c r="H53" s="33">
        <v>0</v>
      </c>
      <c r="I53" s="115">
        <f>E53+F53+G53+H53</f>
        <v>5829987</v>
      </c>
      <c r="J53" s="33">
        <v>0</v>
      </c>
      <c r="K53" s="115">
        <f>I53+J53</f>
        <v>5829987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Oct 2015'!$A$1:$I$252,9,FALSE)</f>
        <v>1350000</v>
      </c>
      <c r="F59" s="33">
        <v>0</v>
      </c>
      <c r="G59" s="130">
        <v>0</v>
      </c>
      <c r="H59" s="33">
        <v>0</v>
      </c>
      <c r="I59" s="115">
        <f>E59+F59+G59+H59</f>
        <v>1350000</v>
      </c>
      <c r="J59" s="33">
        <v>0</v>
      </c>
      <c r="K59" s="115">
        <f>I59+J59</f>
        <v>1350000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Oct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Oct 2015'!$A$1:$I$252,9,FALSE)</f>
        <v>10265414.979999999</v>
      </c>
      <c r="F67" s="172"/>
      <c r="G67" s="130">
        <v>722663.94</v>
      </c>
      <c r="H67" s="172"/>
      <c r="I67" s="115">
        <f t="shared" si="5"/>
        <v>10988078.919999998</v>
      </c>
      <c r="J67" s="172"/>
      <c r="K67" s="115">
        <f t="shared" si="6"/>
        <v>10988078.919999998</v>
      </c>
      <c r="L67" s="210" t="s">
        <v>250</v>
      </c>
      <c r="M67" s="20" t="s">
        <v>246</v>
      </c>
      <c r="S67" s="18"/>
    </row>
    <row r="68" spans="1:21" ht="12.75" customHeight="1" x14ac:dyDescent="0.35">
      <c r="B68" s="28"/>
      <c r="C68" s="28"/>
      <c r="E68" s="171"/>
      <c r="F68" s="172"/>
      <c r="G68" s="33"/>
      <c r="H68" s="172"/>
      <c r="I68" s="115"/>
      <c r="J68" s="172"/>
      <c r="K68" s="115"/>
      <c r="M68" s="20"/>
      <c r="S68" s="18"/>
    </row>
    <row r="69" spans="1:21" ht="20.25" customHeight="1" x14ac:dyDescent="0.35">
      <c r="A69" s="100" t="s">
        <v>238</v>
      </c>
      <c r="B69" s="28"/>
      <c r="C69" s="28" t="s">
        <v>236</v>
      </c>
      <c r="D69" s="4" t="s">
        <v>238</v>
      </c>
      <c r="E69" s="32">
        <f>VLOOKUP(A69,'DEK Oct 2015'!$A$1:$I$252,9,FALSE)</f>
        <v>-839085.66</v>
      </c>
      <c r="F69" s="172"/>
      <c r="G69" s="130">
        <v>0</v>
      </c>
      <c r="H69" s="33"/>
      <c r="I69" s="115">
        <f t="shared" si="5"/>
        <v>-839085.66</v>
      </c>
      <c r="J69" s="33"/>
      <c r="K69" s="115">
        <f t="shared" si="6"/>
        <v>-839085.66</v>
      </c>
      <c r="L69" s="210" t="s">
        <v>251</v>
      </c>
      <c r="M69" s="20"/>
      <c r="S69" s="18"/>
    </row>
    <row r="70" spans="1:21" ht="12.75" customHeight="1" x14ac:dyDescent="0.35">
      <c r="B70" s="28"/>
      <c r="C70" s="28"/>
      <c r="E70" s="32"/>
      <c r="F70" s="172"/>
      <c r="G70" s="144"/>
      <c r="H70" s="33"/>
      <c r="I70" s="115"/>
      <c r="J70" s="33"/>
      <c r="K70" s="115"/>
      <c r="M70" s="20"/>
      <c r="S70" s="18"/>
    </row>
    <row r="71" spans="1:21" ht="16.5" customHeight="1" x14ac:dyDescent="0.35">
      <c r="A71" s="100" t="s">
        <v>240</v>
      </c>
      <c r="B71" s="28"/>
      <c r="C71" s="28" t="s">
        <v>239</v>
      </c>
      <c r="D71" s="4" t="s">
        <v>240</v>
      </c>
      <c r="E71" s="32">
        <f>VLOOKUP(A71,'DEK Oct 2015'!$A$1:$I$252,9,FALSE)</f>
        <v>3616591.74</v>
      </c>
      <c r="F71" s="172"/>
      <c r="G71" s="130">
        <v>315223</v>
      </c>
      <c r="H71" s="33"/>
      <c r="I71" s="115">
        <f t="shared" ref="I71" si="7">E71+F71+G71+H71</f>
        <v>3931814.74</v>
      </c>
      <c r="J71" s="33"/>
      <c r="K71" s="115">
        <f t="shared" ref="K71" si="8">I71+J71</f>
        <v>3931814.74</v>
      </c>
      <c r="L71" s="210" t="s">
        <v>22</v>
      </c>
      <c r="M71" s="20" t="s">
        <v>247</v>
      </c>
      <c r="S71" s="18"/>
    </row>
    <row r="72" spans="1:21" ht="12.75" customHeight="1" x14ac:dyDescent="0.35">
      <c r="B72" s="28"/>
      <c r="C72" s="28"/>
      <c r="E72" s="32"/>
      <c r="F72" s="172"/>
      <c r="G72" s="144"/>
      <c r="H72" s="33"/>
      <c r="I72" s="115"/>
      <c r="J72" s="33"/>
      <c r="K72" s="115"/>
      <c r="M72" s="20"/>
      <c r="S72" s="18"/>
    </row>
    <row r="73" spans="1:21" ht="12.75" customHeight="1" x14ac:dyDescent="0.35">
      <c r="A73" s="100" t="s">
        <v>234</v>
      </c>
      <c r="B73" s="28"/>
      <c r="C73" s="28" t="s">
        <v>232</v>
      </c>
      <c r="D73" s="4" t="s">
        <v>233</v>
      </c>
      <c r="E73" s="32">
        <f>VLOOKUP(A73,'DEK Oct 2015'!$A$1:$I$252,9,FALSE)</f>
        <v>0</v>
      </c>
      <c r="F73" s="174"/>
      <c r="G73" s="33">
        <v>0</v>
      </c>
      <c r="H73" s="33"/>
      <c r="I73" s="115">
        <f t="shared" ref="I73:I75" si="9">E73+F73+G73+H73</f>
        <v>0</v>
      </c>
      <c r="J73" s="33"/>
      <c r="K73" s="115">
        <f t="shared" ref="K73:K75" si="10">I73+J73</f>
        <v>0</v>
      </c>
      <c r="M73" s="20"/>
      <c r="S73" s="18"/>
    </row>
    <row r="74" spans="1:21" ht="12.75" customHeight="1" x14ac:dyDescent="0.35">
      <c r="B74" s="28"/>
      <c r="C74" s="28"/>
      <c r="E74" s="32"/>
      <c r="F74" s="172"/>
      <c r="G74" s="33"/>
      <c r="H74" s="33"/>
      <c r="I74" s="115"/>
      <c r="J74" s="33"/>
      <c r="K74" s="115"/>
      <c r="M74" s="20"/>
      <c r="S74" s="18"/>
    </row>
    <row r="75" spans="1:21" ht="12.75" customHeight="1" x14ac:dyDescent="0.35">
      <c r="A75" s="100" t="s">
        <v>253</v>
      </c>
      <c r="B75" s="28"/>
      <c r="C75" s="28" t="s">
        <v>252</v>
      </c>
      <c r="D75" s="4" t="s">
        <v>253</v>
      </c>
      <c r="E75" s="35">
        <v>0</v>
      </c>
      <c r="F75" s="174"/>
      <c r="G75" s="36">
        <v>187.42</v>
      </c>
      <c r="H75" s="36">
        <v>0</v>
      </c>
      <c r="I75" s="116">
        <f t="shared" si="9"/>
        <v>187.42</v>
      </c>
      <c r="J75" s="36"/>
      <c r="K75" s="116">
        <f t="shared" si="10"/>
        <v>187.42</v>
      </c>
      <c r="M75" s="20"/>
      <c r="S75" s="18"/>
    </row>
    <row r="76" spans="1:21" x14ac:dyDescent="0.2">
      <c r="B76" s="54"/>
      <c r="C76" s="28"/>
      <c r="E76" s="32">
        <f>SUM(E42:E75)</f>
        <v>32665491.859999999</v>
      </c>
      <c r="F76" s="29">
        <f>SUM(F39:F65)+F36</f>
        <v>0</v>
      </c>
      <c r="G76" s="29">
        <f>SUM(G39:G75)+G36</f>
        <v>659305.79999999993</v>
      </c>
      <c r="H76" s="29">
        <f>SUM(H39:H75)+H36</f>
        <v>0</v>
      </c>
      <c r="I76" s="123">
        <f>SUM(I39:I75)+I36</f>
        <v>33324797.660000004</v>
      </c>
      <c r="J76" s="49">
        <f>SUM(J39:J75)+J36</f>
        <v>-2783995</v>
      </c>
      <c r="K76" s="123">
        <f>SUM(K39:K75)+K36</f>
        <v>30540802.660000004</v>
      </c>
      <c r="M76" s="20"/>
      <c r="S76" s="18"/>
    </row>
    <row r="77" spans="1:21" x14ac:dyDescent="0.2">
      <c r="B77" s="28"/>
      <c r="C77" s="28"/>
      <c r="E77" s="32"/>
      <c r="F77" s="30"/>
      <c r="G77" s="152"/>
      <c r="H77" s="30"/>
      <c r="I77" s="115"/>
      <c r="J77" s="30"/>
      <c r="K77" s="115"/>
      <c r="M77" s="20"/>
      <c r="S77" s="18"/>
    </row>
    <row r="78" spans="1:21" s="22" customFormat="1" x14ac:dyDescent="0.2">
      <c r="A78" s="101"/>
      <c r="B78" s="54" t="s">
        <v>129</v>
      </c>
      <c r="C78" s="55"/>
      <c r="E78" s="220"/>
      <c r="F78" s="47"/>
      <c r="G78" s="162"/>
      <c r="H78" s="47"/>
      <c r="I78" s="124"/>
      <c r="J78" s="47"/>
      <c r="K78" s="124"/>
      <c r="M78" s="19"/>
      <c r="N78" s="48"/>
      <c r="O78" s="48"/>
      <c r="P78" s="56"/>
      <c r="R78" s="57"/>
      <c r="S78" s="57"/>
      <c r="T78" s="55"/>
      <c r="U78" s="55"/>
    </row>
    <row r="79" spans="1:21" ht="25.5" hidden="1" customHeight="1" x14ac:dyDescent="0.2">
      <c r="A79" s="100" t="s">
        <v>125</v>
      </c>
      <c r="B79" s="18"/>
      <c r="C79" s="28" t="s">
        <v>73</v>
      </c>
      <c r="D79" s="4" t="s">
        <v>125</v>
      </c>
      <c r="E79" s="32">
        <v>0</v>
      </c>
      <c r="F79" s="33">
        <v>0</v>
      </c>
      <c r="G79" s="144">
        <v>0</v>
      </c>
      <c r="H79" s="33">
        <v>0</v>
      </c>
      <c r="I79" s="115">
        <f>E79+F79+G79+H79</f>
        <v>0</v>
      </c>
      <c r="J79" s="30">
        <f>F79+G79+H79+I79</f>
        <v>0</v>
      </c>
      <c r="K79" s="115">
        <f>G79+H79+I79+J79</f>
        <v>0</v>
      </c>
      <c r="M79" s="42" t="s">
        <v>126</v>
      </c>
      <c r="O79" s="53"/>
      <c r="P79" s="31"/>
      <c r="R79" s="4" t="s">
        <v>107</v>
      </c>
      <c r="S79" s="18">
        <v>182940</v>
      </c>
      <c r="U79" s="39" t="s">
        <v>36</v>
      </c>
    </row>
    <row r="80" spans="1:21" x14ac:dyDescent="0.2">
      <c r="A80" s="100" t="s">
        <v>161</v>
      </c>
      <c r="B80" s="28"/>
      <c r="C80" s="28" t="s">
        <v>72</v>
      </c>
      <c r="D80" s="4" t="s">
        <v>224</v>
      </c>
      <c r="E80" s="32">
        <f>VLOOKUP(A80,'DEK Oct 2015'!$A$1:$I$252,9,FALSE)</f>
        <v>21779112.440000001</v>
      </c>
      <c r="F80" s="30">
        <v>0</v>
      </c>
      <c r="G80" s="130">
        <v>-184449</v>
      </c>
      <c r="H80" s="30">
        <v>0</v>
      </c>
      <c r="I80" s="115">
        <f>E80+F80+G80+H80</f>
        <v>21594663.440000001</v>
      </c>
      <c r="J80" s="30">
        <v>0</v>
      </c>
      <c r="K80" s="115">
        <f t="shared" ref="K80:K82" si="11">I80+J80</f>
        <v>21594663.440000001</v>
      </c>
      <c r="L80" s="210" t="s">
        <v>22</v>
      </c>
      <c r="M80" s="20"/>
      <c r="P80" s="58"/>
      <c r="S80" s="18">
        <v>186801</v>
      </c>
    </row>
    <row r="81" spans="1:20" x14ac:dyDescent="0.2">
      <c r="A81" s="108" t="s">
        <v>171</v>
      </c>
      <c r="B81" s="28"/>
      <c r="C81" s="28" t="s">
        <v>122</v>
      </c>
      <c r="D81" s="4" t="s">
        <v>225</v>
      </c>
      <c r="E81" s="32">
        <f>VLOOKUP(A81,'DEK Oct 2015'!$A$1:$I$252,9,FALSE)</f>
        <v>2970101.55</v>
      </c>
      <c r="F81" s="30">
        <v>0</v>
      </c>
      <c r="G81" s="130">
        <v>-27586</v>
      </c>
      <c r="H81" s="30">
        <v>0</v>
      </c>
      <c r="I81" s="115">
        <f>E81+F81+G81+H81</f>
        <v>2942515.55</v>
      </c>
      <c r="J81" s="30">
        <v>0</v>
      </c>
      <c r="K81" s="115">
        <f t="shared" si="11"/>
        <v>2942515.55</v>
      </c>
      <c r="L81" s="210" t="s">
        <v>22</v>
      </c>
      <c r="M81" s="20"/>
      <c r="P81" s="58"/>
      <c r="S81" s="18"/>
    </row>
    <row r="82" spans="1:20" x14ac:dyDescent="0.2">
      <c r="A82" s="108" t="s">
        <v>172</v>
      </c>
      <c r="B82" s="28"/>
      <c r="C82" s="28" t="s">
        <v>123</v>
      </c>
      <c r="D82" s="4" t="s">
        <v>226</v>
      </c>
      <c r="E82" s="32">
        <f>VLOOKUP(A82,'DEK Oct 2015'!$A$1:$I$252,9,FALSE)</f>
        <v>56095.05</v>
      </c>
      <c r="F82" s="30">
        <v>0</v>
      </c>
      <c r="G82" s="130">
        <v>-794</v>
      </c>
      <c r="H82" s="30">
        <v>0</v>
      </c>
      <c r="I82" s="115">
        <f>E82+F82+G82+H82</f>
        <v>55301.05</v>
      </c>
      <c r="J82" s="30">
        <v>0</v>
      </c>
      <c r="K82" s="115">
        <f t="shared" si="11"/>
        <v>55301.05</v>
      </c>
      <c r="L82" s="210" t="s">
        <v>22</v>
      </c>
      <c r="M82" s="20"/>
      <c r="P82" s="58"/>
      <c r="S82" s="18"/>
    </row>
    <row r="83" spans="1:20" x14ac:dyDescent="0.2">
      <c r="B83" s="28"/>
      <c r="C83" s="28"/>
      <c r="E83" s="35"/>
      <c r="F83" s="36"/>
      <c r="G83" s="150"/>
      <c r="H83" s="36"/>
      <c r="I83" s="116"/>
      <c r="J83" s="36"/>
      <c r="K83" s="116"/>
      <c r="M83" s="20"/>
      <c r="P83" s="58"/>
      <c r="S83" s="18"/>
    </row>
    <row r="84" spans="1:20" x14ac:dyDescent="0.2">
      <c r="B84" s="28"/>
      <c r="C84" s="18"/>
      <c r="E84" s="32">
        <f>SUM(E79:E83)</f>
        <v>24805309.040000003</v>
      </c>
      <c r="F84" s="29">
        <f t="shared" ref="F84:K84" si="12">SUM(F79:F83)</f>
        <v>0</v>
      </c>
      <c r="G84" s="29">
        <f>SUM(G79:G83)</f>
        <v>-212829</v>
      </c>
      <c r="H84" s="29">
        <f t="shared" si="12"/>
        <v>0</v>
      </c>
      <c r="I84" s="123">
        <f t="shared" si="12"/>
        <v>24592480.040000003</v>
      </c>
      <c r="J84" s="29">
        <f t="shared" si="12"/>
        <v>0</v>
      </c>
      <c r="K84" s="123">
        <f t="shared" si="12"/>
        <v>24592480.040000003</v>
      </c>
      <c r="M84" s="20"/>
      <c r="S84" s="18"/>
    </row>
    <row r="85" spans="1:20" ht="12.75" hidden="1" customHeight="1" x14ac:dyDescent="0.2">
      <c r="B85" s="54" t="s">
        <v>135</v>
      </c>
      <c r="C85" s="18"/>
      <c r="E85" s="32"/>
      <c r="F85" s="29"/>
      <c r="G85" s="151"/>
      <c r="H85" s="29"/>
      <c r="I85" s="117"/>
      <c r="J85" s="29"/>
      <c r="K85" s="117"/>
      <c r="M85" s="20"/>
      <c r="S85" s="18"/>
    </row>
    <row r="86" spans="1:20" ht="12.75" hidden="1" customHeight="1" x14ac:dyDescent="0.2">
      <c r="A86" s="100" t="s">
        <v>108</v>
      </c>
      <c r="B86" s="28"/>
      <c r="C86" s="28" t="s">
        <v>71</v>
      </c>
      <c r="D86" s="4" t="s">
        <v>108</v>
      </c>
      <c r="E86" s="32">
        <v>0</v>
      </c>
      <c r="F86" s="30">
        <v>0</v>
      </c>
      <c r="G86" s="152">
        <v>0</v>
      </c>
      <c r="H86" s="30">
        <v>0</v>
      </c>
      <c r="I86" s="115">
        <f t="shared" ref="I86:K87" si="13">E86+F86+G86+H86</f>
        <v>0</v>
      </c>
      <c r="J86" s="30">
        <f t="shared" si="13"/>
        <v>0</v>
      </c>
      <c r="K86" s="115">
        <f t="shared" si="13"/>
        <v>0</v>
      </c>
      <c r="M86" s="20"/>
      <c r="S86" s="18">
        <v>174995</v>
      </c>
    </row>
    <row r="87" spans="1:20" ht="12.75" hidden="1" customHeight="1" x14ac:dyDescent="0.2">
      <c r="A87" s="100" t="s">
        <v>139</v>
      </c>
      <c r="B87" s="28"/>
      <c r="C87" s="28" t="s">
        <v>124</v>
      </c>
      <c r="D87" s="4" t="s">
        <v>139</v>
      </c>
      <c r="E87" s="32">
        <v>0</v>
      </c>
      <c r="F87" s="30">
        <v>0</v>
      </c>
      <c r="G87" s="152">
        <v>0</v>
      </c>
      <c r="H87" s="30">
        <v>0</v>
      </c>
      <c r="I87" s="115">
        <f t="shared" si="13"/>
        <v>0</v>
      </c>
      <c r="J87" s="30">
        <f t="shared" si="13"/>
        <v>0</v>
      </c>
      <c r="K87" s="115">
        <f t="shared" si="13"/>
        <v>0</v>
      </c>
      <c r="M87" s="20"/>
      <c r="S87" s="18"/>
    </row>
    <row r="88" spans="1:20" ht="7.5" hidden="1" customHeight="1" x14ac:dyDescent="0.2">
      <c r="B88" s="28"/>
      <c r="C88" s="18"/>
      <c r="D88" s="59"/>
      <c r="E88" s="32"/>
      <c r="F88" s="30"/>
      <c r="G88" s="152"/>
      <c r="H88" s="30"/>
      <c r="I88" s="115"/>
      <c r="J88" s="30"/>
      <c r="K88" s="115"/>
      <c r="M88" s="20"/>
      <c r="P88" s="58"/>
      <c r="S88" s="18"/>
    </row>
    <row r="89" spans="1:20" x14ac:dyDescent="0.2">
      <c r="B89" s="28"/>
      <c r="C89" s="18"/>
      <c r="E89" s="32"/>
      <c r="F89" s="30"/>
      <c r="G89" s="152"/>
      <c r="H89" s="30"/>
      <c r="I89" s="115"/>
      <c r="J89" s="30"/>
      <c r="K89" s="115"/>
      <c r="M89" s="20"/>
      <c r="S89" s="18"/>
    </row>
    <row r="90" spans="1:20" x14ac:dyDescent="0.2">
      <c r="B90" s="18"/>
      <c r="C90" s="131" t="s">
        <v>41</v>
      </c>
      <c r="D90" s="135"/>
      <c r="E90" s="133">
        <f t="shared" ref="E90:K90" si="14">+E12+E24+E30+E76+E84+E86+E19+E87</f>
        <v>62420570.060000002</v>
      </c>
      <c r="F90" s="133">
        <f t="shared" si="14"/>
        <v>0</v>
      </c>
      <c r="G90" s="133">
        <f t="shared" si="14"/>
        <v>630503.79999999993</v>
      </c>
      <c r="H90" s="133">
        <f t="shared" si="14"/>
        <v>-22206.17</v>
      </c>
      <c r="I90" s="134">
        <f t="shared" si="14"/>
        <v>63028867.690000013</v>
      </c>
      <c r="J90" s="133">
        <f t="shared" si="14"/>
        <v>0</v>
      </c>
      <c r="K90" s="134">
        <f t="shared" si="14"/>
        <v>63028867.690000005</v>
      </c>
      <c r="M90" s="45"/>
      <c r="N90" s="143"/>
      <c r="S90" s="18"/>
    </row>
    <row r="91" spans="1:20" x14ac:dyDescent="0.2">
      <c r="A91" s="105"/>
      <c r="B91" s="18"/>
      <c r="C91" s="18"/>
      <c r="D91" s="12"/>
      <c r="E91" s="221"/>
      <c r="F91" s="50"/>
      <c r="G91" s="145"/>
      <c r="H91" s="50"/>
      <c r="I91" s="115"/>
      <c r="J91" s="30"/>
      <c r="K91" s="115"/>
      <c r="M91" s="45"/>
      <c r="S91" s="18"/>
    </row>
    <row r="92" spans="1:20" s="22" customFormat="1" x14ac:dyDescent="0.2">
      <c r="A92" s="106"/>
      <c r="B92" s="21" t="s">
        <v>130</v>
      </c>
      <c r="C92" s="46"/>
      <c r="D92" s="27"/>
      <c r="E92" s="222"/>
      <c r="F92" s="50"/>
      <c r="G92" s="145"/>
      <c r="H92" s="145"/>
      <c r="I92" s="113"/>
      <c r="J92" s="19"/>
      <c r="K92" s="113"/>
      <c r="M92" s="19"/>
      <c r="N92" s="20"/>
      <c r="O92" s="48"/>
      <c r="R92" s="57"/>
      <c r="S92" s="57"/>
    </row>
    <row r="93" spans="1:20" x14ac:dyDescent="0.2">
      <c r="A93" s="100" t="s">
        <v>114</v>
      </c>
      <c r="B93" s="18"/>
      <c r="C93" s="28" t="s">
        <v>52</v>
      </c>
      <c r="D93" s="4" t="s">
        <v>114</v>
      </c>
      <c r="E93" s="32">
        <f>VLOOKUP(A93,'DEK Oct 2015'!$A$1:$I$252,9,FALSE)</f>
        <v>734569.98000000021</v>
      </c>
      <c r="F93" s="30">
        <v>0</v>
      </c>
      <c r="G93" s="130">
        <v>1099529.07</v>
      </c>
      <c r="H93" s="130">
        <v>-89445.78</v>
      </c>
      <c r="I93" s="115">
        <f t="shared" ref="I93:I98" si="15">E93+F93+G93+H93</f>
        <v>1744653.2700000003</v>
      </c>
      <c r="J93" s="30">
        <v>0</v>
      </c>
      <c r="K93" s="115">
        <f t="shared" ref="K93:K98" si="16">I93+J93</f>
        <v>1744653.2700000003</v>
      </c>
      <c r="L93" s="210" t="s">
        <v>22</v>
      </c>
      <c r="M93" s="33"/>
      <c r="N93" s="42"/>
      <c r="O93" s="42"/>
      <c r="S93" s="18">
        <v>191400</v>
      </c>
      <c r="T93" s="58"/>
    </row>
    <row r="94" spans="1:20" x14ac:dyDescent="0.2">
      <c r="A94" s="100" t="s">
        <v>115</v>
      </c>
      <c r="B94" s="18"/>
      <c r="C94" s="28" t="s">
        <v>53</v>
      </c>
      <c r="D94" s="4" t="s">
        <v>115</v>
      </c>
      <c r="E94" s="32">
        <f>VLOOKUP(A94,'DEK Oct 2015'!$A$1:$I$252,9,FALSE)</f>
        <v>-1129984</v>
      </c>
      <c r="F94" s="30">
        <v>0</v>
      </c>
      <c r="G94" s="130">
        <v>-717878</v>
      </c>
      <c r="H94" s="33">
        <v>0</v>
      </c>
      <c r="I94" s="115">
        <f t="shared" si="15"/>
        <v>-1847862</v>
      </c>
      <c r="J94" s="30">
        <v>0</v>
      </c>
      <c r="K94" s="115">
        <f t="shared" si="16"/>
        <v>-1847862</v>
      </c>
      <c r="L94" s="210" t="s">
        <v>22</v>
      </c>
      <c r="M94" s="30"/>
      <c r="N94" s="42"/>
      <c r="O94" s="42"/>
      <c r="S94" s="18">
        <v>191800</v>
      </c>
      <c r="T94" s="58"/>
    </row>
    <row r="95" spans="1:20" ht="12.75" customHeight="1" x14ac:dyDescent="0.2">
      <c r="A95" s="100" t="s">
        <v>117</v>
      </c>
      <c r="B95" s="18"/>
      <c r="C95" s="28" t="s">
        <v>77</v>
      </c>
      <c r="D95" s="4" t="s">
        <v>117</v>
      </c>
      <c r="E95" s="32">
        <f>VLOOKUP(A95,'DEK Oct 2015'!$A$1:$I$252,9,FALSE)</f>
        <v>-1069102</v>
      </c>
      <c r="F95" s="30">
        <v>0</v>
      </c>
      <c r="G95" s="129">
        <v>0</v>
      </c>
      <c r="H95" s="33">
        <v>0</v>
      </c>
      <c r="I95" s="115">
        <f t="shared" si="15"/>
        <v>-1069102</v>
      </c>
      <c r="J95" s="30">
        <v>0</v>
      </c>
      <c r="K95" s="115">
        <f t="shared" si="16"/>
        <v>-1069102</v>
      </c>
      <c r="L95" s="210" t="s">
        <v>22</v>
      </c>
      <c r="M95" s="20"/>
      <c r="N95" s="42"/>
      <c r="O95" s="42"/>
      <c r="S95" s="18">
        <v>242995</v>
      </c>
      <c r="T95" s="58"/>
    </row>
    <row r="96" spans="1:20" x14ac:dyDescent="0.2">
      <c r="A96" s="100" t="s">
        <v>119</v>
      </c>
      <c r="B96" s="18"/>
      <c r="C96" s="28" t="s">
        <v>118</v>
      </c>
      <c r="D96" s="4" t="s">
        <v>119</v>
      </c>
      <c r="E96" s="32">
        <f>VLOOKUP(A96,'DEK Oct 2015'!$A$1:$I$252,9,FALSE)</f>
        <v>-901960.59000000043</v>
      </c>
      <c r="F96" s="30">
        <v>0</v>
      </c>
      <c r="G96" s="129">
        <v>713189.32</v>
      </c>
      <c r="H96" s="33">
        <v>0</v>
      </c>
      <c r="I96" s="115">
        <f t="shared" si="15"/>
        <v>-188771.27000000048</v>
      </c>
      <c r="J96" s="30">
        <v>0</v>
      </c>
      <c r="K96" s="115">
        <f t="shared" si="16"/>
        <v>-188771.27000000048</v>
      </c>
      <c r="L96" s="210" t="s">
        <v>22</v>
      </c>
      <c r="M96" s="20"/>
      <c r="N96" s="42"/>
      <c r="O96" s="42"/>
      <c r="S96" s="18">
        <v>242997</v>
      </c>
      <c r="T96" s="58"/>
    </row>
    <row r="97" spans="1:23" x14ac:dyDescent="0.2">
      <c r="A97" s="100" t="s">
        <v>120</v>
      </c>
      <c r="B97" s="18"/>
      <c r="C97" s="28" t="s">
        <v>54</v>
      </c>
      <c r="D97" s="4" t="s">
        <v>120</v>
      </c>
      <c r="E97" s="32">
        <f>VLOOKUP(A97,'DEK Oct 2015'!$A$1:$I$252,9,FALSE)</f>
        <v>-865326.0399999998</v>
      </c>
      <c r="F97" s="33">
        <v>0</v>
      </c>
      <c r="G97" s="130">
        <v>301952.2</v>
      </c>
      <c r="H97" s="130">
        <v>31391.8</v>
      </c>
      <c r="I97" s="115">
        <f t="shared" si="15"/>
        <v>-531982.0399999998</v>
      </c>
      <c r="J97" s="33">
        <v>0</v>
      </c>
      <c r="K97" s="115">
        <f t="shared" si="16"/>
        <v>-531982.0399999998</v>
      </c>
      <c r="L97" s="210" t="s">
        <v>22</v>
      </c>
      <c r="M97" s="42"/>
      <c r="N97" s="42"/>
      <c r="O97" s="42"/>
      <c r="S97" s="18">
        <v>253130</v>
      </c>
      <c r="T97" s="58"/>
    </row>
    <row r="98" spans="1:23" x14ac:dyDescent="0.2">
      <c r="A98" s="100" t="s">
        <v>156</v>
      </c>
      <c r="B98" s="18"/>
      <c r="C98" s="28" t="s">
        <v>116</v>
      </c>
      <c r="D98" s="4" t="s">
        <v>211</v>
      </c>
      <c r="E98" s="32">
        <f>VLOOKUP(A98,'DEK Oct 2015'!$A$1:$I$252,9,FALSE)</f>
        <v>-1953168.81</v>
      </c>
      <c r="F98" s="33"/>
      <c r="G98" s="130">
        <v>172477.29</v>
      </c>
      <c r="H98" s="33">
        <v>0</v>
      </c>
      <c r="I98" s="115">
        <f t="shared" si="15"/>
        <v>-1780691.52</v>
      </c>
      <c r="J98" s="30">
        <v>0</v>
      </c>
      <c r="K98" s="115">
        <f t="shared" si="16"/>
        <v>-1780691.52</v>
      </c>
      <c r="M98" s="42"/>
      <c r="N98" s="42"/>
      <c r="O98" s="42"/>
      <c r="S98" s="18"/>
      <c r="T98" s="58"/>
    </row>
    <row r="99" spans="1:23" x14ac:dyDescent="0.2">
      <c r="B99" s="18"/>
      <c r="C99" s="28"/>
      <c r="E99" s="36"/>
      <c r="F99" s="36"/>
      <c r="G99" s="150"/>
      <c r="H99" s="36"/>
      <c r="I99" s="116"/>
      <c r="J99" s="36"/>
      <c r="K99" s="116"/>
      <c r="M99" s="42"/>
      <c r="N99" s="42"/>
      <c r="O99" s="42"/>
      <c r="S99" s="18"/>
      <c r="T99" s="58"/>
    </row>
    <row r="100" spans="1:23" x14ac:dyDescent="0.2">
      <c r="B100" s="18"/>
      <c r="C100" s="61"/>
      <c r="D100" s="34"/>
      <c r="E100" s="33">
        <f t="shared" ref="E100:K100" si="17">SUM(E93:E99)</f>
        <v>-5184971.4600000009</v>
      </c>
      <c r="F100" s="33">
        <f t="shared" si="17"/>
        <v>0</v>
      </c>
      <c r="G100" s="33">
        <f t="shared" si="17"/>
        <v>1569269.8800000001</v>
      </c>
      <c r="H100" s="33">
        <f t="shared" si="17"/>
        <v>-58053.979999999996</v>
      </c>
      <c r="I100" s="123">
        <f t="shared" si="17"/>
        <v>-3673755.56</v>
      </c>
      <c r="J100" s="33">
        <f t="shared" si="17"/>
        <v>0</v>
      </c>
      <c r="K100" s="123">
        <f t="shared" si="17"/>
        <v>-3673755.56</v>
      </c>
      <c r="M100" s="42"/>
      <c r="N100" s="42"/>
      <c r="O100" s="42"/>
      <c r="S100" s="18"/>
      <c r="T100" s="58"/>
    </row>
    <row r="101" spans="1:23" hidden="1" x14ac:dyDescent="0.2">
      <c r="B101" s="21" t="s">
        <v>188</v>
      </c>
      <c r="C101" s="61"/>
      <c r="D101" s="34"/>
      <c r="E101" s="33"/>
      <c r="F101" s="33"/>
      <c r="G101" s="144"/>
      <c r="H101" s="33"/>
      <c r="I101" s="115"/>
      <c r="J101" s="33"/>
      <c r="K101" s="115"/>
      <c r="M101" s="42"/>
      <c r="N101" s="42"/>
      <c r="O101" s="42"/>
      <c r="S101" s="18"/>
      <c r="T101" s="58"/>
    </row>
    <row r="102" spans="1:23" hidden="1" x14ac:dyDescent="0.2">
      <c r="A102" s="100" t="s">
        <v>185</v>
      </c>
      <c r="B102" s="18"/>
      <c r="C102" s="28" t="s">
        <v>186</v>
      </c>
      <c r="D102" s="4" t="s">
        <v>213</v>
      </c>
      <c r="E102" s="32">
        <v>0</v>
      </c>
      <c r="F102" s="33">
        <v>0</v>
      </c>
      <c r="G102" s="144">
        <v>0</v>
      </c>
      <c r="H102" s="33">
        <v>0</v>
      </c>
      <c r="I102" s="115">
        <f>E102+F102+G102+H102</f>
        <v>0</v>
      </c>
      <c r="J102" s="33">
        <v>0</v>
      </c>
      <c r="K102" s="115">
        <f>I102+J102</f>
        <v>0</v>
      </c>
      <c r="M102" s="42"/>
      <c r="N102" s="42"/>
      <c r="O102" s="42"/>
      <c r="S102" s="18"/>
      <c r="T102" s="58"/>
    </row>
    <row r="103" spans="1:23" ht="12.75" hidden="1" customHeight="1" x14ac:dyDescent="0.2">
      <c r="A103" s="100" t="s">
        <v>181</v>
      </c>
      <c r="B103" s="18"/>
      <c r="C103" s="28" t="s">
        <v>182</v>
      </c>
      <c r="D103" s="4" t="s">
        <v>213</v>
      </c>
      <c r="E103" s="32">
        <f>VLOOKUP(A103,'[23]DEK Jun 2013'!$A$1:$I$252,9,FALSE)</f>
        <v>0</v>
      </c>
      <c r="F103" s="33">
        <v>0</v>
      </c>
      <c r="G103" s="144">
        <v>0</v>
      </c>
      <c r="H103" s="33">
        <v>0</v>
      </c>
      <c r="I103" s="115">
        <f>E103+F103+G103+H103</f>
        <v>0</v>
      </c>
      <c r="J103" s="30">
        <v>0</v>
      </c>
      <c r="K103" s="115">
        <f>I103+J103</f>
        <v>0</v>
      </c>
      <c r="L103" s="4" t="s">
        <v>22</v>
      </c>
      <c r="M103" s="42"/>
      <c r="N103" s="42"/>
      <c r="O103" s="42"/>
      <c r="S103" s="18">
        <v>253130</v>
      </c>
      <c r="T103" s="58"/>
    </row>
    <row r="104" spans="1:23" hidden="1" x14ac:dyDescent="0.2">
      <c r="B104" s="18"/>
      <c r="C104" s="28"/>
      <c r="E104" s="33"/>
      <c r="F104" s="36"/>
      <c r="G104" s="150"/>
      <c r="H104" s="36"/>
      <c r="I104" s="116"/>
      <c r="J104" s="36"/>
      <c r="K104" s="116"/>
      <c r="M104" s="42"/>
      <c r="N104" s="42"/>
      <c r="O104" s="42"/>
      <c r="S104" s="18"/>
      <c r="T104" s="58"/>
    </row>
    <row r="105" spans="1:23" hidden="1" x14ac:dyDescent="0.2">
      <c r="B105" s="18"/>
      <c r="C105" s="28"/>
      <c r="E105" s="33">
        <f>SUM(E102:E103)</f>
        <v>0</v>
      </c>
      <c r="F105" s="33">
        <f t="shared" ref="F105:L105" si="18">SUM(F102:F103)</f>
        <v>0</v>
      </c>
      <c r="G105" s="144">
        <f t="shared" si="18"/>
        <v>0</v>
      </c>
      <c r="H105" s="33">
        <f t="shared" si="18"/>
        <v>0</v>
      </c>
      <c r="I105" s="128">
        <f>SUM(I102:I103)</f>
        <v>0</v>
      </c>
      <c r="J105" s="33">
        <f t="shared" si="18"/>
        <v>0</v>
      </c>
      <c r="K105" s="128">
        <f t="shared" si="18"/>
        <v>0</v>
      </c>
      <c r="L105" s="33">
        <f t="shared" si="18"/>
        <v>0</v>
      </c>
      <c r="M105" s="42"/>
      <c r="N105" s="42"/>
      <c r="O105" s="42"/>
      <c r="S105" s="18"/>
      <c r="T105" s="58"/>
    </row>
    <row r="106" spans="1:23" hidden="1" x14ac:dyDescent="0.2">
      <c r="B106" s="18"/>
      <c r="C106" s="61"/>
      <c r="D106" s="34"/>
      <c r="E106" s="33"/>
      <c r="F106" s="33"/>
      <c r="G106" s="144"/>
      <c r="H106" s="33"/>
      <c r="I106" s="115"/>
      <c r="J106" s="33"/>
      <c r="K106" s="115"/>
      <c r="M106" s="42"/>
      <c r="N106" s="42"/>
      <c r="O106" s="42"/>
      <c r="S106" s="18"/>
      <c r="T106" s="58"/>
    </row>
    <row r="107" spans="1:23" s="22" customFormat="1" x14ac:dyDescent="0.2">
      <c r="A107" s="101"/>
      <c r="B107" s="21" t="s">
        <v>214</v>
      </c>
      <c r="C107" s="63"/>
      <c r="D107" s="64"/>
      <c r="E107" s="33"/>
      <c r="F107" s="30"/>
      <c r="G107" s="152" t="s">
        <v>187</v>
      </c>
      <c r="H107" s="30"/>
      <c r="I107" s="113"/>
      <c r="J107" s="19"/>
      <c r="K107" s="113"/>
      <c r="M107" s="19"/>
      <c r="N107" s="42"/>
      <c r="O107" s="48"/>
      <c r="T107" s="46"/>
      <c r="U107" s="46"/>
    </row>
    <row r="108" spans="1:23" x14ac:dyDescent="0.2">
      <c r="A108" s="100" t="s">
        <v>162</v>
      </c>
      <c r="B108" s="18"/>
      <c r="C108" s="28" t="s">
        <v>76</v>
      </c>
      <c r="D108" s="4" t="s">
        <v>194</v>
      </c>
      <c r="E108" s="32">
        <f>VLOOKUP(A108,'DEK Oct 2015'!$A$1:$I$252,9,FALSE)</f>
        <v>-3504798.63</v>
      </c>
      <c r="F108" s="30">
        <v>0</v>
      </c>
      <c r="G108" s="130">
        <v>33028</v>
      </c>
      <c r="H108" s="33">
        <v>0</v>
      </c>
      <c r="I108" s="123">
        <f>E108+G108+H108+F108</f>
        <v>-3471770.63</v>
      </c>
      <c r="J108" s="91">
        <v>0</v>
      </c>
      <c r="K108" s="123">
        <f>I108+J108</f>
        <v>-3471770.63</v>
      </c>
      <c r="L108" s="210" t="s">
        <v>22</v>
      </c>
      <c r="M108" s="67"/>
      <c r="P108" s="51"/>
      <c r="Q108" s="18"/>
      <c r="R108" s="58"/>
      <c r="S108" s="18"/>
    </row>
    <row r="109" spans="1:23" ht="15" x14ac:dyDescent="0.25">
      <c r="B109" s="18"/>
      <c r="C109" s="28"/>
      <c r="D109" s="65"/>
      <c r="E109" s="33"/>
      <c r="F109" s="30"/>
      <c r="G109" s="144"/>
      <c r="H109" s="33"/>
      <c r="I109" s="126"/>
      <c r="J109" s="1"/>
      <c r="K109" s="126"/>
      <c r="L109" s="66"/>
      <c r="M109" s="67"/>
      <c r="P109" s="51"/>
      <c r="Q109" s="18"/>
      <c r="R109" s="58"/>
      <c r="S109" s="18"/>
    </row>
    <row r="110" spans="1:23" x14ac:dyDescent="0.2">
      <c r="B110" s="21" t="s">
        <v>227</v>
      </c>
      <c r="C110" s="28"/>
      <c r="E110" s="33"/>
      <c r="F110" s="30"/>
      <c r="G110" s="152"/>
      <c r="H110" s="30"/>
      <c r="I110" s="115"/>
      <c r="J110" s="30"/>
      <c r="K110" s="115"/>
      <c r="M110" s="20"/>
      <c r="N110" s="42"/>
      <c r="O110" s="42"/>
      <c r="R110" s="58"/>
      <c r="S110" s="18"/>
      <c r="T110" s="58"/>
    </row>
    <row r="111" spans="1:23" x14ac:dyDescent="0.2">
      <c r="A111" s="100" t="s">
        <v>163</v>
      </c>
      <c r="B111" s="18"/>
      <c r="C111" s="28" t="s">
        <v>48</v>
      </c>
      <c r="D111" s="4" t="s">
        <v>195</v>
      </c>
      <c r="E111" s="32">
        <f>VLOOKUP(A111,'DEK Oct 2015'!$A$1:$I$252,9,FALSE)</f>
        <v>0</v>
      </c>
      <c r="F111" s="30">
        <v>0</v>
      </c>
      <c r="G111" s="33">
        <v>0</v>
      </c>
      <c r="H111" s="33">
        <v>0</v>
      </c>
      <c r="I111" s="115">
        <f>E111+F111+G111+H111</f>
        <v>0</v>
      </c>
      <c r="J111" s="30">
        <v>0</v>
      </c>
      <c r="K111" s="115">
        <f t="shared" ref="K111:K113" si="19">I111+J111</f>
        <v>0</v>
      </c>
      <c r="M111" s="62"/>
      <c r="P111" s="51"/>
      <c r="Q111" s="18"/>
      <c r="R111" s="58"/>
      <c r="S111" s="18">
        <v>254998</v>
      </c>
    </row>
    <row r="112" spans="1:23" x14ac:dyDescent="0.2">
      <c r="A112" s="100" t="s">
        <v>179</v>
      </c>
      <c r="B112" s="18"/>
      <c r="C112" s="28" t="s">
        <v>47</v>
      </c>
      <c r="D112" s="4" t="s">
        <v>196</v>
      </c>
      <c r="E112" s="32">
        <f>VLOOKUP(A112,'DEK Oct 2015'!$A$1:$I$252,9,FALSE)</f>
        <v>0</v>
      </c>
      <c r="F112" s="30">
        <v>0</v>
      </c>
      <c r="G112" s="30">
        <v>0</v>
      </c>
      <c r="H112" s="33">
        <v>0</v>
      </c>
      <c r="I112" s="115">
        <f>E112+F112+G112+H112</f>
        <v>0</v>
      </c>
      <c r="J112" s="30">
        <v>0</v>
      </c>
      <c r="K112" s="115">
        <f t="shared" si="19"/>
        <v>0</v>
      </c>
      <c r="M112" s="62"/>
      <c r="P112" s="51"/>
      <c r="Q112" s="18"/>
      <c r="R112" s="58"/>
      <c r="S112" s="18">
        <v>254998</v>
      </c>
      <c r="W112" s="47"/>
    </row>
    <row r="113" spans="1:22" x14ac:dyDescent="0.2">
      <c r="A113" s="100" t="s">
        <v>164</v>
      </c>
      <c r="B113" s="18"/>
      <c r="C113" s="28" t="s">
        <v>75</v>
      </c>
      <c r="D113" s="4" t="s">
        <v>215</v>
      </c>
      <c r="E113" s="32">
        <f>VLOOKUP(A113,'DEK Oct 2015'!$A$1:$I$252,9,FALSE)</f>
        <v>-16133.100000000004</v>
      </c>
      <c r="F113" s="30">
        <v>0</v>
      </c>
      <c r="G113" s="130">
        <v>141.27000000000001</v>
      </c>
      <c r="H113" s="33">
        <v>0</v>
      </c>
      <c r="I113" s="117">
        <f>E113+F113+G113+H113</f>
        <v>-15991.830000000004</v>
      </c>
      <c r="J113" s="30">
        <v>0</v>
      </c>
      <c r="K113" s="123">
        <f t="shared" si="19"/>
        <v>-15991.830000000004</v>
      </c>
      <c r="M113" s="62"/>
      <c r="P113" s="51"/>
      <c r="Q113" s="18"/>
      <c r="R113" s="58"/>
      <c r="S113" s="18">
        <v>254210</v>
      </c>
    </row>
    <row r="114" spans="1:22" x14ac:dyDescent="0.2">
      <c r="B114" s="18"/>
      <c r="C114" s="28"/>
      <c r="D114" s="65"/>
      <c r="E114" s="36"/>
      <c r="F114" s="36"/>
      <c r="G114" s="150"/>
      <c r="H114" s="36"/>
      <c r="I114" s="116"/>
      <c r="J114" s="36"/>
      <c r="K114" s="116"/>
      <c r="M114" s="62"/>
      <c r="P114" s="51"/>
      <c r="Q114" s="18"/>
      <c r="R114" s="58"/>
      <c r="S114" s="18"/>
    </row>
    <row r="115" spans="1:22" x14ac:dyDescent="0.2">
      <c r="B115" s="18"/>
      <c r="C115" s="28"/>
      <c r="E115" s="33">
        <f t="shared" ref="E115" si="20">SUM(E111:E114)</f>
        <v>-16133.100000000004</v>
      </c>
      <c r="F115" s="30">
        <f t="shared" ref="F115:K115" si="21">SUM(F111:F114)</f>
        <v>0</v>
      </c>
      <c r="G115" s="30">
        <f t="shared" si="21"/>
        <v>141.27000000000001</v>
      </c>
      <c r="H115" s="30">
        <f t="shared" si="21"/>
        <v>0</v>
      </c>
      <c r="I115" s="122">
        <f t="shared" si="21"/>
        <v>-15991.830000000004</v>
      </c>
      <c r="J115" s="30">
        <f t="shared" si="21"/>
        <v>0</v>
      </c>
      <c r="K115" s="115">
        <f t="shared" si="21"/>
        <v>-15991.830000000004</v>
      </c>
      <c r="M115" s="20"/>
      <c r="N115" s="42"/>
      <c r="O115" s="42"/>
      <c r="R115" s="58"/>
      <c r="S115" s="18"/>
      <c r="T115" s="58"/>
    </row>
    <row r="116" spans="1:22" x14ac:dyDescent="0.2">
      <c r="B116" s="21" t="s">
        <v>216</v>
      </c>
      <c r="C116" s="28"/>
      <c r="E116" s="33"/>
      <c r="F116" s="30"/>
      <c r="G116" s="152"/>
      <c r="H116" s="30"/>
      <c r="I116" s="115"/>
      <c r="J116" s="30"/>
      <c r="K116" s="115"/>
      <c r="M116" s="20"/>
      <c r="N116" s="42"/>
      <c r="O116" s="42"/>
      <c r="R116" s="58"/>
      <c r="S116" s="18"/>
      <c r="T116" s="58"/>
    </row>
    <row r="117" spans="1:22" x14ac:dyDescent="0.2">
      <c r="A117" s="100" t="s">
        <v>165</v>
      </c>
      <c r="B117" s="18"/>
      <c r="C117" s="28" t="s">
        <v>45</v>
      </c>
      <c r="D117" s="4" t="s">
        <v>197</v>
      </c>
      <c r="E117" s="32">
        <f>VLOOKUP(A117,'DEK Oct 2015'!$A$1:$I$252,9,FALSE)</f>
        <v>-17373833.590000004</v>
      </c>
      <c r="F117" s="30">
        <v>0</v>
      </c>
      <c r="G117" s="129">
        <v>-57498.39</v>
      </c>
      <c r="H117" s="30">
        <v>0</v>
      </c>
      <c r="I117" s="115">
        <f t="shared" ref="I117:I122" si="22">E117+F117+G117+H117</f>
        <v>-17431331.980000004</v>
      </c>
      <c r="J117" s="30">
        <v>0</v>
      </c>
      <c r="K117" s="115">
        <f t="shared" ref="K117:K122" si="23">I117+J117</f>
        <v>-17431331.980000004</v>
      </c>
      <c r="L117" s="210" t="s">
        <v>241</v>
      </c>
      <c r="M117" s="20"/>
      <c r="N117" s="42"/>
      <c r="O117" s="42"/>
      <c r="Q117" s="225">
        <v>75086</v>
      </c>
      <c r="R117" s="58" t="s">
        <v>44</v>
      </c>
      <c r="S117" s="18">
        <v>108201</v>
      </c>
      <c r="T117" s="58"/>
    </row>
    <row r="118" spans="1:22" x14ac:dyDescent="0.2">
      <c r="A118" s="100" t="s">
        <v>166</v>
      </c>
      <c r="B118" s="18"/>
      <c r="C118" s="28" t="s">
        <v>45</v>
      </c>
      <c r="D118" s="4" t="s">
        <v>198</v>
      </c>
      <c r="E118" s="32">
        <f>VLOOKUP(A118,'DEK Oct 2015'!$A$1:$I$252,9,FALSE)</f>
        <v>-47162678.200000003</v>
      </c>
      <c r="F118" s="30">
        <v>0</v>
      </c>
      <c r="G118" s="129">
        <v>-252008.85</v>
      </c>
      <c r="H118" s="30">
        <v>0</v>
      </c>
      <c r="I118" s="115">
        <f t="shared" si="22"/>
        <v>-47414687.050000004</v>
      </c>
      <c r="J118" s="30">
        <v>0</v>
      </c>
      <c r="K118" s="115">
        <f t="shared" si="23"/>
        <v>-47414687.050000004</v>
      </c>
      <c r="L118" s="210" t="s">
        <v>242</v>
      </c>
      <c r="M118" s="20"/>
      <c r="N118" s="42"/>
      <c r="O118" s="42"/>
      <c r="R118" s="58" t="s">
        <v>44</v>
      </c>
      <c r="S118" s="18">
        <v>108301</v>
      </c>
      <c r="T118" s="58"/>
    </row>
    <row r="119" spans="1:22" x14ac:dyDescent="0.2">
      <c r="A119" s="100" t="s">
        <v>167</v>
      </c>
      <c r="B119" s="18"/>
      <c r="C119" s="28" t="s">
        <v>46</v>
      </c>
      <c r="D119" s="4" t="s">
        <v>199</v>
      </c>
      <c r="E119" s="32">
        <f>VLOOKUP(A119,'DEK Oct 2015'!$A$1:$I$252,9,FALSE)</f>
        <v>10290918.899999999</v>
      </c>
      <c r="F119" s="30">
        <v>0</v>
      </c>
      <c r="G119" s="129">
        <v>111612.35</v>
      </c>
      <c r="H119" s="30">
        <v>0</v>
      </c>
      <c r="I119" s="115">
        <f t="shared" si="22"/>
        <v>10402531.249999998</v>
      </c>
      <c r="J119" s="30">
        <v>0</v>
      </c>
      <c r="K119" s="115">
        <f>I119+J119</f>
        <v>10402531.249999998</v>
      </c>
      <c r="L119" s="210" t="s">
        <v>242</v>
      </c>
      <c r="M119" s="20"/>
      <c r="N119" s="42"/>
      <c r="O119" s="42"/>
      <c r="S119" s="18">
        <v>108410</v>
      </c>
      <c r="T119" s="58"/>
    </row>
    <row r="120" spans="1:22" x14ac:dyDescent="0.2">
      <c r="A120" s="100" t="s">
        <v>168</v>
      </c>
      <c r="B120" s="18"/>
      <c r="C120" s="28" t="s">
        <v>74</v>
      </c>
      <c r="D120" s="4" t="s">
        <v>217</v>
      </c>
      <c r="E120" s="32">
        <f>VLOOKUP(A120,'DEK Oct 2015'!$A$1:$I$252,9,FALSE)</f>
        <v>2229409.46</v>
      </c>
      <c r="F120" s="30">
        <v>0</v>
      </c>
      <c r="G120" s="129">
        <v>21069.25</v>
      </c>
      <c r="H120" s="30">
        <v>0</v>
      </c>
      <c r="I120" s="115">
        <f t="shared" si="22"/>
        <v>2250478.71</v>
      </c>
      <c r="J120" s="30">
        <v>0</v>
      </c>
      <c r="K120" s="115">
        <f>I120+J120</f>
        <v>2250478.71</v>
      </c>
      <c r="M120" s="20"/>
      <c r="N120" s="42"/>
      <c r="O120" s="42"/>
      <c r="Q120" s="4" t="s">
        <v>50</v>
      </c>
      <c r="R120" s="4" t="s">
        <v>51</v>
      </c>
      <c r="S120" s="18">
        <v>182303</v>
      </c>
      <c r="T120" s="58"/>
    </row>
    <row r="121" spans="1:22" x14ac:dyDescent="0.2">
      <c r="A121" s="100" t="s">
        <v>169</v>
      </c>
      <c r="B121" s="18"/>
      <c r="C121" s="28" t="s">
        <v>49</v>
      </c>
      <c r="D121" s="4" t="s">
        <v>218</v>
      </c>
      <c r="E121" s="32">
        <f>VLOOKUP(A121,'DEK Oct 2015'!$A$1:$I$252,9,FALSE)</f>
        <v>4267145.6500000022</v>
      </c>
      <c r="F121" s="30">
        <v>0</v>
      </c>
      <c r="G121" s="129">
        <v>22032.14</v>
      </c>
      <c r="H121" s="30">
        <v>0</v>
      </c>
      <c r="I121" s="115">
        <f t="shared" si="22"/>
        <v>4289177.7900000019</v>
      </c>
      <c r="J121" s="30">
        <v>0</v>
      </c>
      <c r="K121" s="115">
        <f t="shared" si="23"/>
        <v>4289177.7900000019</v>
      </c>
      <c r="M121" s="20"/>
      <c r="N121" s="42"/>
      <c r="O121" s="42"/>
      <c r="Q121" s="4" t="s">
        <v>50</v>
      </c>
      <c r="S121" s="18">
        <v>182304</v>
      </c>
      <c r="T121" s="58"/>
    </row>
    <row r="122" spans="1:22" x14ac:dyDescent="0.2">
      <c r="A122" s="100" t="s">
        <v>170</v>
      </c>
      <c r="B122" s="18"/>
      <c r="C122" s="28" t="s">
        <v>42</v>
      </c>
      <c r="D122" s="4" t="s">
        <v>200</v>
      </c>
      <c r="E122" s="32">
        <f>VLOOKUP(A122,'DEK Oct 2015'!$A$1:$I$252,9,FALSE)</f>
        <v>-127588.99000000002</v>
      </c>
      <c r="F122" s="30">
        <v>0</v>
      </c>
      <c r="G122" s="129">
        <v>-6112.76</v>
      </c>
      <c r="H122" s="30">
        <v>0</v>
      </c>
      <c r="I122" s="115">
        <f t="shared" si="22"/>
        <v>-133701.75000000003</v>
      </c>
      <c r="J122" s="30">
        <v>0</v>
      </c>
      <c r="K122" s="115">
        <f t="shared" si="23"/>
        <v>-133701.75000000003</v>
      </c>
      <c r="L122" s="210" t="s">
        <v>241</v>
      </c>
      <c r="M122" s="20"/>
      <c r="N122" s="42"/>
      <c r="O122" s="42"/>
      <c r="R122" s="58" t="s">
        <v>44</v>
      </c>
      <c r="S122" s="18">
        <v>108101</v>
      </c>
      <c r="T122" s="58"/>
    </row>
    <row r="123" spans="1:22" x14ac:dyDescent="0.2">
      <c r="B123" s="18"/>
      <c r="C123" s="28"/>
      <c r="E123" s="36"/>
      <c r="F123" s="36"/>
      <c r="G123" s="150"/>
      <c r="H123" s="36"/>
      <c r="I123" s="127"/>
      <c r="J123" s="68"/>
      <c r="K123" s="127"/>
      <c r="M123" s="62"/>
      <c r="P123" s="51"/>
      <c r="Q123" s="18"/>
      <c r="R123" s="58"/>
      <c r="S123" s="18">
        <v>254401</v>
      </c>
    </row>
    <row r="124" spans="1:22" x14ac:dyDescent="0.2">
      <c r="B124" s="18"/>
      <c r="C124" s="28"/>
      <c r="E124" s="33">
        <f t="shared" ref="E124:K124" si="24">SUM(E117:E123)</f>
        <v>-47876626.770000003</v>
      </c>
      <c r="F124" s="33">
        <f t="shared" si="24"/>
        <v>0</v>
      </c>
      <c r="G124" s="33">
        <f t="shared" si="24"/>
        <v>-160906.26</v>
      </c>
      <c r="H124" s="33">
        <f t="shared" si="24"/>
        <v>0</v>
      </c>
      <c r="I124" s="123">
        <f t="shared" si="24"/>
        <v>-48037533.030000009</v>
      </c>
      <c r="J124" s="33">
        <f t="shared" si="24"/>
        <v>0</v>
      </c>
      <c r="K124" s="123">
        <f t="shared" si="24"/>
        <v>-48037533.030000009</v>
      </c>
      <c r="M124" s="62"/>
      <c r="P124" s="51"/>
      <c r="Q124" s="18"/>
      <c r="R124" s="58"/>
      <c r="S124" s="18"/>
    </row>
    <row r="125" spans="1:22" ht="15" x14ac:dyDescent="0.25">
      <c r="B125" s="18"/>
      <c r="C125" s="28"/>
      <c r="D125" s="65"/>
      <c r="E125" s="33"/>
      <c r="F125" s="30"/>
      <c r="G125" s="144"/>
      <c r="H125" s="33"/>
      <c r="I125" s="126"/>
      <c r="J125" s="1"/>
      <c r="K125" s="126"/>
      <c r="L125" s="66"/>
      <c r="M125" s="67"/>
      <c r="P125" s="51"/>
      <c r="Q125" s="18"/>
      <c r="R125" s="58"/>
      <c r="S125" s="18"/>
    </row>
    <row r="126" spans="1:22" x14ac:dyDescent="0.2">
      <c r="A126" s="105" t="s">
        <v>55</v>
      </c>
      <c r="B126" s="18"/>
      <c r="C126" s="131" t="s">
        <v>55</v>
      </c>
      <c r="D126" s="132"/>
      <c r="E126" s="133">
        <f>+E100+E108+E115+E124+E105</f>
        <v>-56582529.960000001</v>
      </c>
      <c r="F126" s="133">
        <f t="shared" ref="F126:H126" si="25">+F100+F108+F115+F124+F105</f>
        <v>0</v>
      </c>
      <c r="G126" s="133">
        <f t="shared" si="25"/>
        <v>1441532.8900000001</v>
      </c>
      <c r="H126" s="133">
        <f t="shared" si="25"/>
        <v>-58053.979999999996</v>
      </c>
      <c r="I126" s="134">
        <f>+I100+I108+I115+I124+I105</f>
        <v>-55199051.050000012</v>
      </c>
      <c r="J126" s="133">
        <f>+J100+J108+J115+J124+J105</f>
        <v>0</v>
      </c>
      <c r="K126" s="134">
        <f>+K100+K108+K115+K124+K105</f>
        <v>-55199051.050000012</v>
      </c>
      <c r="M126" s="20"/>
      <c r="N126" s="69"/>
      <c r="R126" s="58"/>
      <c r="S126" s="18"/>
    </row>
    <row r="127" spans="1:22" x14ac:dyDescent="0.2">
      <c r="A127" s="105"/>
      <c r="B127" s="18"/>
      <c r="C127" s="18"/>
      <c r="D127" s="12"/>
      <c r="E127" s="221"/>
      <c r="F127" s="50"/>
      <c r="G127" s="145"/>
      <c r="H127" s="50"/>
      <c r="I127" s="122"/>
      <c r="J127" s="50"/>
      <c r="K127" s="122"/>
      <c r="M127" s="45"/>
      <c r="S127" s="18"/>
    </row>
    <row r="128" spans="1:22" x14ac:dyDescent="0.2">
      <c r="A128" s="105" t="s">
        <v>56</v>
      </c>
      <c r="B128" s="18"/>
      <c r="C128" s="18"/>
      <c r="D128" s="136" t="s">
        <v>219</v>
      </c>
      <c r="E128" s="137">
        <f>E126+E90</f>
        <v>5838040.1000000015</v>
      </c>
      <c r="F128" s="137">
        <f>F126+F90</f>
        <v>0</v>
      </c>
      <c r="G128" s="137">
        <f>G126+G90</f>
        <v>2072036.69</v>
      </c>
      <c r="H128" s="137">
        <f>H126+H90</f>
        <v>-80260.149999999994</v>
      </c>
      <c r="I128" s="138">
        <f>I90+I126</f>
        <v>7829816.6400000006</v>
      </c>
      <c r="J128" s="137">
        <f>J126+J90</f>
        <v>0</v>
      </c>
      <c r="K128" s="138">
        <f>K90+K126</f>
        <v>7829816.6399999931</v>
      </c>
      <c r="L128" s="50">
        <v>0</v>
      </c>
      <c r="M128" s="70"/>
      <c r="N128" s="70"/>
      <c r="O128" s="70"/>
      <c r="P128" s="50"/>
      <c r="Q128" s="50"/>
      <c r="R128" s="50"/>
      <c r="S128" s="18"/>
      <c r="T128" s="29">
        <f>+G128+H128+F128</f>
        <v>1991776.54</v>
      </c>
      <c r="U128" s="19">
        <v>13111056.41</v>
      </c>
      <c r="V128" s="29">
        <f>+T128-U128</f>
        <v>-11119279.870000001</v>
      </c>
    </row>
    <row r="129" spans="1:19" hidden="1" x14ac:dyDescent="0.2">
      <c r="A129" s="105"/>
      <c r="B129" s="18"/>
      <c r="C129" s="18"/>
      <c r="D129" s="12"/>
      <c r="E129" s="221"/>
      <c r="F129" s="50"/>
      <c r="G129" s="145"/>
      <c r="H129" s="50"/>
      <c r="I129" s="50"/>
      <c r="J129" s="50"/>
      <c r="K129" s="50"/>
      <c r="M129" s="45"/>
      <c r="S129" s="18"/>
    </row>
    <row r="130" spans="1:19" s="75" customFormat="1" ht="12.75" hidden="1" customHeight="1" x14ac:dyDescent="0.2">
      <c r="A130" s="107" t="s">
        <v>57</v>
      </c>
      <c r="B130" s="71"/>
      <c r="C130" s="18"/>
      <c r="D130" s="140" t="s">
        <v>57</v>
      </c>
      <c r="E130" s="223"/>
      <c r="F130" s="142"/>
      <c r="G130" s="163">
        <f>-G122-G117-G118-G119-G120-G121-G80-G16-G111-G30-G22-G53-G113-G81-G82-G108-G112-G52</f>
        <v>535307.55000000005</v>
      </c>
      <c r="H130" s="139">
        <f>-H122-H117-H118-H119-H120-H121-H80-H16-H111-H30-H22-H53-H113-H81-H82-H108-H112-H52</f>
        <v>22206.17</v>
      </c>
      <c r="I130" s="74"/>
      <c r="J130" s="74"/>
      <c r="K130" s="74"/>
      <c r="M130" s="76"/>
      <c r="N130" s="77"/>
      <c r="O130" s="77"/>
      <c r="S130" s="18"/>
    </row>
    <row r="131" spans="1:19" ht="12.75" customHeight="1" x14ac:dyDescent="0.2">
      <c r="A131" s="107"/>
      <c r="B131" s="18"/>
      <c r="C131" s="18"/>
      <c r="D131" s="72"/>
      <c r="E131" s="224"/>
      <c r="F131" s="50"/>
      <c r="G131" s="185">
        <f>G128+H128</f>
        <v>1991776.54</v>
      </c>
      <c r="H131" s="50"/>
      <c r="I131" s="50"/>
      <c r="J131" s="50"/>
      <c r="K131" s="50"/>
      <c r="M131" s="20"/>
      <c r="S131" s="18"/>
    </row>
    <row r="132" spans="1:19" ht="12.75" hidden="1" customHeight="1" x14ac:dyDescent="0.2">
      <c r="A132" s="107" t="s">
        <v>58</v>
      </c>
      <c r="B132" s="18"/>
      <c r="C132" s="71"/>
      <c r="D132" s="72" t="s">
        <v>58</v>
      </c>
      <c r="E132" s="73"/>
      <c r="F132" s="50"/>
      <c r="G132" s="145">
        <f>G128+G130</f>
        <v>2607344.2400000002</v>
      </c>
      <c r="H132" s="50">
        <f>H128+H130</f>
        <v>-58053.979999999996</v>
      </c>
      <c r="I132" s="50"/>
      <c r="J132" s="50"/>
      <c r="K132" s="50"/>
      <c r="M132" s="20"/>
      <c r="S132" s="71"/>
    </row>
    <row r="133" spans="1:19" ht="12.75" hidden="1" customHeight="1" x14ac:dyDescent="0.2">
      <c r="A133" s="107"/>
      <c r="B133" s="18"/>
      <c r="C133" s="18"/>
      <c r="D133" s="72"/>
      <c r="E133" s="73"/>
      <c r="F133" s="50"/>
      <c r="G133" s="145"/>
      <c r="H133" s="50"/>
      <c r="I133" s="50"/>
      <c r="J133" s="50"/>
      <c r="K133" s="50"/>
      <c r="M133" s="20"/>
      <c r="S133" s="18"/>
    </row>
    <row r="134" spans="1:19" ht="12.75" hidden="1" customHeight="1" x14ac:dyDescent="0.2">
      <c r="A134" s="107" t="s">
        <v>59</v>
      </c>
      <c r="B134" s="18"/>
      <c r="C134" s="18"/>
      <c r="D134" s="72" t="s">
        <v>59</v>
      </c>
      <c r="E134" s="73"/>
      <c r="F134" s="50"/>
      <c r="G134" s="145">
        <f>+G128+H128+G130+H130</f>
        <v>2549290.2599999998</v>
      </c>
      <c r="H134" s="50"/>
      <c r="I134" s="50"/>
      <c r="J134" s="50"/>
      <c r="K134" s="50"/>
      <c r="M134" s="20"/>
      <c r="S134" s="18"/>
    </row>
    <row r="135" spans="1:19" hidden="1" x14ac:dyDescent="0.2">
      <c r="B135" s="18"/>
      <c r="C135" s="18"/>
      <c r="E135" s="29"/>
      <c r="F135" s="19"/>
      <c r="G135" s="148"/>
      <c r="H135" s="19"/>
      <c r="I135" s="19"/>
      <c r="J135" s="19"/>
      <c r="K135" s="19"/>
      <c r="M135" s="20"/>
      <c r="S135" s="18"/>
    </row>
    <row r="136" spans="1:19" hidden="1" x14ac:dyDescent="0.2">
      <c r="A136" s="109" t="s">
        <v>60</v>
      </c>
      <c r="B136" s="18"/>
      <c r="C136" s="18"/>
      <c r="D136" s="78" t="s">
        <v>60</v>
      </c>
      <c r="E136" s="79"/>
      <c r="F136" s="80"/>
      <c r="G136" s="164"/>
      <c r="H136" s="80"/>
      <c r="I136" s="81"/>
      <c r="J136" s="81"/>
      <c r="K136" s="81"/>
      <c r="M136" s="20"/>
      <c r="S136" s="18"/>
    </row>
    <row r="137" spans="1:19" hidden="1" x14ac:dyDescent="0.2">
      <c r="A137" s="109" t="s">
        <v>138</v>
      </c>
      <c r="B137" s="18"/>
      <c r="C137" s="18"/>
      <c r="D137" s="82" t="s">
        <v>138</v>
      </c>
      <c r="E137" s="32">
        <v>0</v>
      </c>
      <c r="F137" s="32">
        <f>+F86+F87</f>
        <v>0</v>
      </c>
      <c r="G137" s="157"/>
      <c r="H137" s="32">
        <f>+H86+H87</f>
        <v>0</v>
      </c>
      <c r="I137" s="84">
        <f>+I86+I87</f>
        <v>0</v>
      </c>
      <c r="J137" s="84">
        <f>+J86+J87</f>
        <v>0</v>
      </c>
      <c r="K137" s="84">
        <f>+K86+K87</f>
        <v>0</v>
      </c>
      <c r="M137" s="20"/>
      <c r="S137" s="18"/>
    </row>
    <row r="138" spans="1:19" hidden="1" x14ac:dyDescent="0.2">
      <c r="A138" s="109" t="s">
        <v>140</v>
      </c>
      <c r="B138" s="18"/>
      <c r="C138" s="18"/>
      <c r="D138" s="82" t="s">
        <v>140</v>
      </c>
      <c r="E138" s="83">
        <f>+E12</f>
        <v>-1.1641532182693481E-9</v>
      </c>
      <c r="F138" s="32">
        <f>+F87+F88</f>
        <v>0</v>
      </c>
      <c r="G138" s="165"/>
      <c r="H138" s="83"/>
      <c r="I138" s="84">
        <f>+I12</f>
        <v>-1.1641532182693481E-9</v>
      </c>
      <c r="J138" s="84">
        <f>+J12</f>
        <v>0</v>
      </c>
      <c r="K138" s="84">
        <f>+K12</f>
        <v>-1.1641532182693481E-9</v>
      </c>
      <c r="M138" s="20"/>
      <c r="S138" s="18"/>
    </row>
    <row r="139" spans="1:19" hidden="1" x14ac:dyDescent="0.2">
      <c r="A139" s="109" t="s">
        <v>142</v>
      </c>
      <c r="B139" s="18"/>
      <c r="C139" s="18"/>
      <c r="D139" s="82" t="s">
        <v>142</v>
      </c>
      <c r="E139" s="83">
        <f>+E19</f>
        <v>2083963.81</v>
      </c>
      <c r="F139" s="32">
        <f t="shared" ref="F139:F144" si="26">+F88+F89</f>
        <v>0</v>
      </c>
      <c r="G139" s="165"/>
      <c r="H139" s="83"/>
      <c r="I139" s="84">
        <f>+I19</f>
        <v>2083963.81</v>
      </c>
      <c r="J139" s="84">
        <f>+J19</f>
        <v>3050469.04</v>
      </c>
      <c r="K139" s="84">
        <f>+K19</f>
        <v>5134432.8499999996</v>
      </c>
      <c r="M139" s="20"/>
      <c r="S139" s="18"/>
    </row>
    <row r="140" spans="1:19" hidden="1" x14ac:dyDescent="0.2">
      <c r="A140" s="109" t="s">
        <v>141</v>
      </c>
      <c r="B140" s="18"/>
      <c r="C140" s="18"/>
      <c r="D140" s="82" t="s">
        <v>141</v>
      </c>
      <c r="E140" s="83">
        <f>+E24</f>
        <v>1765792.1500000011</v>
      </c>
      <c r="F140" s="32">
        <f t="shared" si="26"/>
        <v>0</v>
      </c>
      <c r="G140" s="165"/>
      <c r="H140" s="83"/>
      <c r="I140" s="84">
        <f>+I24</f>
        <v>1743585.9800000011</v>
      </c>
      <c r="J140" s="84">
        <f>+J24</f>
        <v>-266474.03999999998</v>
      </c>
      <c r="K140" s="84">
        <f>+K24</f>
        <v>1477111.9400000011</v>
      </c>
      <c r="M140" s="20"/>
      <c r="S140" s="18"/>
    </row>
    <row r="141" spans="1:19" hidden="1" x14ac:dyDescent="0.2">
      <c r="A141" s="109" t="s">
        <v>61</v>
      </c>
      <c r="B141" s="18"/>
      <c r="C141" s="18"/>
      <c r="D141" s="82" t="s">
        <v>61</v>
      </c>
      <c r="E141" s="32">
        <f>+E30</f>
        <v>1100013.2</v>
      </c>
      <c r="F141" s="32">
        <f t="shared" si="26"/>
        <v>0</v>
      </c>
      <c r="G141" s="157"/>
      <c r="H141" s="32"/>
      <c r="I141" s="84">
        <f>+I30</f>
        <v>1284040.2</v>
      </c>
      <c r="J141" s="84">
        <f>+J30</f>
        <v>0</v>
      </c>
      <c r="K141" s="84">
        <f>+K30</f>
        <v>1284040.2</v>
      </c>
      <c r="M141" s="20"/>
      <c r="S141" s="18"/>
    </row>
    <row r="142" spans="1:19" hidden="1" x14ac:dyDescent="0.2">
      <c r="A142" s="109" t="s">
        <v>143</v>
      </c>
      <c r="B142" s="18"/>
      <c r="C142" s="18"/>
      <c r="D142" s="82" t="s">
        <v>143</v>
      </c>
      <c r="E142" s="32">
        <f>+E76</f>
        <v>32665491.859999999</v>
      </c>
      <c r="F142" s="32">
        <f t="shared" si="26"/>
        <v>0</v>
      </c>
      <c r="G142" s="157"/>
      <c r="H142" s="32"/>
      <c r="I142" s="84">
        <f>+I76</f>
        <v>33324797.660000004</v>
      </c>
      <c r="J142" s="84">
        <f>+J76</f>
        <v>-2783995</v>
      </c>
      <c r="K142" s="84">
        <f>+K76</f>
        <v>30540802.660000004</v>
      </c>
      <c r="M142" s="20"/>
      <c r="S142" s="18"/>
    </row>
    <row r="143" spans="1:19" hidden="1" x14ac:dyDescent="0.2">
      <c r="A143" s="109" t="s">
        <v>151</v>
      </c>
      <c r="B143" s="18"/>
      <c r="C143" s="18"/>
      <c r="D143" s="82" t="s">
        <v>151</v>
      </c>
      <c r="E143" s="32">
        <f>+E84</f>
        <v>24805309.040000003</v>
      </c>
      <c r="F143" s="32">
        <f t="shared" si="26"/>
        <v>0</v>
      </c>
      <c r="G143" s="157"/>
      <c r="H143" s="32"/>
      <c r="I143" s="84">
        <f>+I84</f>
        <v>24592480.040000003</v>
      </c>
      <c r="J143" s="84">
        <f>+J84</f>
        <v>0</v>
      </c>
      <c r="K143" s="84">
        <f>+K84</f>
        <v>24592480.040000003</v>
      </c>
      <c r="M143" s="20"/>
      <c r="S143" s="18"/>
    </row>
    <row r="144" spans="1:19" hidden="1" x14ac:dyDescent="0.2">
      <c r="A144" s="109" t="s">
        <v>62</v>
      </c>
      <c r="B144" s="18"/>
      <c r="C144" s="18"/>
      <c r="D144" s="82" t="s">
        <v>62</v>
      </c>
      <c r="E144" s="32">
        <v>0</v>
      </c>
      <c r="F144" s="32">
        <f t="shared" si="26"/>
        <v>0</v>
      </c>
      <c r="G144" s="157"/>
      <c r="H144" s="32"/>
      <c r="I144" s="84">
        <v>0</v>
      </c>
      <c r="J144" s="84">
        <v>0</v>
      </c>
      <c r="K144" s="84">
        <v>0</v>
      </c>
      <c r="M144" s="20"/>
      <c r="S144" s="18"/>
    </row>
    <row r="145" spans="1:19" hidden="1" x14ac:dyDescent="0.2">
      <c r="A145" s="109" t="s">
        <v>152</v>
      </c>
      <c r="B145" s="18"/>
      <c r="C145" s="18"/>
      <c r="D145" s="82" t="s">
        <v>152</v>
      </c>
      <c r="E145" s="32">
        <f>+E100</f>
        <v>-5184971.4600000009</v>
      </c>
      <c r="F145" s="32" t="e">
        <f>+F94+#REF!</f>
        <v>#REF!</v>
      </c>
      <c r="G145" s="157"/>
      <c r="H145" s="32"/>
      <c r="I145" s="84">
        <f>+I100</f>
        <v>-3673755.56</v>
      </c>
      <c r="J145" s="84">
        <f>+J100</f>
        <v>0</v>
      </c>
      <c r="K145" s="84">
        <f>+K100</f>
        <v>-3673755.56</v>
      </c>
      <c r="M145" s="20"/>
      <c r="S145" s="18"/>
    </row>
    <row r="146" spans="1:19" hidden="1" x14ac:dyDescent="0.2">
      <c r="A146" s="109"/>
      <c r="B146" s="18"/>
      <c r="C146" s="18"/>
      <c r="D146" s="82" t="s">
        <v>189</v>
      </c>
      <c r="E146" s="32">
        <f>E105</f>
        <v>0</v>
      </c>
      <c r="F146" s="32"/>
      <c r="G146" s="157"/>
      <c r="H146" s="32"/>
      <c r="I146" s="84">
        <f>I105</f>
        <v>0</v>
      </c>
      <c r="J146" s="84">
        <f>J105</f>
        <v>0</v>
      </c>
      <c r="K146" s="84">
        <f>K105</f>
        <v>0</v>
      </c>
      <c r="M146" s="20"/>
      <c r="S146" s="18"/>
    </row>
    <row r="147" spans="1:19" hidden="1" x14ac:dyDescent="0.2">
      <c r="A147" s="109" t="s">
        <v>154</v>
      </c>
      <c r="B147" s="18"/>
      <c r="C147" s="18"/>
      <c r="D147" s="82" t="s">
        <v>154</v>
      </c>
      <c r="E147" s="32">
        <f>+E108</f>
        <v>-3504798.63</v>
      </c>
      <c r="F147" s="32" t="e">
        <f>+#REF!+#REF!</f>
        <v>#REF!</v>
      </c>
      <c r="G147" s="157"/>
      <c r="H147" s="32"/>
      <c r="I147" s="84">
        <f>+I108</f>
        <v>-3471770.63</v>
      </c>
      <c r="J147" s="84">
        <f>+J108</f>
        <v>0</v>
      </c>
      <c r="K147" s="84">
        <f>+K108</f>
        <v>-3471770.63</v>
      </c>
      <c r="M147" s="20"/>
      <c r="S147" s="18"/>
    </row>
    <row r="148" spans="1:19" hidden="1" x14ac:dyDescent="0.2">
      <c r="A148" s="109" t="s">
        <v>153</v>
      </c>
      <c r="B148" s="18"/>
      <c r="C148" s="18"/>
      <c r="D148" s="82" t="s">
        <v>153</v>
      </c>
      <c r="E148" s="32">
        <f>+E115</f>
        <v>-16133.100000000004</v>
      </c>
      <c r="F148" s="32" t="e">
        <f>+#REF!+F95</f>
        <v>#REF!</v>
      </c>
      <c r="G148" s="157"/>
      <c r="H148" s="32"/>
      <c r="I148" s="84">
        <f>+I115</f>
        <v>-15991.830000000004</v>
      </c>
      <c r="J148" s="84">
        <f>+J115</f>
        <v>0</v>
      </c>
      <c r="K148" s="84">
        <f>+K115</f>
        <v>-15991.830000000004</v>
      </c>
      <c r="M148" s="20"/>
      <c r="S148" s="18"/>
    </row>
    <row r="149" spans="1:19" hidden="1" x14ac:dyDescent="0.2">
      <c r="A149" s="109" t="s">
        <v>155</v>
      </c>
      <c r="B149" s="18"/>
      <c r="C149" s="18"/>
      <c r="D149" s="82" t="s">
        <v>155</v>
      </c>
      <c r="E149" s="32">
        <f>+E124</f>
        <v>-47876626.770000003</v>
      </c>
      <c r="F149" s="32">
        <f t="shared" ref="F149" si="27">+F95+F96</f>
        <v>0</v>
      </c>
      <c r="G149" s="157"/>
      <c r="H149" s="32"/>
      <c r="I149" s="84">
        <f>+I124</f>
        <v>-48037533.030000009</v>
      </c>
      <c r="J149" s="84">
        <f>+J124</f>
        <v>0</v>
      </c>
      <c r="K149" s="84">
        <f>+K124</f>
        <v>-48037533.030000009</v>
      </c>
      <c r="M149" s="20"/>
      <c r="S149" s="18"/>
    </row>
    <row r="150" spans="1:19" hidden="1" x14ac:dyDescent="0.2">
      <c r="A150" s="109"/>
      <c r="B150" s="18"/>
      <c r="C150" s="18"/>
      <c r="D150" s="85"/>
      <c r="E150" s="83"/>
      <c r="F150" s="83"/>
      <c r="G150" s="165"/>
      <c r="H150" s="83"/>
      <c r="I150" s="86"/>
      <c r="J150" s="86"/>
      <c r="K150" s="86"/>
      <c r="M150" s="20"/>
      <c r="S150" s="18"/>
    </row>
    <row r="151" spans="1:19" hidden="1" x14ac:dyDescent="0.2">
      <c r="A151" s="109" t="s">
        <v>121</v>
      </c>
      <c r="B151" s="18"/>
      <c r="C151" s="18"/>
      <c r="D151" s="87" t="s">
        <v>121</v>
      </c>
      <c r="E151" s="88">
        <f>SUM(E137:E150)</f>
        <v>5838040.099999994</v>
      </c>
      <c r="F151" s="88" t="e">
        <f>SUM(F141:F150)</f>
        <v>#REF!</v>
      </c>
      <c r="G151" s="166"/>
      <c r="H151" s="88"/>
      <c r="I151" s="89">
        <f>SUM(I137:I150)</f>
        <v>7829816.6400000006</v>
      </c>
      <c r="J151" s="89">
        <f>SUM(J137:J150)</f>
        <v>0</v>
      </c>
      <c r="K151" s="89">
        <f>SUM(K137:K150)</f>
        <v>7829816.6400000006</v>
      </c>
      <c r="M151" s="20"/>
      <c r="S151" s="18"/>
    </row>
    <row r="152" spans="1:19" hidden="1" x14ac:dyDescent="0.2">
      <c r="B152" s="18"/>
      <c r="C152" s="18"/>
      <c r="F152" s="19"/>
      <c r="G152" s="148"/>
      <c r="H152" s="19"/>
      <c r="I152" s="19"/>
      <c r="J152" s="19"/>
      <c r="K152" s="19"/>
      <c r="M152" s="20"/>
      <c r="S152" s="18"/>
    </row>
    <row r="153" spans="1:19" hidden="1" x14ac:dyDescent="0.2">
      <c r="B153" s="18"/>
      <c r="C153" s="18"/>
      <c r="E153" s="19">
        <f>+E151-E128</f>
        <v>-7.4505805969238281E-9</v>
      </c>
      <c r="F153" s="19"/>
      <c r="G153" s="148"/>
      <c r="H153" s="19"/>
      <c r="I153" s="19">
        <f>+I151-I128</f>
        <v>0</v>
      </c>
      <c r="J153" s="19">
        <f>+J151-J128</f>
        <v>0</v>
      </c>
      <c r="K153" s="19">
        <f>+K151-K128</f>
        <v>7.4505805969238281E-9</v>
      </c>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48"/>
      <c r="H155" s="19"/>
      <c r="I155" s="19"/>
      <c r="J155" s="19"/>
      <c r="K155" s="19"/>
      <c r="M155" s="20"/>
      <c r="S155" s="18"/>
    </row>
    <row r="156" spans="1:19" hidden="1" x14ac:dyDescent="0.2">
      <c r="B156" s="18"/>
      <c r="C156" s="18"/>
      <c r="F156" s="19"/>
      <c r="G156" s="148"/>
      <c r="H156" s="19"/>
      <c r="I156" s="19"/>
      <c r="J156" s="19"/>
      <c r="K156" s="19"/>
      <c r="M156" s="20"/>
      <c r="S156" s="18"/>
    </row>
    <row r="157" spans="1:19" hidden="1" x14ac:dyDescent="0.2">
      <c r="A157" s="100" t="s">
        <v>63</v>
      </c>
      <c r="B157" s="18"/>
      <c r="C157" s="18"/>
      <c r="D157" s="4" t="s">
        <v>63</v>
      </c>
      <c r="F157" s="19"/>
      <c r="G157" s="148">
        <f>+G34+G42+G44+G46+G48+G79+G57+G59+G15+G50+G66+G55+G65</f>
        <v>0</v>
      </c>
      <c r="H157" s="19">
        <f>+H34+H52+H42+H44+H46+H48+H79+H57+H59+H15+H50+H66+H55</f>
        <v>0</v>
      </c>
      <c r="I157" s="19"/>
      <c r="J157" s="19"/>
      <c r="K157" s="19"/>
      <c r="M157" s="20"/>
      <c r="S157" s="18"/>
    </row>
    <row r="158" spans="1:19" hidden="1" x14ac:dyDescent="0.2">
      <c r="A158" s="100" t="s">
        <v>64</v>
      </c>
      <c r="B158" s="18"/>
      <c r="C158" s="18"/>
      <c r="D158" s="34" t="s">
        <v>64</v>
      </c>
      <c r="F158" s="19"/>
      <c r="G158" s="148">
        <f>+G9+G86+G10</f>
        <v>0</v>
      </c>
      <c r="H158" s="19">
        <f>+H9+H86+H10</f>
        <v>0</v>
      </c>
      <c r="I158" s="19"/>
      <c r="J158" s="19"/>
      <c r="K158" s="19"/>
      <c r="M158" s="20"/>
      <c r="S158" s="18"/>
    </row>
    <row r="159" spans="1:19" hidden="1" x14ac:dyDescent="0.2">
      <c r="A159" s="100" t="s">
        <v>65</v>
      </c>
      <c r="B159" s="18"/>
      <c r="C159" s="18"/>
      <c r="D159" s="34" t="s">
        <v>65</v>
      </c>
      <c r="F159" s="19"/>
      <c r="G159" s="148">
        <f>+G94+G95+G96+G97+G93+G98</f>
        <v>1569269.8800000001</v>
      </c>
      <c r="H159" s="19">
        <f>+H94+H95+H96+H97+H93</f>
        <v>-58053.979999999996</v>
      </c>
      <c r="I159" s="19"/>
      <c r="J159" s="19"/>
      <c r="K159" s="19"/>
      <c r="M159" s="20"/>
      <c r="S159" s="18"/>
    </row>
    <row r="160" spans="1:19" hidden="1" x14ac:dyDescent="0.2">
      <c r="B160" s="18"/>
      <c r="C160" s="18"/>
      <c r="F160" s="19"/>
      <c r="G160" s="148"/>
      <c r="H160" s="19"/>
      <c r="I160" s="19"/>
      <c r="J160" s="19"/>
      <c r="K160" s="19"/>
      <c r="M160" s="20"/>
      <c r="S160" s="18"/>
    </row>
    <row r="161" spans="1:19" hidden="1" x14ac:dyDescent="0.2">
      <c r="B161" s="18"/>
      <c r="C161" s="18"/>
      <c r="F161" s="19"/>
      <c r="G161" s="167">
        <f>+G157+G158+G159-G132</f>
        <v>-1038074.3600000001</v>
      </c>
      <c r="H161" s="110">
        <f>+H157+H158+H159-H132</f>
        <v>0</v>
      </c>
      <c r="I161" s="19"/>
      <c r="J161" s="19"/>
      <c r="K161" s="19"/>
      <c r="M161" s="20"/>
      <c r="S161" s="18"/>
    </row>
    <row r="162" spans="1:19" hidden="1" x14ac:dyDescent="0.2">
      <c r="B162" s="18"/>
      <c r="C162" s="18"/>
      <c r="F162" s="19"/>
      <c r="H162" s="29">
        <f>+H158+H159+H157+G157+G158+G159</f>
        <v>1511215.9000000001</v>
      </c>
      <c r="I162" s="19"/>
      <c r="J162" s="19"/>
      <c r="K162" s="19"/>
      <c r="M162" s="20"/>
      <c r="S162" s="18"/>
    </row>
    <row r="163" spans="1:19" hidden="1" x14ac:dyDescent="0.2">
      <c r="B163" s="18"/>
      <c r="C163" s="18"/>
      <c r="F163" s="19"/>
      <c r="G163" s="148"/>
      <c r="H163" s="29">
        <f>+H162-G132-H132</f>
        <v>-1038074.3600000001</v>
      </c>
      <c r="I163" s="19"/>
      <c r="J163" s="19"/>
      <c r="K163" s="19"/>
      <c r="M163" s="20"/>
      <c r="S163" s="18"/>
    </row>
    <row r="164" spans="1:19" x14ac:dyDescent="0.2">
      <c r="B164" s="18"/>
      <c r="C164" s="18"/>
      <c r="F164" s="19"/>
      <c r="G164" s="148"/>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A166" s="101" t="s">
        <v>144</v>
      </c>
      <c r="B166" s="18"/>
      <c r="C166" s="18"/>
      <c r="D166" s="22" t="s">
        <v>144</v>
      </c>
      <c r="E166" s="4" t="s">
        <v>121</v>
      </c>
      <c r="F166" s="19" t="s">
        <v>147</v>
      </c>
      <c r="G166" s="148" t="s">
        <v>148</v>
      </c>
      <c r="H166" s="19"/>
      <c r="I166" s="19"/>
      <c r="J166" s="19"/>
      <c r="K166" s="19"/>
      <c r="M166" s="20"/>
      <c r="S166" s="18"/>
    </row>
    <row r="167" spans="1:19" ht="12.75" hidden="1" customHeight="1" x14ac:dyDescent="0.2">
      <c r="A167" s="101" t="s">
        <v>145</v>
      </c>
      <c r="B167" s="18"/>
      <c r="C167" s="18"/>
      <c r="D167" s="22" t="s">
        <v>145</v>
      </c>
      <c r="E167" s="19">
        <v>19066028.010000002</v>
      </c>
      <c r="F167" s="19">
        <v>62319564.710000008</v>
      </c>
      <c r="G167" s="148">
        <v>-43253536.700000003</v>
      </c>
      <c r="H167" s="19"/>
      <c r="I167" s="19"/>
      <c r="J167" s="19"/>
      <c r="K167" s="19"/>
      <c r="M167" s="20"/>
      <c r="S167" s="18"/>
    </row>
    <row r="168" spans="1:19" ht="12.75" hidden="1" customHeight="1" x14ac:dyDescent="0.2">
      <c r="A168" s="101" t="s">
        <v>146</v>
      </c>
      <c r="B168" s="18"/>
      <c r="C168" s="18"/>
      <c r="D168" s="22" t="s">
        <v>146</v>
      </c>
      <c r="F168" s="19"/>
      <c r="G168" s="148"/>
      <c r="H168" s="19"/>
      <c r="I168" s="19"/>
      <c r="J168" s="19"/>
      <c r="K168" s="19"/>
      <c r="M168" s="20"/>
      <c r="S168" s="18"/>
    </row>
    <row r="169" spans="1:19" ht="12.75" hidden="1" customHeight="1" x14ac:dyDescent="0.2">
      <c r="A169" s="100" t="s">
        <v>149</v>
      </c>
      <c r="B169" s="18"/>
      <c r="C169" s="18"/>
      <c r="D169" s="4" t="s">
        <v>149</v>
      </c>
      <c r="E169" s="29">
        <f>SUM(F169:G169)</f>
        <v>905563</v>
      </c>
      <c r="F169" s="19">
        <v>905563</v>
      </c>
      <c r="G169" s="148"/>
      <c r="H169" s="19"/>
      <c r="I169" s="19"/>
      <c r="J169" s="19"/>
      <c r="K169" s="19"/>
      <c r="M169" s="20"/>
      <c r="S169" s="18"/>
    </row>
    <row r="170" spans="1:19" ht="12.75" hidden="1" customHeight="1" x14ac:dyDescent="0.2">
      <c r="A170" s="100" t="s">
        <v>150</v>
      </c>
      <c r="B170" s="18"/>
      <c r="C170" s="18"/>
      <c r="D170" s="4" t="s">
        <v>150</v>
      </c>
      <c r="E170" s="29">
        <f>SUM(F170:G170)</f>
        <v>-905563</v>
      </c>
      <c r="G170" s="148">
        <v>-905563</v>
      </c>
      <c r="H170" s="19"/>
      <c r="I170" s="19"/>
      <c r="J170" s="19"/>
      <c r="K170" s="19"/>
      <c r="M170" s="20"/>
      <c r="S170" s="18"/>
    </row>
    <row r="171" spans="1:19" ht="12.75" hidden="1" customHeight="1" x14ac:dyDescent="0.2">
      <c r="B171" s="18"/>
      <c r="C171" s="18"/>
      <c r="F171" s="19"/>
      <c r="G171" s="148"/>
      <c r="H171" s="19"/>
      <c r="I171" s="19"/>
      <c r="J171" s="19"/>
      <c r="K171" s="19"/>
      <c r="M171" s="20"/>
      <c r="S171" s="18"/>
    </row>
    <row r="172" spans="1:19" ht="12.75" hidden="1" customHeight="1" x14ac:dyDescent="0.2">
      <c r="B172" s="18"/>
      <c r="C172" s="18"/>
      <c r="E172" s="94"/>
      <c r="F172" s="95"/>
      <c r="G172" s="169"/>
      <c r="H172" s="19"/>
      <c r="I172" s="19"/>
      <c r="J172" s="19"/>
      <c r="K172" s="19"/>
      <c r="M172" s="20"/>
      <c r="S172" s="18"/>
    </row>
    <row r="173" spans="1:19" ht="12.75" hidden="1" customHeight="1" x14ac:dyDescent="0.2">
      <c r="B173" s="18"/>
      <c r="C173" s="18"/>
      <c r="E173" s="29">
        <f>SUM(E167:E172)</f>
        <v>19066028.010000002</v>
      </c>
      <c r="F173" s="29">
        <f>SUM(F167:F172)</f>
        <v>63225127.710000008</v>
      </c>
      <c r="G173" s="151">
        <f>SUM(G167:G172)</f>
        <v>-44159099.700000003</v>
      </c>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B182" s="18"/>
      <c r="C182" s="18"/>
      <c r="F182" s="19"/>
      <c r="G182" s="148"/>
      <c r="H182" s="19"/>
      <c r="I182" s="19"/>
      <c r="J182" s="19"/>
      <c r="K182" s="19"/>
      <c r="M182" s="20"/>
      <c r="S182" s="18"/>
    </row>
    <row r="183" spans="1:19" x14ac:dyDescent="0.2">
      <c r="B183" s="18"/>
      <c r="C183" s="18"/>
      <c r="F183" s="19"/>
      <c r="G183" s="148"/>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C244" s="18"/>
      <c r="F244" s="19"/>
      <c r="G244" s="148"/>
      <c r="H244" s="19"/>
      <c r="I244" s="19"/>
      <c r="J244" s="19"/>
      <c r="K244" s="19"/>
      <c r="M244" s="20"/>
      <c r="S244" s="18"/>
    </row>
    <row r="245" spans="1:22" x14ac:dyDescent="0.2">
      <c r="C245" s="18"/>
      <c r="F245" s="19"/>
      <c r="G245" s="148"/>
      <c r="H245" s="19"/>
      <c r="I245" s="19"/>
      <c r="J245" s="19"/>
      <c r="K245" s="19"/>
      <c r="M245" s="20"/>
      <c r="S245" s="18"/>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x14ac:dyDescent="0.2">
      <c r="H294" s="19"/>
    </row>
  </sheetData>
  <mergeCells count="1">
    <mergeCell ref="Q5:R5"/>
  </mergeCells>
  <conditionalFormatting sqref="H161 G163">
    <cfRule type="cellIs" dxfId="26"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35" min="1" max="1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9"/>
  <sheetViews>
    <sheetView topLeftCell="A79" zoomScale="80" zoomScaleNormal="80" workbookViewId="0">
      <selection activeCell="E15" sqref="E15"/>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7.1406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576" t="s">
        <v>10</v>
      </c>
      <c r="R5" s="576"/>
      <c r="U5" s="12" t="s">
        <v>11</v>
      </c>
    </row>
    <row r="6" spans="1:22" x14ac:dyDescent="0.2">
      <c r="E6" s="218">
        <v>42338</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Nov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Nov 2015'!$A$1:$I$252,9,FALSE)</f>
        <v>0</v>
      </c>
      <c r="F10" s="33">
        <v>0</v>
      </c>
      <c r="G10" s="130">
        <v>578872.6</v>
      </c>
      <c r="H10" s="33">
        <v>0</v>
      </c>
      <c r="I10" s="115">
        <f>E10+F10+G10+H10</f>
        <v>578872.6</v>
      </c>
      <c r="J10" s="30">
        <v>0</v>
      </c>
      <c r="K10" s="115">
        <f>I10+J10</f>
        <v>578872.6</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578872.6</v>
      </c>
      <c r="H12" s="29">
        <f t="shared" si="0"/>
        <v>0</v>
      </c>
      <c r="I12" s="117">
        <f t="shared" si="0"/>
        <v>578872.59999999881</v>
      </c>
      <c r="J12" s="29">
        <f t="shared" si="0"/>
        <v>0</v>
      </c>
      <c r="K12" s="117">
        <f>SUM(K9:K10)</f>
        <v>578872.59999999881</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Nov 2015'!$A$1:$I$252,9,FALSE)</f>
        <v>787310.81</v>
      </c>
      <c r="F15" s="30">
        <v>0</v>
      </c>
      <c r="G15" s="130">
        <v>-301300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Nov 2015'!$A$1:$I$252,9,FALSE)</f>
        <v>1296653</v>
      </c>
      <c r="F16" s="30">
        <v>0</v>
      </c>
      <c r="G16" s="130">
        <v>143493</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Nov 2015'!$A$1:$I$252,9,FALSE)</f>
        <v>0</v>
      </c>
      <c r="F17" s="30">
        <v>0</v>
      </c>
      <c r="G17" s="33">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-157807</v>
      </c>
      <c r="H19" s="29">
        <f t="shared" si="2"/>
        <v>0</v>
      </c>
      <c r="I19" s="123">
        <f t="shared" si="2"/>
        <v>1926156.81</v>
      </c>
      <c r="J19" s="49">
        <f t="shared" si="2"/>
        <v>6374089.7999999998</v>
      </c>
      <c r="K19" s="123">
        <f t="shared" si="2"/>
        <v>8300246.6099999994</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Nov 2015'!$A$1:$I$252,9,FALSE)</f>
        <v>1743585.9800000011</v>
      </c>
      <c r="F22" s="33">
        <v>0</v>
      </c>
      <c r="G22" s="33">
        <v>0</v>
      </c>
      <c r="H22" s="130">
        <v>-22206.15</v>
      </c>
      <c r="I22" s="115">
        <f>E22+F22+G22+H22</f>
        <v>1721379.8300000012</v>
      </c>
      <c r="J22" s="33">
        <v>-266473.8</v>
      </c>
      <c r="K22" s="115">
        <f>I22+J22</f>
        <v>1454906.0300000012</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1743585.9800000011</v>
      </c>
      <c r="F24" s="29">
        <f t="shared" ref="F24:K24" si="3">SUM(F22:F23)</f>
        <v>0</v>
      </c>
      <c r="G24" s="29">
        <f t="shared" si="3"/>
        <v>0</v>
      </c>
      <c r="H24" s="29">
        <f t="shared" si="3"/>
        <v>-22206.15</v>
      </c>
      <c r="I24" s="123">
        <f t="shared" si="3"/>
        <v>1721379.8300000012</v>
      </c>
      <c r="J24" s="49">
        <f t="shared" si="3"/>
        <v>-266473.8</v>
      </c>
      <c r="K24" s="123">
        <f t="shared" si="3"/>
        <v>1454906.0300000012</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Nov 2015'!$A$1:$I$252,9,FALSE)</f>
        <v>1786301</v>
      </c>
      <c r="F27" s="33">
        <v>0</v>
      </c>
      <c r="G27" s="130">
        <v>178962</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VLOOKUP(A28,'DEK Nov 2015'!$A$1:$I$252,9,FALSE)</f>
        <v>-502260.80000000005</v>
      </c>
      <c r="F28" s="33">
        <v>0</v>
      </c>
      <c r="G28" s="130">
        <v>-3289420</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1284040.2</v>
      </c>
      <c r="F30" s="44">
        <f t="shared" ref="F30:K30" si="4">SUM(F27:F28)</f>
        <v>0</v>
      </c>
      <c r="G30" s="33">
        <f t="shared" si="4"/>
        <v>-3110458</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Nov 2015'!$A$1:$I$252,9,FALSE)</f>
        <v>7151131.2400000012</v>
      </c>
      <c r="F52" s="33">
        <v>0</v>
      </c>
      <c r="G52" s="130">
        <v>-488277.26</v>
      </c>
      <c r="H52" s="33">
        <v>0</v>
      </c>
      <c r="I52" s="115">
        <f>E52+F52+G52+H52</f>
        <v>6662853.9800000014</v>
      </c>
      <c r="J52" s="33">
        <v>-6107616</v>
      </c>
      <c r="K52" s="115">
        <f>I52+J52</f>
        <v>555237.98000000138</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Nov 2015'!$A$1:$I$252,9,FALSE)</f>
        <v>5829987</v>
      </c>
      <c r="F53" s="33">
        <v>0</v>
      </c>
      <c r="G53" s="130">
        <v>-94200</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Nov 2015'!$A$1:$I$252,9,FALSE)</f>
        <v>1350000</v>
      </c>
      <c r="F59" s="33">
        <v>0</v>
      </c>
      <c r="G59" s="130">
        <v>50000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Nov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Nov 2015'!$A$1:$I$252,9,FALSE)</f>
        <v>10988078.919999998</v>
      </c>
      <c r="F67" s="172"/>
      <c r="G67" s="130">
        <v>1194448.79</v>
      </c>
      <c r="H67" s="172"/>
      <c r="I67" s="115">
        <f t="shared" si="5"/>
        <v>12182527.709999997</v>
      </c>
      <c r="J67" s="172"/>
      <c r="K67" s="115">
        <f t="shared" si="6"/>
        <v>12182527.709999997</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Nov 2015'!$A$1:$I$252,9,FALSE)</f>
        <v>-839085.66</v>
      </c>
      <c r="F69" s="172"/>
      <c r="G69" s="130">
        <v>839085.66</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c r="F71" s="172"/>
      <c r="G71" s="130">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A73" s="100" t="s">
        <v>257</v>
      </c>
      <c r="B73" s="28"/>
      <c r="C73" s="28" t="s">
        <v>256</v>
      </c>
      <c r="D73" s="4" t="s">
        <v>257</v>
      </c>
      <c r="E73" s="32"/>
      <c r="F73" s="172"/>
      <c r="G73" s="130">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Nov 2015'!$A$1:$I$252,9,FALSE)</f>
        <v>3931814.74</v>
      </c>
      <c r="F75" s="172"/>
      <c r="G75" s="130">
        <v>350585.78</v>
      </c>
      <c r="H75" s="33"/>
      <c r="I75" s="115">
        <f t="shared" ref="I75" si="7">E75+F75+G75+H75</f>
        <v>4282400.5200000005</v>
      </c>
      <c r="J75" s="33"/>
      <c r="K75" s="115">
        <f t="shared" ref="K75" si="8">I75+J75</f>
        <v>4282400.5200000005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Nov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Nov 2015'!$A$1:$I$252,9,FALSE)</f>
        <v>187.42</v>
      </c>
      <c r="F79" s="174"/>
      <c r="G79" s="228">
        <v>-187.42</v>
      </c>
      <c r="H79" s="36">
        <v>0</v>
      </c>
      <c r="I79" s="116">
        <f t="shared" si="9"/>
        <v>0</v>
      </c>
      <c r="J79" s="36"/>
      <c r="K79" s="116">
        <f t="shared" si="10"/>
        <v>0</v>
      </c>
      <c r="M79" s="20"/>
      <c r="S79" s="18"/>
    </row>
    <row r="80" spans="1:19" x14ac:dyDescent="0.2">
      <c r="B80" s="54"/>
      <c r="C80" s="28"/>
      <c r="E80" s="32">
        <f>SUM(E42:E79)</f>
        <v>33324797.660000004</v>
      </c>
      <c r="F80" s="29">
        <f>SUM(F39:F65)+F36</f>
        <v>0</v>
      </c>
      <c r="G80" s="29">
        <f>SUM(G39:G79)+G36</f>
        <v>4857512.2200000007</v>
      </c>
      <c r="H80" s="29">
        <f>SUM(H39:H79)+H36</f>
        <v>0</v>
      </c>
      <c r="I80" s="123">
        <f>SUM(I39:I79)+I36</f>
        <v>38182309.879999995</v>
      </c>
      <c r="J80" s="49">
        <f>SUM(J39:J79)+J36</f>
        <v>-6107616</v>
      </c>
      <c r="K80" s="123">
        <f>SUM(K39:K79)+K36</f>
        <v>32074693.879999999</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0</v>
      </c>
      <c r="F82" s="29"/>
      <c r="G82" s="130">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Nov 2015'!$A$1:$I$252,9,FALSE)</f>
        <v>21594663.440000001</v>
      </c>
      <c r="F86" s="30">
        <v>0</v>
      </c>
      <c r="G86" s="130">
        <v>3727989</v>
      </c>
      <c r="H86" s="30">
        <v>0</v>
      </c>
      <c r="I86" s="115">
        <f>E86+F86+G86+H86</f>
        <v>25322652.440000001</v>
      </c>
      <c r="J86" s="30">
        <v>0</v>
      </c>
      <c r="K86" s="115">
        <f t="shared" ref="K86:K88" si="12">I86+J86</f>
        <v>25322652.440000001</v>
      </c>
      <c r="L86" s="210" t="s">
        <v>22</v>
      </c>
      <c r="M86" s="20"/>
      <c r="P86" s="58"/>
      <c r="S86" s="18">
        <v>186801</v>
      </c>
    </row>
    <row r="87" spans="1:21" x14ac:dyDescent="0.2">
      <c r="A87" s="108" t="s">
        <v>171</v>
      </c>
      <c r="B87" s="28"/>
      <c r="C87" s="28" t="s">
        <v>122</v>
      </c>
      <c r="D87" s="4" t="s">
        <v>225</v>
      </c>
      <c r="E87" s="32">
        <f>VLOOKUP(A87,'DEK Nov 2015'!$A$1:$I$252,9,FALSE)</f>
        <v>2942515.55</v>
      </c>
      <c r="F87" s="30">
        <v>0</v>
      </c>
      <c r="G87" s="130">
        <v>-27586</v>
      </c>
      <c r="H87" s="30">
        <v>0</v>
      </c>
      <c r="I87" s="115">
        <f>E87+F87+G87+H87</f>
        <v>2914929.55</v>
      </c>
      <c r="J87" s="30">
        <v>0</v>
      </c>
      <c r="K87" s="115">
        <f t="shared" si="12"/>
        <v>2914929.55</v>
      </c>
      <c r="L87" s="210" t="s">
        <v>22</v>
      </c>
      <c r="M87" s="20"/>
      <c r="P87" s="58"/>
      <c r="S87" s="18"/>
    </row>
    <row r="88" spans="1:21" x14ac:dyDescent="0.2">
      <c r="A88" s="108" t="s">
        <v>172</v>
      </c>
      <c r="B88" s="28"/>
      <c r="C88" s="28" t="s">
        <v>123</v>
      </c>
      <c r="D88" s="4" t="s">
        <v>226</v>
      </c>
      <c r="E88" s="32">
        <f>VLOOKUP(A88,'DEK Nov 2015'!$A$1:$I$252,9,FALSE)</f>
        <v>55301.05</v>
      </c>
      <c r="F88" s="30">
        <v>0</v>
      </c>
      <c r="G88" s="130">
        <v>-3837</v>
      </c>
      <c r="H88" s="30">
        <v>0</v>
      </c>
      <c r="I88" s="115">
        <f>E88+F88+G88+H88</f>
        <v>51464.05</v>
      </c>
      <c r="J88" s="30">
        <v>0</v>
      </c>
      <c r="K88" s="115">
        <f t="shared" si="12"/>
        <v>51464.05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24592480.040000003</v>
      </c>
      <c r="F90" s="29">
        <f t="shared" ref="F90:K90" si="13">SUM(F85:F89)</f>
        <v>0</v>
      </c>
      <c r="G90" s="29">
        <f>SUM(G85:G89)</f>
        <v>3696566</v>
      </c>
      <c r="H90" s="29">
        <f t="shared" si="13"/>
        <v>0</v>
      </c>
      <c r="I90" s="123">
        <f t="shared" si="13"/>
        <v>28289046.040000003</v>
      </c>
      <c r="J90" s="29">
        <f t="shared" si="13"/>
        <v>0</v>
      </c>
      <c r="K90" s="123">
        <f t="shared" si="13"/>
        <v>28289046.040000003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63028867.690000013</v>
      </c>
      <c r="F96" s="133">
        <f>+F12+F24+F30+F80+F90+F92+F19+F93</f>
        <v>0</v>
      </c>
      <c r="G96" s="133">
        <f>+G12+G24+G30+G80+G82+G90+G92+G19+G93</f>
        <v>7283751.1900000013</v>
      </c>
      <c r="H96" s="133">
        <f>+H12+H24+H30+H80+H82+H90+H92+H19+H93</f>
        <v>-22206.15</v>
      </c>
      <c r="I96" s="134">
        <f>+I12+I24+I30+I80+I82+I90+I92+I19+I93</f>
        <v>70290412.730000004</v>
      </c>
      <c r="J96" s="133">
        <f>+J12+J24+J30+J80+J82+J90+J92+J19+J93</f>
        <v>0</v>
      </c>
      <c r="K96" s="134">
        <f>+K12+K24+K30+K80+K82+K90+K92+K19+K93</f>
        <v>70290412.730000004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Nov 2015'!$A$1:$I$252,9,FALSE)</f>
        <v>1744653.2700000003</v>
      </c>
      <c r="F99" s="30">
        <v>0</v>
      </c>
      <c r="G99" s="130">
        <v>-1613861.21</v>
      </c>
      <c r="H99" s="130">
        <v>-130792.06</v>
      </c>
      <c r="I99" s="115">
        <f t="shared" ref="I99:I104" si="15">E99+F99+G99+H99</f>
        <v>2.9103830456733704E-10</v>
      </c>
      <c r="J99" s="30">
        <v>0</v>
      </c>
      <c r="K99" s="115">
        <f t="shared" ref="K99:K104" si="16">I99+J99</f>
        <v>2.9103830456733704E-10</v>
      </c>
      <c r="L99" s="210" t="s">
        <v>22</v>
      </c>
      <c r="M99" s="33"/>
      <c r="N99" s="42"/>
      <c r="O99" s="42"/>
      <c r="S99" s="18">
        <v>191400</v>
      </c>
      <c r="T99" s="58"/>
    </row>
    <row r="100" spans="1:20" x14ac:dyDescent="0.2">
      <c r="A100" s="100" t="s">
        <v>115</v>
      </c>
      <c r="B100" s="18"/>
      <c r="C100" s="28" t="s">
        <v>53</v>
      </c>
      <c r="D100" s="4" t="s">
        <v>115</v>
      </c>
      <c r="E100" s="32">
        <f>VLOOKUP(A100,'DEK Nov 2015'!$A$1:$I$252,9,FALSE)</f>
        <v>-1847862</v>
      </c>
      <c r="F100" s="30">
        <v>0</v>
      </c>
      <c r="G100" s="130">
        <v>1847862</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Nov 2015'!$A$1:$I$252,9,FALSE)</f>
        <v>-1069102</v>
      </c>
      <c r="F101" s="30">
        <v>0</v>
      </c>
      <c r="G101" s="129">
        <v>90084</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f>VLOOKUP(A102,'DEK Nov 2015'!$A$1:$I$252,9,FALSE)</f>
        <v>-188771.27000000048</v>
      </c>
      <c r="F102" s="30">
        <v>0</v>
      </c>
      <c r="G102" s="129">
        <v>-528112.51</v>
      </c>
      <c r="H102" s="33">
        <v>0</v>
      </c>
      <c r="I102" s="115">
        <f t="shared" si="15"/>
        <v>-716883.78000000049</v>
      </c>
      <c r="J102" s="30">
        <v>0</v>
      </c>
      <c r="K102" s="115">
        <f t="shared" si="16"/>
        <v>-716883.78000000049</v>
      </c>
      <c r="L102" s="210" t="s">
        <v>22</v>
      </c>
      <c r="M102" s="20"/>
      <c r="N102" s="42"/>
      <c r="O102" s="42"/>
      <c r="S102" s="18">
        <v>242997</v>
      </c>
      <c r="T102" s="58"/>
    </row>
    <row r="103" spans="1:20" x14ac:dyDescent="0.2">
      <c r="A103" s="100" t="s">
        <v>120</v>
      </c>
      <c r="B103" s="18"/>
      <c r="C103" s="28" t="s">
        <v>54</v>
      </c>
      <c r="D103" s="4" t="s">
        <v>120</v>
      </c>
      <c r="E103" s="32">
        <f>VLOOKUP(A103,'DEK Nov 2015'!$A$1:$I$252,9,FALSE)</f>
        <v>-531982.0399999998</v>
      </c>
      <c r="F103" s="33">
        <v>0</v>
      </c>
      <c r="G103" s="130">
        <v>-7.35</v>
      </c>
      <c r="H103" s="130">
        <v>63246.64</v>
      </c>
      <c r="I103" s="115">
        <f t="shared" si="15"/>
        <v>-468742.74999999977</v>
      </c>
      <c r="J103" s="33">
        <v>0</v>
      </c>
      <c r="K103" s="115">
        <f t="shared" si="16"/>
        <v>-468742.74999999977</v>
      </c>
      <c r="L103" s="210" t="s">
        <v>22</v>
      </c>
      <c r="M103" s="42"/>
      <c r="N103" s="42"/>
      <c r="O103" s="42"/>
      <c r="S103" s="18">
        <v>253130</v>
      </c>
      <c r="T103" s="58"/>
    </row>
    <row r="104" spans="1:20" x14ac:dyDescent="0.2">
      <c r="A104" s="100" t="s">
        <v>156</v>
      </c>
      <c r="B104" s="18"/>
      <c r="C104" s="28" t="s">
        <v>116</v>
      </c>
      <c r="D104" s="4" t="s">
        <v>211</v>
      </c>
      <c r="E104" s="32">
        <f>VLOOKUP(A104,'DEK Nov 2015'!$A$1:$I$252,9,FALSE)</f>
        <v>-1780691.52</v>
      </c>
      <c r="F104" s="33"/>
      <c r="G104" s="130">
        <v>1277024.8</v>
      </c>
      <c r="H104" s="33">
        <v>0</v>
      </c>
      <c r="I104" s="115">
        <f t="shared" si="15"/>
        <v>-503666.72</v>
      </c>
      <c r="J104" s="30">
        <v>0</v>
      </c>
      <c r="K104" s="115">
        <f t="shared" si="16"/>
        <v>-503666.72</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-3673755.56</v>
      </c>
      <c r="F106" s="33">
        <f t="shared" si="17"/>
        <v>0</v>
      </c>
      <c r="G106" s="33">
        <f t="shared" si="17"/>
        <v>1072989.73</v>
      </c>
      <c r="H106" s="33">
        <f t="shared" si="17"/>
        <v>-67545.42</v>
      </c>
      <c r="I106" s="123">
        <f t="shared" si="17"/>
        <v>-2668311.25</v>
      </c>
      <c r="J106" s="33">
        <f t="shared" si="17"/>
        <v>0</v>
      </c>
      <c r="K106" s="123">
        <f t="shared" si="17"/>
        <v>-2668311.25</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Nov 2015'!$A$1:$I$252,9,FALSE)</f>
        <v>-3471770.63</v>
      </c>
      <c r="F114" s="30">
        <v>0</v>
      </c>
      <c r="G114" s="130">
        <v>-1465737.1</v>
      </c>
      <c r="H114" s="33">
        <v>0</v>
      </c>
      <c r="I114" s="123">
        <f>E114+G114+H114+F114</f>
        <v>-4937507.7300000004</v>
      </c>
      <c r="J114" s="91">
        <v>0</v>
      </c>
      <c r="K114" s="123">
        <f>I114+J114</f>
        <v>-4937507.7300000004</v>
      </c>
      <c r="L114" s="230" t="s">
        <v>264</v>
      </c>
      <c r="M114" s="67"/>
      <c r="P114" s="51"/>
      <c r="Q114" s="18"/>
      <c r="R114" s="58"/>
      <c r="S114" s="18"/>
    </row>
    <row r="115" spans="1:23" ht="15" x14ac:dyDescent="0.25">
      <c r="B115" s="18"/>
      <c r="C115" s="28"/>
      <c r="D115" s="65"/>
      <c r="E115" s="33"/>
      <c r="F115" s="30"/>
      <c r="G115" s="144"/>
      <c r="H115" s="33"/>
      <c r="I115" s="126"/>
      <c r="J115" s="1"/>
      <c r="K115" s="126"/>
      <c r="L115" s="210" t="s">
        <v>22</v>
      </c>
      <c r="M115" s="67"/>
      <c r="P115" s="51"/>
      <c r="Q115" s="18"/>
      <c r="R115" s="58"/>
      <c r="S115" s="18"/>
    </row>
    <row r="116" spans="1:23" x14ac:dyDescent="0.2">
      <c r="B116" s="21" t="s">
        <v>227</v>
      </c>
      <c r="C116" s="28"/>
      <c r="E116" s="3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Nov 2015'!$A$1:$I$252,9,FALSE)</f>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Nov 2015'!$A$1:$I$252,9,FALSE)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Nov 2015'!$A$1:$I$252,9,FALSE)</f>
        <v>-15991.830000000004</v>
      </c>
      <c r="F119" s="30">
        <v>0</v>
      </c>
      <c r="G119" s="130">
        <v>138.21</v>
      </c>
      <c r="H119" s="33">
        <v>0</v>
      </c>
      <c r="I119" s="117">
        <f>E119+F119+G119+H119</f>
        <v>-15853.620000000004</v>
      </c>
      <c r="J119" s="30">
        <v>0</v>
      </c>
      <c r="K119" s="123">
        <f t="shared" si="19"/>
        <v>-15853.620000000004</v>
      </c>
      <c r="L119" s="230" t="s">
        <v>265</v>
      </c>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-15991.830000000004</v>
      </c>
      <c r="F121" s="30">
        <f t="shared" ref="F121:K121" si="21">SUM(F117:F120)</f>
        <v>0</v>
      </c>
      <c r="G121" s="30">
        <f t="shared" si="21"/>
        <v>138.21</v>
      </c>
      <c r="H121" s="30">
        <f t="shared" si="21"/>
        <v>0</v>
      </c>
      <c r="I121" s="122">
        <f t="shared" si="21"/>
        <v>-15853.620000000004</v>
      </c>
      <c r="J121" s="30">
        <f t="shared" si="21"/>
        <v>0</v>
      </c>
      <c r="K121" s="115">
        <f t="shared" si="21"/>
        <v>-15853.620000000004</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Nov 2015'!$A$1:$I$252,9,FALSE)</f>
        <v>-17431331.980000004</v>
      </c>
      <c r="F123" s="30">
        <v>0</v>
      </c>
      <c r="G123" s="129">
        <v>-57590.32</v>
      </c>
      <c r="H123" s="30">
        <v>0</v>
      </c>
      <c r="I123" s="115">
        <f t="shared" ref="I123:I128" si="22">E123+F123+G123+H123</f>
        <v>-17488922.300000004</v>
      </c>
      <c r="J123" s="30">
        <v>0</v>
      </c>
      <c r="K123" s="115">
        <f t="shared" ref="K123:K128" si="23">I123+J123</f>
        <v>-17488922.300000004</v>
      </c>
      <c r="L123" s="210" t="s">
        <v>241</v>
      </c>
      <c r="M123" s="20"/>
      <c r="N123" s="42"/>
      <c r="O123" s="42"/>
      <c r="Q123" s="227">
        <v>75086</v>
      </c>
      <c r="R123" s="58" t="s">
        <v>44</v>
      </c>
      <c r="S123" s="18">
        <v>108201</v>
      </c>
      <c r="T123" s="58"/>
    </row>
    <row r="124" spans="1:23" x14ac:dyDescent="0.2">
      <c r="A124" s="100" t="s">
        <v>166</v>
      </c>
      <c r="B124" s="18"/>
      <c r="C124" s="28" t="s">
        <v>45</v>
      </c>
      <c r="D124" s="4" t="s">
        <v>198</v>
      </c>
      <c r="E124" s="32">
        <f>VLOOKUP(A124,'DEK Nov 2015'!$A$1:$I$252,9,FALSE)</f>
        <v>-47414687.050000004</v>
      </c>
      <c r="F124" s="30">
        <v>0</v>
      </c>
      <c r="G124" s="129">
        <v>386390</v>
      </c>
      <c r="H124" s="30">
        <v>0</v>
      </c>
      <c r="I124" s="115">
        <f t="shared" si="22"/>
        <v>-47028297.050000004</v>
      </c>
      <c r="J124" s="30">
        <v>0</v>
      </c>
      <c r="K124" s="115">
        <f t="shared" si="23"/>
        <v>-47028297.050000004</v>
      </c>
      <c r="L124" s="210" t="s">
        <v>242</v>
      </c>
      <c r="M124" s="20"/>
      <c r="N124" s="42"/>
      <c r="O124" s="42"/>
      <c r="R124" s="58" t="s">
        <v>44</v>
      </c>
      <c r="S124" s="18">
        <v>108301</v>
      </c>
      <c r="T124" s="58"/>
    </row>
    <row r="125" spans="1:23" x14ac:dyDescent="0.2">
      <c r="A125" s="100" t="s">
        <v>167</v>
      </c>
      <c r="B125" s="18"/>
      <c r="C125" s="28" t="s">
        <v>46</v>
      </c>
      <c r="D125" s="4" t="s">
        <v>199</v>
      </c>
      <c r="E125" s="32">
        <f>VLOOKUP(A125,'DEK Nov 2015'!$A$1:$I$252,9,FALSE)</f>
        <v>10402531.249999998</v>
      </c>
      <c r="F125" s="30">
        <v>0</v>
      </c>
      <c r="G125" s="129">
        <v>-360813.25</v>
      </c>
      <c r="H125" s="30">
        <v>0</v>
      </c>
      <c r="I125" s="115">
        <f t="shared" si="22"/>
        <v>10041717.999999998</v>
      </c>
      <c r="J125" s="30">
        <v>0</v>
      </c>
      <c r="K125" s="115">
        <f>I125+J125</f>
        <v>10041717.999999998</v>
      </c>
      <c r="L125" s="210" t="s">
        <v>242</v>
      </c>
      <c r="M125" s="20"/>
      <c r="N125" s="42"/>
      <c r="O125" s="42"/>
      <c r="S125" s="18">
        <v>108410</v>
      </c>
      <c r="T125" s="58"/>
    </row>
    <row r="126" spans="1:23" x14ac:dyDescent="0.2">
      <c r="A126" s="100" t="s">
        <v>168</v>
      </c>
      <c r="B126" s="18"/>
      <c r="C126" s="28" t="s">
        <v>74</v>
      </c>
      <c r="D126" s="4" t="s">
        <v>217</v>
      </c>
      <c r="E126" s="32">
        <f>VLOOKUP(A126,'DEK Nov 2015'!$A$1:$I$252,9,FALSE)</f>
        <v>2250478.71</v>
      </c>
      <c r="F126" s="30">
        <v>0</v>
      </c>
      <c r="G126" s="129">
        <v>21149.87</v>
      </c>
      <c r="H126" s="30">
        <v>0</v>
      </c>
      <c r="I126" s="115">
        <f t="shared" si="22"/>
        <v>2271628.58</v>
      </c>
      <c r="J126" s="30">
        <v>0</v>
      </c>
      <c r="K126" s="115">
        <f>I126+J126</f>
        <v>2271628.58</v>
      </c>
      <c r="M126" s="20"/>
      <c r="N126" s="42"/>
      <c r="O126" s="42"/>
      <c r="Q126" s="4" t="s">
        <v>50</v>
      </c>
      <c r="R126" s="4" t="s">
        <v>51</v>
      </c>
      <c r="S126" s="18">
        <v>182303</v>
      </c>
      <c r="T126" s="58"/>
    </row>
    <row r="127" spans="1:23" x14ac:dyDescent="0.2">
      <c r="A127" s="100" t="s">
        <v>169</v>
      </c>
      <c r="B127" s="18"/>
      <c r="C127" s="28" t="s">
        <v>49</v>
      </c>
      <c r="D127" s="4" t="s">
        <v>218</v>
      </c>
      <c r="E127" s="32">
        <f>VLOOKUP(A127,'DEK Nov 2015'!$A$1:$I$252,9,FALSE)</f>
        <v>4289177.7900000019</v>
      </c>
      <c r="F127" s="30">
        <v>0</v>
      </c>
      <c r="G127" s="129">
        <v>22137.9</v>
      </c>
      <c r="H127" s="30">
        <v>0</v>
      </c>
      <c r="I127" s="115">
        <f t="shared" si="22"/>
        <v>4311315.6900000023</v>
      </c>
      <c r="J127" s="30">
        <v>0</v>
      </c>
      <c r="K127" s="115">
        <f t="shared" si="23"/>
        <v>4311315.6900000023</v>
      </c>
      <c r="M127" s="20"/>
      <c r="N127" s="42"/>
      <c r="O127" s="42"/>
      <c r="Q127" s="4" t="s">
        <v>50</v>
      </c>
      <c r="S127" s="18">
        <v>182304</v>
      </c>
      <c r="T127" s="58"/>
    </row>
    <row r="128" spans="1:23" x14ac:dyDescent="0.2">
      <c r="A128" s="100" t="s">
        <v>170</v>
      </c>
      <c r="B128" s="18"/>
      <c r="C128" s="28" t="s">
        <v>42</v>
      </c>
      <c r="D128" s="4" t="s">
        <v>200</v>
      </c>
      <c r="E128" s="32">
        <f>VLOOKUP(A128,'DEK Nov 2015'!$A$1:$I$252,9,FALSE)</f>
        <v>-133701.75000000003</v>
      </c>
      <c r="F128" s="30">
        <v>0</v>
      </c>
      <c r="G128" s="129">
        <v>-6112.76</v>
      </c>
      <c r="H128" s="30">
        <v>0</v>
      </c>
      <c r="I128" s="115">
        <f t="shared" si="22"/>
        <v>-139814.51000000004</v>
      </c>
      <c r="J128" s="30">
        <v>0</v>
      </c>
      <c r="K128" s="115">
        <f t="shared" si="23"/>
        <v>-139814.51000000004</v>
      </c>
      <c r="L128" s="210" t="s">
        <v>241</v>
      </c>
      <c r="M128" s="20"/>
      <c r="N128" s="42"/>
      <c r="O128" s="42"/>
      <c r="R128" s="58" t="s">
        <v>44</v>
      </c>
      <c r="S128" s="18">
        <v>108101</v>
      </c>
      <c r="T128" s="58"/>
    </row>
    <row r="129" spans="1:22" x14ac:dyDescent="0.2">
      <c r="B129" s="18"/>
      <c r="C129" s="28"/>
      <c r="E129" s="36"/>
      <c r="F129" s="36"/>
      <c r="G129" s="150"/>
      <c r="H129" s="36"/>
      <c r="I129" s="127"/>
      <c r="J129" s="68"/>
      <c r="K129" s="127"/>
      <c r="M129" s="62"/>
      <c r="P129" s="51"/>
      <c r="Q129" s="18"/>
      <c r="R129" s="58"/>
      <c r="S129" s="18">
        <v>254401</v>
      </c>
    </row>
    <row r="130" spans="1:22" x14ac:dyDescent="0.2">
      <c r="B130" s="18"/>
      <c r="C130" s="28"/>
      <c r="E130" s="33">
        <f t="shared" ref="E130:K130" si="24">SUM(E123:E129)</f>
        <v>-48037533.030000009</v>
      </c>
      <c r="F130" s="33">
        <f t="shared" si="24"/>
        <v>0</v>
      </c>
      <c r="G130" s="33">
        <f t="shared" si="24"/>
        <v>5161.4399999999932</v>
      </c>
      <c r="H130" s="33">
        <f t="shared" si="24"/>
        <v>0</v>
      </c>
      <c r="I130" s="123">
        <f t="shared" si="24"/>
        <v>-48032371.590000004</v>
      </c>
      <c r="J130" s="33">
        <f t="shared" si="24"/>
        <v>0</v>
      </c>
      <c r="K130" s="123">
        <f t="shared" si="24"/>
        <v>-48032371.590000004</v>
      </c>
      <c r="L130" s="230" t="s">
        <v>266</v>
      </c>
      <c r="M130" s="62"/>
      <c r="P130" s="51"/>
      <c r="Q130" s="18"/>
      <c r="R130" s="58"/>
      <c r="S130" s="18"/>
    </row>
    <row r="131" spans="1:22" ht="15" x14ac:dyDescent="0.25">
      <c r="B131" s="18"/>
      <c r="C131" s="28"/>
      <c r="D131" s="65"/>
      <c r="E131" s="33"/>
      <c r="F131" s="30"/>
      <c r="G131" s="144"/>
      <c r="H131" s="33"/>
      <c r="I131" s="126"/>
      <c r="J131" s="1"/>
      <c r="K131" s="126"/>
      <c r="L131" s="66"/>
      <c r="M131" s="67"/>
      <c r="P131" s="51"/>
      <c r="Q131" s="18"/>
      <c r="R131" s="58"/>
      <c r="S131" s="18"/>
    </row>
    <row r="132" spans="1:22" x14ac:dyDescent="0.2">
      <c r="A132" s="105" t="s">
        <v>55</v>
      </c>
      <c r="B132" s="18"/>
      <c r="C132" s="131" t="s">
        <v>55</v>
      </c>
      <c r="D132" s="132"/>
      <c r="E132" s="133">
        <f>+E106+E114+E121+E130+E111</f>
        <v>-55199051.050000012</v>
      </c>
      <c r="F132" s="133">
        <f t="shared" ref="F132:H132" si="25">+F106+F114+F121+F130+F111</f>
        <v>0</v>
      </c>
      <c r="G132" s="133">
        <f t="shared" si="25"/>
        <v>-387447.72000000009</v>
      </c>
      <c r="H132" s="133">
        <f t="shared" si="25"/>
        <v>-67545.42</v>
      </c>
      <c r="I132" s="134">
        <f>+I106+I114+I121+I130+I111</f>
        <v>-55654044.190000005</v>
      </c>
      <c r="J132" s="133">
        <f>+J106+J114+J121+J130+J111</f>
        <v>0</v>
      </c>
      <c r="K132" s="134">
        <f>+K106+K114+K121+K130+K111</f>
        <v>-55654044.190000005</v>
      </c>
      <c r="M132" s="20"/>
      <c r="N132" s="69"/>
      <c r="R132" s="58"/>
      <c r="S132" s="18"/>
    </row>
    <row r="133" spans="1:22" x14ac:dyDescent="0.2">
      <c r="A133" s="105"/>
      <c r="B133" s="18"/>
      <c r="C133" s="18"/>
      <c r="D133" s="12"/>
      <c r="E133" s="221"/>
      <c r="F133" s="50"/>
      <c r="G133" s="145"/>
      <c r="H133" s="50"/>
      <c r="I133" s="122"/>
      <c r="J133" s="50"/>
      <c r="K133" s="122"/>
      <c r="M133" s="45"/>
      <c r="S133" s="18"/>
    </row>
    <row r="134" spans="1:22" x14ac:dyDescent="0.2">
      <c r="A134" s="105" t="s">
        <v>56</v>
      </c>
      <c r="B134" s="18"/>
      <c r="C134" s="18"/>
      <c r="D134" s="136" t="s">
        <v>219</v>
      </c>
      <c r="E134" s="137">
        <f>E132+E96</f>
        <v>7829816.6400000006</v>
      </c>
      <c r="F134" s="137">
        <f>F132+F96</f>
        <v>0</v>
      </c>
      <c r="G134" s="137">
        <f>G132+G96</f>
        <v>6896303.4700000016</v>
      </c>
      <c r="H134" s="137">
        <f>H132+H96</f>
        <v>-89751.57</v>
      </c>
      <c r="I134" s="138">
        <f>I96+I132</f>
        <v>14636368.539999999</v>
      </c>
      <c r="J134" s="137">
        <f>J132+J96</f>
        <v>0</v>
      </c>
      <c r="K134" s="138">
        <f>K96+K132</f>
        <v>14636368.539999999</v>
      </c>
      <c r="L134" s="50">
        <v>0</v>
      </c>
      <c r="M134" s="70"/>
      <c r="N134" s="70"/>
      <c r="O134" s="70"/>
      <c r="P134" s="50"/>
      <c r="Q134" s="50"/>
      <c r="R134" s="50"/>
      <c r="S134" s="18"/>
      <c r="T134" s="29">
        <f>+G134+H134+F134</f>
        <v>6806551.9000000013</v>
      </c>
      <c r="U134" s="19">
        <v>13111056.41</v>
      </c>
      <c r="V134" s="29">
        <f>+T134-U134</f>
        <v>-6304504.5099999988</v>
      </c>
    </row>
    <row r="135" spans="1:22" hidden="1" x14ac:dyDescent="0.2">
      <c r="A135" s="105"/>
      <c r="B135" s="18"/>
      <c r="C135" s="18"/>
      <c r="D135" s="12"/>
      <c r="E135" s="221"/>
      <c r="F135" s="50"/>
      <c r="G135" s="145"/>
      <c r="H135" s="50"/>
      <c r="I135" s="50"/>
      <c r="J135" s="50"/>
      <c r="K135" s="50"/>
      <c r="M135" s="45"/>
      <c r="S135" s="18"/>
    </row>
    <row r="136" spans="1:22" s="75" customFormat="1" ht="12.75" hidden="1" customHeight="1" x14ac:dyDescent="0.2">
      <c r="A136" s="107" t="s">
        <v>57</v>
      </c>
      <c r="B136" s="71"/>
      <c r="C136" s="18"/>
      <c r="D136" s="140" t="s">
        <v>57</v>
      </c>
      <c r="E136" s="223"/>
      <c r="F136" s="142"/>
      <c r="G136" s="163">
        <f>-G128-G123-G124-G125-G126-G127-G86-G16-G117-G30-G22-G53-G119-G87-G88-G114-G118-G52</f>
        <v>1313313.7100000002</v>
      </c>
      <c r="H136" s="139">
        <f>-H128-H123-H124-H125-H126-H127-H86-H16-H117-H30-H22-H53-H119-H87-H88-H114-H118-H52</f>
        <v>22206.15</v>
      </c>
      <c r="I136" s="74"/>
      <c r="J136" s="74"/>
      <c r="K136" s="74"/>
      <c r="M136" s="76"/>
      <c r="N136" s="77"/>
      <c r="O136" s="77"/>
      <c r="S136" s="18"/>
    </row>
    <row r="137" spans="1:22" ht="12.75" customHeight="1" x14ac:dyDescent="0.2">
      <c r="A137" s="107"/>
      <c r="B137" s="18"/>
      <c r="C137" s="18"/>
      <c r="D137" s="72"/>
      <c r="E137" s="224"/>
      <c r="F137" s="50"/>
      <c r="G137" s="185">
        <f>G134+H134</f>
        <v>6806551.9000000013</v>
      </c>
      <c r="H137" s="145"/>
      <c r="I137" s="145"/>
      <c r="J137" s="50"/>
      <c r="K137" s="50"/>
      <c r="M137" s="20"/>
      <c r="S137" s="18"/>
    </row>
    <row r="138" spans="1:22" ht="12.75" hidden="1" customHeight="1" x14ac:dyDescent="0.2">
      <c r="A138" s="107" t="s">
        <v>58</v>
      </c>
      <c r="B138" s="18"/>
      <c r="C138" s="71"/>
      <c r="D138" s="72" t="s">
        <v>58</v>
      </c>
      <c r="E138" s="73"/>
      <c r="F138" s="50"/>
      <c r="G138" s="145">
        <f>G134+G136</f>
        <v>8209617.1800000016</v>
      </c>
      <c r="H138" s="50">
        <f>H134+H136</f>
        <v>-67545.420000000013</v>
      </c>
      <c r="I138" s="50"/>
      <c r="J138" s="50"/>
      <c r="K138" s="50"/>
      <c r="M138" s="20"/>
      <c r="S138" s="71"/>
    </row>
    <row r="139" spans="1:22" ht="12.75" hidden="1" customHeight="1" x14ac:dyDescent="0.2">
      <c r="A139" s="107"/>
      <c r="B139" s="18"/>
      <c r="C139" s="18"/>
      <c r="D139" s="72"/>
      <c r="E139" s="73"/>
      <c r="F139" s="50"/>
      <c r="G139" s="145"/>
      <c r="H139" s="50"/>
      <c r="I139" s="50"/>
      <c r="J139" s="50"/>
      <c r="K139" s="50"/>
      <c r="M139" s="20"/>
      <c r="S139" s="18"/>
    </row>
    <row r="140" spans="1:22" ht="12.75" hidden="1" customHeight="1" x14ac:dyDescent="0.2">
      <c r="A140" s="107" t="s">
        <v>59</v>
      </c>
      <c r="B140" s="18"/>
      <c r="C140" s="18"/>
      <c r="D140" s="72" t="s">
        <v>59</v>
      </c>
      <c r="E140" s="73"/>
      <c r="F140" s="50"/>
      <c r="G140" s="145">
        <f>+G134+H134+G136+H136</f>
        <v>8142071.7600000016</v>
      </c>
      <c r="H140" s="50"/>
      <c r="I140" s="50"/>
      <c r="J140" s="50"/>
      <c r="K140" s="50"/>
      <c r="M140" s="20"/>
      <c r="S140" s="18"/>
    </row>
    <row r="141" spans="1:22" hidden="1" x14ac:dyDescent="0.2">
      <c r="B141" s="18"/>
      <c r="C141" s="18"/>
      <c r="E141" s="29"/>
      <c r="F141" s="19"/>
      <c r="G141" s="148"/>
      <c r="H141" s="19"/>
      <c r="I141" s="19"/>
      <c r="J141" s="19"/>
      <c r="K141" s="19"/>
      <c r="M141" s="20"/>
      <c r="S141" s="18"/>
    </row>
    <row r="142" spans="1:22" hidden="1" x14ac:dyDescent="0.2">
      <c r="A142" s="109" t="s">
        <v>60</v>
      </c>
      <c r="B142" s="18"/>
      <c r="C142" s="18"/>
      <c r="D142" s="78" t="s">
        <v>60</v>
      </c>
      <c r="E142" s="79"/>
      <c r="F142" s="80"/>
      <c r="G142" s="164"/>
      <c r="H142" s="80"/>
      <c r="I142" s="81"/>
      <c r="J142" s="81"/>
      <c r="K142" s="81"/>
      <c r="M142" s="20"/>
      <c r="S142" s="18"/>
    </row>
    <row r="143" spans="1:22" hidden="1" x14ac:dyDescent="0.2">
      <c r="A143" s="109" t="s">
        <v>138</v>
      </c>
      <c r="B143" s="18"/>
      <c r="C143" s="18"/>
      <c r="D143" s="82" t="s">
        <v>138</v>
      </c>
      <c r="E143" s="32">
        <v>0</v>
      </c>
      <c r="F143" s="32">
        <f>+F92+F93</f>
        <v>0</v>
      </c>
      <c r="G143" s="157"/>
      <c r="H143" s="32">
        <f>+H92+H93</f>
        <v>0</v>
      </c>
      <c r="I143" s="84">
        <f>+I92+I93</f>
        <v>0</v>
      </c>
      <c r="J143" s="84">
        <f>+J92+J93</f>
        <v>0</v>
      </c>
      <c r="K143" s="84">
        <f>+K92+K93</f>
        <v>0</v>
      </c>
      <c r="M143" s="20"/>
      <c r="S143" s="18"/>
    </row>
    <row r="144" spans="1:22" hidden="1" x14ac:dyDescent="0.2">
      <c r="A144" s="109" t="s">
        <v>140</v>
      </c>
      <c r="B144" s="18"/>
      <c r="C144" s="18"/>
      <c r="D144" s="82" t="s">
        <v>140</v>
      </c>
      <c r="E144" s="83">
        <f>+E12</f>
        <v>-1.1641532182693481E-9</v>
      </c>
      <c r="F144" s="32">
        <f>+F93+F94</f>
        <v>0</v>
      </c>
      <c r="G144" s="165"/>
      <c r="H144" s="83"/>
      <c r="I144" s="84">
        <f>+I12</f>
        <v>578872.59999999881</v>
      </c>
      <c r="J144" s="84">
        <f>+J12</f>
        <v>0</v>
      </c>
      <c r="K144" s="84">
        <f>+K12</f>
        <v>578872.59999999881</v>
      </c>
      <c r="M144" s="20"/>
      <c r="S144" s="18"/>
    </row>
    <row r="145" spans="1:19" hidden="1" x14ac:dyDescent="0.2">
      <c r="A145" s="109" t="s">
        <v>142</v>
      </c>
      <c r="B145" s="18"/>
      <c r="C145" s="18"/>
      <c r="D145" s="82" t="s">
        <v>142</v>
      </c>
      <c r="E145" s="83">
        <f>+E19</f>
        <v>2083963.81</v>
      </c>
      <c r="F145" s="32">
        <f t="shared" ref="F145:F150" si="26">+F94+F95</f>
        <v>0</v>
      </c>
      <c r="G145" s="165"/>
      <c r="H145" s="83"/>
      <c r="I145" s="84">
        <f>+I19</f>
        <v>1926156.81</v>
      </c>
      <c r="J145" s="84">
        <f>+J19</f>
        <v>6374089.7999999998</v>
      </c>
      <c r="K145" s="84">
        <f>+K19</f>
        <v>8300246.6099999994</v>
      </c>
      <c r="M145" s="20"/>
      <c r="S145" s="18"/>
    </row>
    <row r="146" spans="1:19" hidden="1" x14ac:dyDescent="0.2">
      <c r="A146" s="109" t="s">
        <v>141</v>
      </c>
      <c r="B146" s="18"/>
      <c r="C146" s="18"/>
      <c r="D146" s="82" t="s">
        <v>141</v>
      </c>
      <c r="E146" s="83">
        <f>+E24</f>
        <v>1743585.9800000011</v>
      </c>
      <c r="F146" s="32">
        <f t="shared" si="26"/>
        <v>0</v>
      </c>
      <c r="G146" s="165"/>
      <c r="H146" s="83"/>
      <c r="I146" s="84">
        <f>+I24</f>
        <v>1721379.8300000012</v>
      </c>
      <c r="J146" s="84">
        <f>+J24</f>
        <v>-266473.8</v>
      </c>
      <c r="K146" s="84">
        <f>+K24</f>
        <v>1454906.0300000012</v>
      </c>
      <c r="M146" s="20"/>
      <c r="S146" s="18"/>
    </row>
    <row r="147" spans="1:19" hidden="1" x14ac:dyDescent="0.2">
      <c r="A147" s="109" t="s">
        <v>61</v>
      </c>
      <c r="B147" s="18"/>
      <c r="C147" s="18"/>
      <c r="D147" s="82" t="s">
        <v>61</v>
      </c>
      <c r="E147" s="32">
        <f>+E30</f>
        <v>1284040.2</v>
      </c>
      <c r="F147" s="32">
        <f t="shared" si="26"/>
        <v>0</v>
      </c>
      <c r="G147" s="157"/>
      <c r="H147" s="32"/>
      <c r="I147" s="84">
        <f>+I30</f>
        <v>-1826417.7999999998</v>
      </c>
      <c r="J147" s="84">
        <f>+J30</f>
        <v>0</v>
      </c>
      <c r="K147" s="84">
        <f>+K30</f>
        <v>-1826417.7999999998</v>
      </c>
      <c r="M147" s="20"/>
      <c r="S147" s="18"/>
    </row>
    <row r="148" spans="1:19" hidden="1" x14ac:dyDescent="0.2">
      <c r="A148" s="109" t="s">
        <v>143</v>
      </c>
      <c r="B148" s="18"/>
      <c r="C148" s="18"/>
      <c r="D148" s="82" t="s">
        <v>143</v>
      </c>
      <c r="E148" s="32">
        <f>+E80</f>
        <v>33324797.660000004</v>
      </c>
      <c r="F148" s="32">
        <f t="shared" si="26"/>
        <v>0</v>
      </c>
      <c r="G148" s="157"/>
      <c r="H148" s="32"/>
      <c r="I148" s="84">
        <f>+I80</f>
        <v>38182309.879999995</v>
      </c>
      <c r="J148" s="84">
        <f>+J80</f>
        <v>-6107616</v>
      </c>
      <c r="K148" s="84">
        <f>+K80</f>
        <v>32074693.879999999</v>
      </c>
      <c r="M148" s="20"/>
      <c r="S148" s="18"/>
    </row>
    <row r="149" spans="1:19" hidden="1" x14ac:dyDescent="0.2">
      <c r="A149" s="109" t="s">
        <v>151</v>
      </c>
      <c r="B149" s="18"/>
      <c r="C149" s="18"/>
      <c r="D149" s="82" t="s">
        <v>151</v>
      </c>
      <c r="E149" s="32">
        <f>+E90</f>
        <v>24592480.040000003</v>
      </c>
      <c r="F149" s="32">
        <f t="shared" si="26"/>
        <v>0</v>
      </c>
      <c r="G149" s="157"/>
      <c r="H149" s="32"/>
      <c r="I149" s="84">
        <f>+I90</f>
        <v>28289046.040000003</v>
      </c>
      <c r="J149" s="84">
        <f>+J90</f>
        <v>0</v>
      </c>
      <c r="K149" s="84">
        <f>+K90</f>
        <v>28289046.040000003</v>
      </c>
      <c r="M149" s="20"/>
      <c r="S149" s="18"/>
    </row>
    <row r="150" spans="1:19" hidden="1" x14ac:dyDescent="0.2">
      <c r="A150" s="109" t="s">
        <v>62</v>
      </c>
      <c r="B150" s="18"/>
      <c r="C150" s="18"/>
      <c r="D150" s="82" t="s">
        <v>62</v>
      </c>
      <c r="E150" s="32">
        <v>0</v>
      </c>
      <c r="F150" s="32">
        <f t="shared" si="26"/>
        <v>0</v>
      </c>
      <c r="G150" s="157"/>
      <c r="H150" s="32"/>
      <c r="I150" s="84">
        <v>0</v>
      </c>
      <c r="J150" s="84">
        <v>0</v>
      </c>
      <c r="K150" s="84">
        <v>0</v>
      </c>
      <c r="M150" s="20"/>
      <c r="S150" s="18"/>
    </row>
    <row r="151" spans="1:19" hidden="1" x14ac:dyDescent="0.2">
      <c r="A151" s="109" t="s">
        <v>152</v>
      </c>
      <c r="B151" s="18"/>
      <c r="C151" s="18"/>
      <c r="D151" s="82" t="s">
        <v>152</v>
      </c>
      <c r="E151" s="32">
        <f>+E106</f>
        <v>-3673755.56</v>
      </c>
      <c r="F151" s="32" t="e">
        <f>+F100+#REF!</f>
        <v>#REF!</v>
      </c>
      <c r="G151" s="157"/>
      <c r="H151" s="32"/>
      <c r="I151" s="84">
        <f>+I106</f>
        <v>-2668311.25</v>
      </c>
      <c r="J151" s="84">
        <f>+J106</f>
        <v>0</v>
      </c>
      <c r="K151" s="84">
        <f>+K106</f>
        <v>-2668311.25</v>
      </c>
      <c r="M151" s="20"/>
      <c r="S151" s="18"/>
    </row>
    <row r="152" spans="1:19" hidden="1" x14ac:dyDescent="0.2">
      <c r="A152" s="109"/>
      <c r="B152" s="18"/>
      <c r="C152" s="18"/>
      <c r="D152" s="82" t="s">
        <v>189</v>
      </c>
      <c r="E152" s="32">
        <f>E111</f>
        <v>0</v>
      </c>
      <c r="F152" s="32"/>
      <c r="G152" s="157"/>
      <c r="H152" s="32"/>
      <c r="I152" s="84">
        <f>I111</f>
        <v>0</v>
      </c>
      <c r="J152" s="84">
        <f>J111</f>
        <v>0</v>
      </c>
      <c r="K152" s="84">
        <f>K111</f>
        <v>0</v>
      </c>
      <c r="M152" s="20"/>
      <c r="S152" s="18"/>
    </row>
    <row r="153" spans="1:19" hidden="1" x14ac:dyDescent="0.2">
      <c r="A153" s="109" t="s">
        <v>154</v>
      </c>
      <c r="B153" s="18"/>
      <c r="C153" s="18"/>
      <c r="D153" s="82" t="s">
        <v>154</v>
      </c>
      <c r="E153" s="32">
        <f>+E114</f>
        <v>-3471770.63</v>
      </c>
      <c r="F153" s="32" t="e">
        <f>+#REF!+#REF!</f>
        <v>#REF!</v>
      </c>
      <c r="G153" s="157"/>
      <c r="H153" s="32"/>
      <c r="I153" s="84">
        <f>+I114</f>
        <v>-4937507.7300000004</v>
      </c>
      <c r="J153" s="84">
        <f>+J114</f>
        <v>0</v>
      </c>
      <c r="K153" s="84">
        <f>+K114</f>
        <v>-4937507.7300000004</v>
      </c>
      <c r="M153" s="20"/>
      <c r="S153" s="18"/>
    </row>
    <row r="154" spans="1:19" hidden="1" x14ac:dyDescent="0.2">
      <c r="A154" s="109" t="s">
        <v>153</v>
      </c>
      <c r="B154" s="18"/>
      <c r="C154" s="18"/>
      <c r="D154" s="82" t="s">
        <v>153</v>
      </c>
      <c r="E154" s="32">
        <f>+E121</f>
        <v>-15991.830000000004</v>
      </c>
      <c r="F154" s="32" t="e">
        <f>+#REF!+F101</f>
        <v>#REF!</v>
      </c>
      <c r="G154" s="157"/>
      <c r="H154" s="32"/>
      <c r="I154" s="84">
        <f>+I121</f>
        <v>-15853.620000000004</v>
      </c>
      <c r="J154" s="84">
        <f>+J121</f>
        <v>0</v>
      </c>
      <c r="K154" s="84">
        <f>+K121</f>
        <v>-15853.620000000004</v>
      </c>
      <c r="M154" s="20"/>
      <c r="S154" s="18"/>
    </row>
    <row r="155" spans="1:19" hidden="1" x14ac:dyDescent="0.2">
      <c r="A155" s="109" t="s">
        <v>155</v>
      </c>
      <c r="B155" s="18"/>
      <c r="C155" s="18"/>
      <c r="D155" s="82" t="s">
        <v>155</v>
      </c>
      <c r="E155" s="32">
        <f>+E130</f>
        <v>-48037533.030000009</v>
      </c>
      <c r="F155" s="32">
        <f t="shared" ref="F155" si="27">+F101+F102</f>
        <v>0</v>
      </c>
      <c r="G155" s="157"/>
      <c r="H155" s="32"/>
      <c r="I155" s="84">
        <f>+I130</f>
        <v>-48032371.590000004</v>
      </c>
      <c r="J155" s="84">
        <f>+J130</f>
        <v>0</v>
      </c>
      <c r="K155" s="84">
        <f>+K130</f>
        <v>-48032371.590000004</v>
      </c>
      <c r="M155" s="20"/>
      <c r="S155" s="18"/>
    </row>
    <row r="156" spans="1:19" hidden="1" x14ac:dyDescent="0.2">
      <c r="A156" s="109"/>
      <c r="B156" s="18"/>
      <c r="C156" s="18"/>
      <c r="D156" s="85"/>
      <c r="E156" s="83"/>
      <c r="F156" s="83"/>
      <c r="G156" s="165"/>
      <c r="H156" s="83"/>
      <c r="I156" s="86"/>
      <c r="J156" s="86"/>
      <c r="K156" s="86"/>
      <c r="M156" s="20"/>
      <c r="S156" s="18"/>
    </row>
    <row r="157" spans="1:19" hidden="1" x14ac:dyDescent="0.2">
      <c r="A157" s="109" t="s">
        <v>121</v>
      </c>
      <c r="B157" s="18"/>
      <c r="C157" s="18"/>
      <c r="D157" s="87" t="s">
        <v>121</v>
      </c>
      <c r="E157" s="88">
        <f>SUM(E143:E156)</f>
        <v>7829816.6400000006</v>
      </c>
      <c r="F157" s="88" t="e">
        <f>SUM(F147:F156)</f>
        <v>#REF!</v>
      </c>
      <c r="G157" s="166"/>
      <c r="H157" s="88"/>
      <c r="I157" s="89">
        <f>SUM(I143:I156)</f>
        <v>13217303.169999994</v>
      </c>
      <c r="J157" s="89">
        <f>SUM(J143:J156)</f>
        <v>0</v>
      </c>
      <c r="K157" s="89">
        <f>SUM(K143:K156)</f>
        <v>13217303.169999994</v>
      </c>
      <c r="M157" s="20"/>
      <c r="S157" s="18"/>
    </row>
    <row r="158" spans="1:19" hidden="1" x14ac:dyDescent="0.2">
      <c r="B158" s="18"/>
      <c r="C158" s="18"/>
      <c r="F158" s="19"/>
      <c r="G158" s="148"/>
      <c r="H158" s="19"/>
      <c r="I158" s="19"/>
      <c r="J158" s="19"/>
      <c r="K158" s="19"/>
      <c r="M158" s="20"/>
      <c r="S158" s="18"/>
    </row>
    <row r="159" spans="1:19" hidden="1" x14ac:dyDescent="0.2">
      <c r="B159" s="18"/>
      <c r="C159" s="18"/>
      <c r="E159" s="19">
        <f>+E157-E134</f>
        <v>0</v>
      </c>
      <c r="F159" s="19"/>
      <c r="G159" s="148"/>
      <c r="H159" s="19"/>
      <c r="I159" s="19">
        <f>+I157-I134</f>
        <v>-1419065.3700000048</v>
      </c>
      <c r="J159" s="19">
        <f>+J157-J134</f>
        <v>0</v>
      </c>
      <c r="K159" s="19">
        <f>+K157-K134</f>
        <v>-1419065.3700000048</v>
      </c>
      <c r="M159" s="20"/>
      <c r="S159" s="18"/>
    </row>
    <row r="160" spans="1:19" hidden="1" x14ac:dyDescent="0.2">
      <c r="B160" s="18"/>
      <c r="C160" s="18"/>
      <c r="F160" s="19"/>
      <c r="G160" s="148"/>
      <c r="H160" s="19"/>
      <c r="I160" s="19"/>
      <c r="J160" s="19"/>
      <c r="K160" s="19"/>
      <c r="M160" s="20"/>
      <c r="S160" s="18"/>
    </row>
    <row r="161" spans="1:19" hidden="1" x14ac:dyDescent="0.2">
      <c r="B161" s="18"/>
      <c r="C161" s="18"/>
      <c r="F161" s="19"/>
      <c r="G161" s="148"/>
      <c r="H161" s="19"/>
      <c r="I161" s="19"/>
      <c r="J161" s="19"/>
      <c r="K161" s="19"/>
      <c r="M161" s="20"/>
      <c r="S161" s="18"/>
    </row>
    <row r="162" spans="1:19" hidden="1" x14ac:dyDescent="0.2">
      <c r="B162" s="18"/>
      <c r="C162" s="18"/>
      <c r="F162" s="19"/>
      <c r="G162" s="148"/>
      <c r="H162" s="19"/>
      <c r="I162" s="19"/>
      <c r="J162" s="19"/>
      <c r="K162" s="19"/>
      <c r="M162" s="20"/>
      <c r="S162" s="18"/>
    </row>
    <row r="163" spans="1:19" hidden="1" x14ac:dyDescent="0.2">
      <c r="A163" s="100" t="s">
        <v>63</v>
      </c>
      <c r="B163" s="18"/>
      <c r="C163" s="18"/>
      <c r="D163" s="4" t="s">
        <v>63</v>
      </c>
      <c r="F163" s="19"/>
      <c r="G163" s="148">
        <f>+G34+G42+G44+G46+G48+G85+G57+G59+G15+G50+G66+G55+G65</f>
        <v>-251300</v>
      </c>
      <c r="H163" s="19">
        <f>+H34+H52+H42+H44+H46+H48+H85+H57+H59+H15+H50+H66+H55</f>
        <v>0</v>
      </c>
      <c r="I163" s="19"/>
      <c r="J163" s="19"/>
      <c r="K163" s="19"/>
      <c r="M163" s="20"/>
      <c r="S163" s="18"/>
    </row>
    <row r="164" spans="1:19" hidden="1" x14ac:dyDescent="0.2">
      <c r="A164" s="100" t="s">
        <v>64</v>
      </c>
      <c r="B164" s="18"/>
      <c r="C164" s="18"/>
      <c r="D164" s="34" t="s">
        <v>64</v>
      </c>
      <c r="F164" s="19"/>
      <c r="G164" s="148">
        <f>+G9+G92+G10</f>
        <v>578872.6</v>
      </c>
      <c r="H164" s="19">
        <f>+H9+H92+H10</f>
        <v>0</v>
      </c>
      <c r="I164" s="19"/>
      <c r="J164" s="19"/>
      <c r="K164" s="19"/>
      <c r="M164" s="20"/>
      <c r="S164" s="18"/>
    </row>
    <row r="165" spans="1:19" hidden="1" x14ac:dyDescent="0.2">
      <c r="A165" s="100" t="s">
        <v>65</v>
      </c>
      <c r="B165" s="18"/>
      <c r="C165" s="18"/>
      <c r="D165" s="34" t="s">
        <v>65</v>
      </c>
      <c r="F165" s="19"/>
      <c r="G165" s="148">
        <f>+G100+G101+G102+G103+G99+G104</f>
        <v>1072989.73</v>
      </c>
      <c r="H165" s="19">
        <f>+H100+H101+H102+H103+H99</f>
        <v>-67545.42</v>
      </c>
      <c r="I165" s="19"/>
      <c r="J165" s="19"/>
      <c r="K165" s="19"/>
      <c r="M165" s="20"/>
      <c r="S165" s="18"/>
    </row>
    <row r="166" spans="1:19" hidden="1" x14ac:dyDescent="0.2">
      <c r="B166" s="18"/>
      <c r="C166" s="18"/>
      <c r="F166" s="19"/>
      <c r="G166" s="148"/>
      <c r="H166" s="19"/>
      <c r="I166" s="19"/>
      <c r="J166" s="19"/>
      <c r="K166" s="19"/>
      <c r="M166" s="20"/>
      <c r="S166" s="18"/>
    </row>
    <row r="167" spans="1:19" hidden="1" x14ac:dyDescent="0.2">
      <c r="B167" s="18"/>
      <c r="C167" s="18"/>
      <c r="F167" s="19"/>
      <c r="G167" s="167">
        <f>+G163+G164+G165-G138</f>
        <v>-6809054.8500000015</v>
      </c>
      <c r="H167" s="110">
        <f>+H163+H164+H165-H138</f>
        <v>0</v>
      </c>
      <c r="I167" s="19"/>
      <c r="J167" s="19"/>
      <c r="K167" s="19"/>
      <c r="M167" s="20"/>
      <c r="S167" s="18"/>
    </row>
    <row r="168" spans="1:19" hidden="1" x14ac:dyDescent="0.2">
      <c r="B168" s="18"/>
      <c r="C168" s="18"/>
      <c r="F168" s="19"/>
      <c r="H168" s="29">
        <f>+H164+H165+H163+G163+G164+G165</f>
        <v>1333016.9099999999</v>
      </c>
      <c r="I168" s="19"/>
      <c r="J168" s="19"/>
      <c r="K168" s="19"/>
      <c r="M168" s="20"/>
      <c r="S168" s="18"/>
    </row>
    <row r="169" spans="1:19" hidden="1" x14ac:dyDescent="0.2">
      <c r="B169" s="18"/>
      <c r="C169" s="18"/>
      <c r="F169" s="19"/>
      <c r="G169" s="148"/>
      <c r="H169" s="29">
        <f>+H168-G138-H138</f>
        <v>-6809054.8500000015</v>
      </c>
      <c r="I169" s="19"/>
      <c r="J169" s="19"/>
      <c r="K169" s="19"/>
      <c r="M169" s="20"/>
      <c r="S169" s="18"/>
    </row>
    <row r="170" spans="1:19" x14ac:dyDescent="0.2">
      <c r="B170" s="18"/>
      <c r="C170" s="18"/>
      <c r="F170" s="19"/>
      <c r="G170" s="148"/>
      <c r="H170" s="19"/>
      <c r="I170" s="19"/>
      <c r="J170" s="19"/>
      <c r="K170" s="19"/>
      <c r="M170" s="20"/>
      <c r="S170" s="18"/>
    </row>
    <row r="171" spans="1:19" ht="12.75" hidden="1" customHeight="1" x14ac:dyDescent="0.2">
      <c r="B171" s="18"/>
      <c r="C171" s="18"/>
      <c r="F171" s="19"/>
      <c r="G171" s="148"/>
      <c r="H171" s="19"/>
      <c r="I171" s="19"/>
      <c r="J171" s="19"/>
      <c r="K171" s="19"/>
      <c r="M171" s="20"/>
      <c r="S171" s="18"/>
    </row>
    <row r="172" spans="1:19" ht="12.75" hidden="1" customHeight="1" x14ac:dyDescent="0.2">
      <c r="A172" s="101" t="s">
        <v>144</v>
      </c>
      <c r="B172" s="18"/>
      <c r="C172" s="18"/>
      <c r="D172" s="22" t="s">
        <v>144</v>
      </c>
      <c r="E172" s="4" t="s">
        <v>121</v>
      </c>
      <c r="F172" s="19" t="s">
        <v>147</v>
      </c>
      <c r="G172" s="148" t="s">
        <v>148</v>
      </c>
      <c r="H172" s="19"/>
      <c r="I172" s="19"/>
      <c r="J172" s="19"/>
      <c r="K172" s="19"/>
      <c r="M172" s="20"/>
      <c r="S172" s="18"/>
    </row>
    <row r="173" spans="1:19" ht="12.75" hidden="1" customHeight="1" x14ac:dyDescent="0.2">
      <c r="A173" s="101" t="s">
        <v>145</v>
      </c>
      <c r="B173" s="18"/>
      <c r="C173" s="18"/>
      <c r="D173" s="22" t="s">
        <v>145</v>
      </c>
      <c r="E173" s="19">
        <v>19066028.010000002</v>
      </c>
      <c r="F173" s="19">
        <v>62319564.710000008</v>
      </c>
      <c r="G173" s="148">
        <v>-43253536.700000003</v>
      </c>
      <c r="H173" s="19"/>
      <c r="I173" s="19"/>
      <c r="J173" s="19"/>
      <c r="K173" s="19"/>
      <c r="M173" s="20"/>
      <c r="S173" s="18"/>
    </row>
    <row r="174" spans="1:19" ht="12.75" hidden="1" customHeight="1" x14ac:dyDescent="0.2">
      <c r="A174" s="101" t="s">
        <v>146</v>
      </c>
      <c r="B174" s="18"/>
      <c r="C174" s="18"/>
      <c r="D174" s="22" t="s">
        <v>146</v>
      </c>
      <c r="F174" s="19"/>
      <c r="G174" s="148"/>
      <c r="H174" s="19"/>
      <c r="I174" s="19"/>
      <c r="J174" s="19"/>
      <c r="K174" s="19"/>
      <c r="M174" s="20"/>
      <c r="S174" s="18"/>
    </row>
    <row r="175" spans="1:19" ht="12.75" hidden="1" customHeight="1" x14ac:dyDescent="0.2">
      <c r="A175" s="100" t="s">
        <v>149</v>
      </c>
      <c r="B175" s="18"/>
      <c r="C175" s="18"/>
      <c r="D175" s="4" t="s">
        <v>149</v>
      </c>
      <c r="E175" s="29">
        <f>SUM(F175:G175)</f>
        <v>905563</v>
      </c>
      <c r="F175" s="19">
        <v>905563</v>
      </c>
      <c r="G175" s="148"/>
      <c r="H175" s="19"/>
      <c r="I175" s="19"/>
      <c r="J175" s="19"/>
      <c r="K175" s="19"/>
      <c r="M175" s="20"/>
      <c r="S175" s="18"/>
    </row>
    <row r="176" spans="1:19" ht="12.75" hidden="1" customHeight="1" x14ac:dyDescent="0.2">
      <c r="A176" s="100" t="s">
        <v>150</v>
      </c>
      <c r="B176" s="18"/>
      <c r="C176" s="18"/>
      <c r="D176" s="4" t="s">
        <v>150</v>
      </c>
      <c r="E176" s="29">
        <f>SUM(F176:G176)</f>
        <v>-905563</v>
      </c>
      <c r="G176" s="148">
        <v>-905563</v>
      </c>
      <c r="H176" s="19"/>
      <c r="I176" s="19"/>
      <c r="J176" s="19"/>
      <c r="K176" s="19"/>
      <c r="M176" s="20"/>
      <c r="S176" s="18"/>
    </row>
    <row r="177" spans="1:19" ht="12.75" hidden="1" customHeight="1" x14ac:dyDescent="0.2">
      <c r="B177" s="18"/>
      <c r="C177" s="18"/>
      <c r="F177" s="19"/>
      <c r="G177" s="148"/>
      <c r="H177" s="19"/>
      <c r="I177" s="19"/>
      <c r="J177" s="19"/>
      <c r="K177" s="19"/>
      <c r="M177" s="20"/>
      <c r="S177" s="18"/>
    </row>
    <row r="178" spans="1:19" ht="12.75" hidden="1" customHeight="1" x14ac:dyDescent="0.2">
      <c r="B178" s="18"/>
      <c r="C178" s="18"/>
      <c r="E178" s="94"/>
      <c r="F178" s="95"/>
      <c r="G178" s="169"/>
      <c r="H178" s="19"/>
      <c r="I178" s="19"/>
      <c r="J178" s="19"/>
      <c r="K178" s="19"/>
      <c r="M178" s="20"/>
      <c r="S178" s="18"/>
    </row>
    <row r="179" spans="1:19" ht="12.75" hidden="1" customHeight="1" x14ac:dyDescent="0.2">
      <c r="B179" s="18"/>
      <c r="C179" s="18"/>
      <c r="E179" s="29">
        <f>SUM(E173:E178)</f>
        <v>19066028.010000002</v>
      </c>
      <c r="F179" s="29">
        <f>SUM(F173:F178)</f>
        <v>63225127.710000008</v>
      </c>
      <c r="G179" s="151">
        <f>SUM(G173:G178)</f>
        <v>-44159099.700000003</v>
      </c>
      <c r="H179" s="19"/>
      <c r="I179" s="19"/>
      <c r="J179" s="19"/>
      <c r="K179" s="19"/>
      <c r="M179" s="20"/>
      <c r="S179" s="18"/>
    </row>
    <row r="180" spans="1:19" x14ac:dyDescent="0.2">
      <c r="B180" s="18"/>
      <c r="C180" s="18"/>
      <c r="F180" s="19"/>
      <c r="G180" s="83"/>
      <c r="H180" s="19"/>
      <c r="I180" s="19"/>
      <c r="J180" s="19"/>
      <c r="K180" s="83"/>
      <c r="M180" s="20"/>
      <c r="S180" s="18"/>
    </row>
    <row r="181" spans="1:19" x14ac:dyDescent="0.2">
      <c r="B181" s="18"/>
      <c r="C181" s="18"/>
      <c r="F181" s="19"/>
      <c r="G181" s="83"/>
      <c r="H181" s="19"/>
      <c r="I181" s="19"/>
      <c r="J181" s="19"/>
      <c r="K181" s="83"/>
      <c r="M181" s="20"/>
      <c r="S181" s="18"/>
    </row>
    <row r="182" spans="1:19" x14ac:dyDescent="0.2">
      <c r="B182" s="18"/>
      <c r="C182" s="18"/>
      <c r="F182" s="19"/>
      <c r="G182" s="234"/>
      <c r="H182" s="19"/>
      <c r="I182" s="19"/>
      <c r="J182" s="19"/>
      <c r="K182" s="234"/>
      <c r="M182" s="20"/>
      <c r="S182" s="18"/>
    </row>
    <row r="183" spans="1:19" x14ac:dyDescent="0.2">
      <c r="B183" s="18"/>
      <c r="C183" s="18"/>
      <c r="F183" s="19"/>
      <c r="G183" s="165"/>
      <c r="H183" s="19"/>
      <c r="I183" s="19"/>
      <c r="J183" s="19"/>
      <c r="K183" s="83"/>
      <c r="M183" s="20"/>
      <c r="S183" s="18"/>
    </row>
    <row r="184" spans="1:19" x14ac:dyDescent="0.2">
      <c r="B184" s="18"/>
      <c r="C184" s="18"/>
      <c r="F184" s="19"/>
      <c r="G184" s="165"/>
      <c r="H184" s="19"/>
      <c r="I184" s="19"/>
      <c r="J184" s="19"/>
      <c r="K184" s="19"/>
      <c r="M184" s="20"/>
      <c r="S184" s="18"/>
    </row>
    <row r="185" spans="1:19" x14ac:dyDescent="0.2">
      <c r="B185" s="18"/>
      <c r="C185" s="18"/>
      <c r="F185" s="19"/>
      <c r="G185" s="165"/>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C249" s="18"/>
      <c r="F249" s="19"/>
      <c r="G249" s="148"/>
      <c r="H249" s="19"/>
      <c r="I249" s="19"/>
      <c r="J249" s="19"/>
      <c r="K249" s="19"/>
      <c r="M249" s="20"/>
      <c r="S249" s="18"/>
    </row>
    <row r="250" spans="1:22" x14ac:dyDescent="0.2">
      <c r="C250" s="18"/>
      <c r="F250" s="19"/>
      <c r="G250" s="148"/>
      <c r="H250" s="19"/>
      <c r="I250" s="19"/>
      <c r="J250" s="19"/>
      <c r="K250" s="19"/>
      <c r="M250" s="20"/>
      <c r="S250" s="18"/>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x14ac:dyDescent="0.2">
      <c r="H299" s="19"/>
    </row>
  </sheetData>
  <mergeCells count="1">
    <mergeCell ref="Q5:R5"/>
  </mergeCells>
  <conditionalFormatting sqref="H167 G169">
    <cfRule type="cellIs" dxfId="25" priority="1" stopIfTrue="1" operator="notEqual">
      <formula>0</formula>
    </cfRule>
  </conditionalFormatting>
  <pageMargins left="0.25" right="0.35" top="0.5" bottom="0.75" header="0.5" footer="0.25"/>
  <pageSetup scale="57" orientation="landscape" r:id="rId1"/>
  <headerFooter alignWithMargins="0">
    <oddFooter>&amp;L&amp;D&amp;T&amp;R&amp;Z&amp;F</oddFooter>
  </headerFooter>
  <rowBreaks count="1" manualBreakCount="1">
    <brk id="141" min="1" max="1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01"/>
  <sheetViews>
    <sheetView zoomScale="80" zoomScaleNormal="80" workbookViewId="0">
      <selection activeCell="G30" sqref="G3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576" t="s">
        <v>10</v>
      </c>
      <c r="R5" s="576"/>
      <c r="U5" s="12" t="s">
        <v>11</v>
      </c>
    </row>
    <row r="6" spans="1:22" x14ac:dyDescent="0.2">
      <c r="E6" s="218">
        <v>42277</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Sep 2015'!$A$1:$I$252,9,FALSE)</f>
        <v>-1.1641532182693481E-9</v>
      </c>
      <c r="F9" s="30">
        <v>0</v>
      </c>
      <c r="G9" s="33">
        <v>0</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VLOOKUP(A10,'DEK Sep 2015'!$A$1:$I$252,9,FALSE)</f>
        <v>0</v>
      </c>
      <c r="F10" s="33">
        <v>0</v>
      </c>
      <c r="G10" s="130">
        <v>578872.6</v>
      </c>
      <c r="H10" s="33">
        <v>0</v>
      </c>
      <c r="I10" s="115">
        <f>E10+F10+G10+H10</f>
        <v>578872.6</v>
      </c>
      <c r="J10" s="30">
        <v>0</v>
      </c>
      <c r="K10" s="115">
        <f>I10+J10</f>
        <v>578872.6</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-1.1641532182693481E-9</v>
      </c>
      <c r="F12" s="29">
        <f t="shared" ref="F12:J12" si="0">SUM(F9:F10)</f>
        <v>0</v>
      </c>
      <c r="G12" s="29">
        <f t="shared" si="0"/>
        <v>578872.6</v>
      </c>
      <c r="H12" s="29">
        <f t="shared" si="0"/>
        <v>0</v>
      </c>
      <c r="I12" s="117">
        <f t="shared" si="0"/>
        <v>578872.59999999881</v>
      </c>
      <c r="J12" s="29">
        <f t="shared" si="0"/>
        <v>0</v>
      </c>
      <c r="K12" s="117">
        <f>SUM(K9:K10)</f>
        <v>578872.59999999881</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Sep 2015'!$A$1:$I$252,9,FALSE)</f>
        <v>787310.81</v>
      </c>
      <c r="F15" s="30">
        <v>0</v>
      </c>
      <c r="G15" s="130">
        <v>-301300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Sep 2015'!$A$1:$I$252,9,FALSE)</f>
        <v>1296653</v>
      </c>
      <c r="F16" s="30">
        <v>0</v>
      </c>
      <c r="G16" s="130">
        <v>143493</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Sep 2015'!$A$1:$I$252,9,FALSE)</f>
        <v>0</v>
      </c>
      <c r="F17" s="30">
        <v>0</v>
      </c>
      <c r="G17" s="33">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2083963.81</v>
      </c>
      <c r="F19" s="29">
        <f t="shared" ref="F19:K19" si="2">SUM(F15:F18)</f>
        <v>0</v>
      </c>
      <c r="G19" s="29">
        <f t="shared" si="2"/>
        <v>-157807</v>
      </c>
      <c r="H19" s="29">
        <f t="shared" si="2"/>
        <v>0</v>
      </c>
      <c r="I19" s="123">
        <f t="shared" si="2"/>
        <v>1926156.81</v>
      </c>
      <c r="J19" s="49">
        <f t="shared" si="2"/>
        <v>6374089.7999999998</v>
      </c>
      <c r="K19" s="123">
        <f t="shared" si="2"/>
        <v>8300246.6099999994</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Sep 2015'!$A$1:$I$252,9,FALSE)</f>
        <v>1787998.320000001</v>
      </c>
      <c r="F22" s="33">
        <v>0</v>
      </c>
      <c r="G22" s="33">
        <v>0</v>
      </c>
      <c r="H22" s="130">
        <v>-66618.490000000005</v>
      </c>
      <c r="I22" s="115">
        <f>E22+F22+G22+H22</f>
        <v>1721379.830000001</v>
      </c>
      <c r="J22" s="33">
        <v>-266473.8</v>
      </c>
      <c r="K22" s="115">
        <f>I22+J22</f>
        <v>1454906.030000001</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1787998.320000001</v>
      </c>
      <c r="F24" s="29">
        <f t="shared" ref="F24:K24" si="3">SUM(F22:F23)</f>
        <v>0</v>
      </c>
      <c r="G24" s="29">
        <f t="shared" si="3"/>
        <v>0</v>
      </c>
      <c r="H24" s="29">
        <f t="shared" si="3"/>
        <v>-66618.490000000005</v>
      </c>
      <c r="I24" s="123">
        <f t="shared" si="3"/>
        <v>1721379.830000001</v>
      </c>
      <c r="J24" s="49">
        <f t="shared" si="3"/>
        <v>-266473.8</v>
      </c>
      <c r="K24" s="123">
        <f t="shared" si="3"/>
        <v>1454906.030000001</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Sep 2015'!$A$1:$I$252,9,FALSE)</f>
        <v>1597568</v>
      </c>
      <c r="F27" s="33">
        <v>0</v>
      </c>
      <c r="G27" s="130">
        <v>367695</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VLOOKUP(A28,'DEK Sep 2015'!$A$1:$I$252,9,FALSE)</f>
        <v>-512392.80000000005</v>
      </c>
      <c r="F28" s="33">
        <v>0</v>
      </c>
      <c r="G28" s="130">
        <v>-3279288</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1085175.2</v>
      </c>
      <c r="F30" s="44">
        <f t="shared" ref="F30:K30" si="4">SUM(F27:F28)</f>
        <v>0</v>
      </c>
      <c r="G30" s="33">
        <f t="shared" si="4"/>
        <v>-2911593</v>
      </c>
      <c r="H30" s="33">
        <f t="shared" si="4"/>
        <v>0</v>
      </c>
      <c r="I30" s="123">
        <f t="shared" si="4"/>
        <v>-1826417.7999999998</v>
      </c>
      <c r="J30" s="33">
        <f t="shared" si="4"/>
        <v>0</v>
      </c>
      <c r="K30" s="123">
        <f t="shared" si="4"/>
        <v>-1826417.7999999998</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Sep 2015'!$A$1:$I$252,9,FALSE)</f>
        <v>7400929.3600000003</v>
      </c>
      <c r="F52" s="33">
        <v>0</v>
      </c>
      <c r="G52" s="130">
        <v>-738075.38</v>
      </c>
      <c r="H52" s="33">
        <v>0</v>
      </c>
      <c r="I52" s="115">
        <f>E52+F52+G52+H52</f>
        <v>6662853.9800000004</v>
      </c>
      <c r="J52" s="33">
        <v>-6107616</v>
      </c>
      <c r="K52" s="115">
        <f>I52+J52</f>
        <v>555237.98000000045</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Sep 2015'!$A$1:$I$252,9,FALSE)</f>
        <v>5829987</v>
      </c>
      <c r="F53" s="33">
        <v>0</v>
      </c>
      <c r="G53" s="130">
        <v>-94200</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VLOOKUP(A59,'DEK Sep 2015'!$A$1:$I$252,9,FALSE)</f>
        <v>1350000</v>
      </c>
      <c r="F59" s="33">
        <v>0</v>
      </c>
      <c r="G59" s="130">
        <v>50000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VLOOKUP(A63,'DEK Sep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Sep 2015'!$A$1:$I$252,9,FALSE)</f>
        <v>9295336.1099999994</v>
      </c>
      <c r="F67" s="172"/>
      <c r="G67" s="130">
        <v>2887191.6</v>
      </c>
      <c r="H67" s="172"/>
      <c r="I67" s="115">
        <f t="shared" si="5"/>
        <v>12182527.709999999</v>
      </c>
      <c r="J67" s="172"/>
      <c r="K67" s="115">
        <f t="shared" si="6"/>
        <v>12182527.709999999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Sep 2015'!$A$1:$I$252,9,FALSE)</f>
        <v>-839085.66</v>
      </c>
      <c r="F69" s="172"/>
      <c r="G69" s="130">
        <v>839085.66</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c r="F71" s="172"/>
      <c r="G71" s="130">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B73" s="28"/>
      <c r="C73" s="28" t="s">
        <v>256</v>
      </c>
      <c r="D73" s="4" t="s">
        <v>257</v>
      </c>
      <c r="E73" s="32"/>
      <c r="F73" s="172"/>
      <c r="G73" s="130">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Sep 2015'!$A$1:$I$252,9,FALSE)</f>
        <v>3300226.8200000003</v>
      </c>
      <c r="F75" s="172"/>
      <c r="G75" s="130">
        <v>982173.7</v>
      </c>
      <c r="H75" s="33"/>
      <c r="I75" s="115">
        <f t="shared" ref="I75" si="7">E75+F75+G75+H75</f>
        <v>4282400.5200000005</v>
      </c>
      <c r="J75" s="33"/>
      <c r="K75" s="115">
        <f t="shared" ref="K75" si="8">I75+J75</f>
        <v>4282400.5200000005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Sep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v>0</v>
      </c>
      <c r="H79" s="36">
        <v>0</v>
      </c>
      <c r="I79" s="116">
        <f t="shared" si="9"/>
        <v>0</v>
      </c>
      <c r="J79" s="36"/>
      <c r="K79" s="116">
        <f t="shared" si="10"/>
        <v>0</v>
      </c>
      <c r="M79" s="20"/>
      <c r="S79" s="18"/>
    </row>
    <row r="80" spans="1:19" x14ac:dyDescent="0.2">
      <c r="B80" s="54"/>
      <c r="C80" s="28"/>
      <c r="E80" s="32">
        <f>SUM(E42:E79)</f>
        <v>31250077.629999999</v>
      </c>
      <c r="F80" s="29">
        <f>SUM(F39:F65)+F36</f>
        <v>0</v>
      </c>
      <c r="G80" s="29">
        <f>SUM(G39:G79)+G36</f>
        <v>6932232.25</v>
      </c>
      <c r="H80" s="29">
        <f>SUM(H39:H79)+H36</f>
        <v>0</v>
      </c>
      <c r="I80" s="123">
        <f>SUM(I39:I79)+I36</f>
        <v>38182309.879999995</v>
      </c>
      <c r="J80" s="49">
        <f>SUM(J39:J79)+J36</f>
        <v>-6107616</v>
      </c>
      <c r="K80" s="123">
        <f>SUM(K39:K79)+K36</f>
        <v>32074693.879999999</v>
      </c>
      <c r="M80" s="20"/>
      <c r="S80" s="18"/>
    </row>
    <row r="81" spans="1:21" x14ac:dyDescent="0.2">
      <c r="B81" s="54"/>
      <c r="C81" s="28"/>
      <c r="E81" s="32"/>
      <c r="F81" s="29"/>
      <c r="G81" s="29"/>
      <c r="H81" s="29"/>
      <c r="I81" s="123"/>
      <c r="J81" s="49"/>
      <c r="K81" s="123"/>
      <c r="M81" s="20"/>
      <c r="S81" s="18"/>
    </row>
    <row r="82" spans="1:21" x14ac:dyDescent="0.2">
      <c r="A82" s="100" t="s">
        <v>269</v>
      </c>
      <c r="B82" s="54"/>
      <c r="C82" s="28" t="s">
        <v>268</v>
      </c>
      <c r="D82" s="4" t="s">
        <v>269</v>
      </c>
      <c r="E82" s="32">
        <v>0</v>
      </c>
      <c r="F82" s="29"/>
      <c r="G82" s="29">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M83" s="20"/>
      <c r="S83" s="18"/>
    </row>
    <row r="84" spans="1:21" x14ac:dyDescent="0.2">
      <c r="B84" s="54"/>
      <c r="C84" s="28"/>
      <c r="E84" s="32"/>
      <c r="F84" s="29"/>
      <c r="G84" s="29"/>
      <c r="H84" s="29"/>
      <c r="I84" s="123"/>
      <c r="J84" s="49"/>
      <c r="K84" s="123"/>
      <c r="M84" s="20"/>
      <c r="S84" s="18"/>
    </row>
    <row r="85" spans="1:21" x14ac:dyDescent="0.2">
      <c r="B85" s="28"/>
      <c r="C85" s="28"/>
      <c r="E85" s="32"/>
      <c r="F85" s="30"/>
      <c r="G85" s="152"/>
      <c r="H85" s="30"/>
      <c r="I85" s="115"/>
      <c r="J85" s="30"/>
      <c r="K85" s="115"/>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161</v>
      </c>
      <c r="B88" s="28"/>
      <c r="C88" s="28" t="s">
        <v>72</v>
      </c>
      <c r="D88" s="4" t="s">
        <v>224</v>
      </c>
      <c r="E88" s="32">
        <f>VLOOKUP(A88,'DEK Sep 2015'!$A$1:$I$252,9,FALSE)</f>
        <v>21963561.440000001</v>
      </c>
      <c r="F88" s="30">
        <v>0</v>
      </c>
      <c r="G88" s="130">
        <v>3359091</v>
      </c>
      <c r="H88" s="30">
        <v>0</v>
      </c>
      <c r="I88" s="115">
        <f>E88+F88+G88+H88</f>
        <v>25322652.440000001</v>
      </c>
      <c r="J88" s="30">
        <v>0</v>
      </c>
      <c r="K88" s="115">
        <f t="shared" ref="K88:K90" si="12">I88+J88</f>
        <v>25322652.440000001</v>
      </c>
      <c r="L88" s="210" t="s">
        <v>22</v>
      </c>
      <c r="M88" s="20"/>
      <c r="P88" s="58"/>
      <c r="S88" s="18">
        <v>186801</v>
      </c>
    </row>
    <row r="89" spans="1:21" x14ac:dyDescent="0.2">
      <c r="A89" s="108" t="s">
        <v>171</v>
      </c>
      <c r="B89" s="28"/>
      <c r="C89" s="28" t="s">
        <v>122</v>
      </c>
      <c r="D89" s="4" t="s">
        <v>225</v>
      </c>
      <c r="E89" s="32">
        <f>VLOOKUP(A89,'DEK Sep 2015'!$A$1:$I$252,9,FALSE)</f>
        <v>2997687.55</v>
      </c>
      <c r="F89" s="30">
        <v>0</v>
      </c>
      <c r="G89" s="130">
        <v>-82758</v>
      </c>
      <c r="H89" s="30">
        <v>0</v>
      </c>
      <c r="I89" s="115">
        <f>E89+F89+G89+H89</f>
        <v>2914929.55</v>
      </c>
      <c r="J89" s="30">
        <v>0</v>
      </c>
      <c r="K89" s="115">
        <f t="shared" si="12"/>
        <v>2914929.55</v>
      </c>
      <c r="L89" s="210" t="s">
        <v>22</v>
      </c>
      <c r="M89" s="20"/>
      <c r="P89" s="58"/>
      <c r="S89" s="18"/>
    </row>
    <row r="90" spans="1:21" x14ac:dyDescent="0.2">
      <c r="A90" s="108" t="s">
        <v>172</v>
      </c>
      <c r="B90" s="28"/>
      <c r="C90" s="28" t="s">
        <v>123</v>
      </c>
      <c r="D90" s="4" t="s">
        <v>226</v>
      </c>
      <c r="E90" s="32">
        <f>VLOOKUP(A90,'DEK Sep 2015'!$A$1:$I$252,9,FALSE)</f>
        <v>56889.05</v>
      </c>
      <c r="F90" s="30">
        <v>0</v>
      </c>
      <c r="G90" s="130">
        <v>-5425</v>
      </c>
      <c r="H90" s="30">
        <v>0</v>
      </c>
      <c r="I90" s="115">
        <f>E90+F90+G90+H90</f>
        <v>51464.05</v>
      </c>
      <c r="J90" s="30">
        <v>0</v>
      </c>
      <c r="K90" s="115">
        <f t="shared" si="12"/>
        <v>51464.05</v>
      </c>
      <c r="L90" s="210" t="s">
        <v>22</v>
      </c>
      <c r="M90" s="20"/>
      <c r="P90" s="58"/>
      <c r="S90" s="18"/>
    </row>
    <row r="91" spans="1:21" x14ac:dyDescent="0.2">
      <c r="B91" s="28"/>
      <c r="C91" s="28"/>
      <c r="E91" s="35"/>
      <c r="F91" s="36"/>
      <c r="G91" s="150"/>
      <c r="H91" s="36"/>
      <c r="I91" s="116"/>
      <c r="J91" s="36"/>
      <c r="K91" s="116"/>
      <c r="M91" s="20"/>
      <c r="P91" s="58"/>
      <c r="S91" s="18"/>
    </row>
    <row r="92" spans="1:21" x14ac:dyDescent="0.2">
      <c r="B92" s="28"/>
      <c r="C92" s="18"/>
      <c r="E92" s="32">
        <f>SUM(E87:E91)</f>
        <v>25018138.040000003</v>
      </c>
      <c r="F92" s="29">
        <f t="shared" ref="F92:K92" si="13">SUM(F87:F91)</f>
        <v>0</v>
      </c>
      <c r="G92" s="29">
        <f>SUM(G87:G91)</f>
        <v>3270908</v>
      </c>
      <c r="H92" s="29">
        <f t="shared" si="13"/>
        <v>0</v>
      </c>
      <c r="I92" s="123">
        <f t="shared" si="13"/>
        <v>28289046.040000003</v>
      </c>
      <c r="J92" s="29">
        <f t="shared" si="13"/>
        <v>0</v>
      </c>
      <c r="K92" s="123">
        <f t="shared" si="13"/>
        <v>28289046.040000003</v>
      </c>
      <c r="M92" s="20"/>
      <c r="S92" s="18"/>
    </row>
    <row r="93" spans="1:21" ht="12.75" hidden="1" customHeight="1" x14ac:dyDescent="0.2">
      <c r="B93" s="54" t="s">
        <v>135</v>
      </c>
      <c r="C93" s="18"/>
      <c r="E93" s="32"/>
      <c r="F93" s="29"/>
      <c r="G93" s="151"/>
      <c r="H93" s="29"/>
      <c r="I93" s="117"/>
      <c r="J93" s="29"/>
      <c r="K93" s="117"/>
      <c r="M93" s="20"/>
      <c r="S93" s="18"/>
    </row>
    <row r="94" spans="1:21" ht="12.75" hidden="1" customHeight="1" x14ac:dyDescent="0.2">
      <c r="A94" s="100" t="s">
        <v>108</v>
      </c>
      <c r="B94" s="28"/>
      <c r="C94" s="28" t="s">
        <v>71</v>
      </c>
      <c r="D94" s="4" t="s">
        <v>108</v>
      </c>
      <c r="E94" s="32">
        <v>0</v>
      </c>
      <c r="F94" s="30">
        <v>0</v>
      </c>
      <c r="G94" s="152">
        <v>0</v>
      </c>
      <c r="H94" s="30">
        <v>0</v>
      </c>
      <c r="I94" s="115">
        <f t="shared" ref="I94:K95" si="14">E94+F94+G94+H94</f>
        <v>0</v>
      </c>
      <c r="J94" s="30">
        <f t="shared" si="14"/>
        <v>0</v>
      </c>
      <c r="K94" s="115">
        <f t="shared" si="14"/>
        <v>0</v>
      </c>
      <c r="M94" s="20"/>
      <c r="S94" s="18">
        <v>174995</v>
      </c>
    </row>
    <row r="95" spans="1:21" ht="12.75" hidden="1" customHeight="1" x14ac:dyDescent="0.2">
      <c r="A95" s="100" t="s">
        <v>139</v>
      </c>
      <c r="B95" s="28"/>
      <c r="C95" s="28" t="s">
        <v>124</v>
      </c>
      <c r="D95" s="4" t="s">
        <v>139</v>
      </c>
      <c r="E95" s="32">
        <v>0</v>
      </c>
      <c r="F95" s="30">
        <v>0</v>
      </c>
      <c r="G95" s="152">
        <v>0</v>
      </c>
      <c r="H95" s="30">
        <v>0</v>
      </c>
      <c r="I95" s="115">
        <f t="shared" si="14"/>
        <v>0</v>
      </c>
      <c r="J95" s="30">
        <f t="shared" si="14"/>
        <v>0</v>
      </c>
      <c r="K95" s="115">
        <f t="shared" si="14"/>
        <v>0</v>
      </c>
      <c r="M95" s="20"/>
      <c r="S95" s="18"/>
    </row>
    <row r="96" spans="1:21" ht="7.5" hidden="1" customHeight="1" x14ac:dyDescent="0.2">
      <c r="B96" s="28"/>
      <c r="C96" s="18"/>
      <c r="D96" s="59"/>
      <c r="E96" s="32"/>
      <c r="F96" s="30"/>
      <c r="G96" s="152"/>
      <c r="H96" s="30"/>
      <c r="I96" s="115"/>
      <c r="J96" s="30"/>
      <c r="K96" s="115"/>
      <c r="M96" s="20"/>
      <c r="P96" s="58"/>
      <c r="S96" s="18"/>
    </row>
    <row r="97" spans="1:20" x14ac:dyDescent="0.2">
      <c r="B97" s="28"/>
      <c r="C97" s="18"/>
      <c r="E97" s="32"/>
      <c r="F97" s="30"/>
      <c r="G97" s="152"/>
      <c r="H97" s="30"/>
      <c r="I97" s="115"/>
      <c r="J97" s="30"/>
      <c r="K97" s="115"/>
      <c r="M97" s="20"/>
      <c r="S97" s="18"/>
    </row>
    <row r="98" spans="1:20" x14ac:dyDescent="0.2">
      <c r="B98" s="18"/>
      <c r="C98" s="131" t="s">
        <v>41</v>
      </c>
      <c r="D98" s="135"/>
      <c r="E98" s="133">
        <f>+E12+E24+E30+E80+E82+E92+E94+E19+E95</f>
        <v>61225353</v>
      </c>
      <c r="F98" s="133">
        <f t="shared" ref="F98" si="15">+F12+F24+F30+F80+F92+F94+F19+F95</f>
        <v>0</v>
      </c>
      <c r="G98" s="133">
        <f>+G12+G24+G30+G80+G82+G92+G94+G19+G95</f>
        <v>9131678.2199999988</v>
      </c>
      <c r="H98" s="133">
        <f>+H12+H24+H30+H80+H82+H92+H94+H19+H95</f>
        <v>-66618.490000000005</v>
      </c>
      <c r="I98" s="134">
        <f>+I12+I24+I30+I80+I82+I92+I94+I19+I95</f>
        <v>70290412.730000004</v>
      </c>
      <c r="J98" s="133">
        <f>+J12+J24+J30+J80+J82+J92+J94+J19+J95</f>
        <v>0</v>
      </c>
      <c r="K98" s="134">
        <f>+K12+K24+K30+K80+K82+K92+K94+K19+K95</f>
        <v>70290412.730000004</v>
      </c>
      <c r="M98" s="45"/>
      <c r="N98" s="143"/>
      <c r="S98" s="18"/>
    </row>
    <row r="99" spans="1:20" x14ac:dyDescent="0.2">
      <c r="A99" s="105"/>
      <c r="B99" s="18"/>
      <c r="C99" s="18"/>
      <c r="D99" s="12"/>
      <c r="E99" s="221"/>
      <c r="F99" s="50"/>
      <c r="G99" s="145"/>
      <c r="H99" s="50"/>
      <c r="I99" s="115"/>
      <c r="J99" s="30"/>
      <c r="K99" s="115"/>
      <c r="M99" s="45"/>
      <c r="S99" s="18"/>
    </row>
    <row r="100" spans="1:20" s="22" customFormat="1" x14ac:dyDescent="0.2">
      <c r="A100" s="106"/>
      <c r="B100" s="21" t="s">
        <v>130</v>
      </c>
      <c r="C100" s="46"/>
      <c r="D100" s="27"/>
      <c r="E100" s="222"/>
      <c r="F100" s="50"/>
      <c r="G100" s="145"/>
      <c r="H100" s="145"/>
      <c r="I100" s="113"/>
      <c r="J100" s="19"/>
      <c r="K100" s="113"/>
      <c r="M100" s="19"/>
      <c r="N100" s="20"/>
      <c r="O100" s="48"/>
      <c r="R100" s="57"/>
      <c r="S100" s="57"/>
    </row>
    <row r="101" spans="1:20" x14ac:dyDescent="0.2">
      <c r="A101" s="100" t="s">
        <v>114</v>
      </c>
      <c r="B101" s="18"/>
      <c r="C101" s="28" t="s">
        <v>52</v>
      </c>
      <c r="D101" s="4" t="s">
        <v>114</v>
      </c>
      <c r="E101" s="32">
        <f>VLOOKUP(A101,'DEK Sep 2015'!$A$1:$I$252,9,FALSE)</f>
        <v>257548.30000000013</v>
      </c>
      <c r="F101" s="30">
        <v>0</v>
      </c>
      <c r="G101" s="130">
        <v>9146.89</v>
      </c>
      <c r="H101" s="130">
        <v>-266695.19</v>
      </c>
      <c r="I101" s="115">
        <f t="shared" ref="I101:I106" si="16">E101+F101+G101+H101</f>
        <v>0</v>
      </c>
      <c r="J101" s="30">
        <v>0</v>
      </c>
      <c r="K101" s="115">
        <f t="shared" ref="K101:K106" si="17">I101+J101</f>
        <v>0</v>
      </c>
      <c r="L101" s="210" t="s">
        <v>22</v>
      </c>
      <c r="M101" s="33"/>
      <c r="N101" s="42"/>
      <c r="O101" s="42"/>
      <c r="S101" s="18">
        <v>191400</v>
      </c>
      <c r="T101" s="58"/>
    </row>
    <row r="102" spans="1:20" x14ac:dyDescent="0.2">
      <c r="A102" s="100" t="s">
        <v>115</v>
      </c>
      <c r="B102" s="18"/>
      <c r="C102" s="28" t="s">
        <v>53</v>
      </c>
      <c r="D102" s="4" t="s">
        <v>115</v>
      </c>
      <c r="E102" s="32">
        <f>VLOOKUP(A102,'DEK Sep 2015'!$A$1:$I$252,9,FALSE)</f>
        <v>-435978</v>
      </c>
      <c r="F102" s="30">
        <v>0</v>
      </c>
      <c r="G102" s="130">
        <v>435978</v>
      </c>
      <c r="H102" s="33">
        <v>0</v>
      </c>
      <c r="I102" s="115">
        <f t="shared" si="16"/>
        <v>0</v>
      </c>
      <c r="J102" s="30">
        <v>0</v>
      </c>
      <c r="K102" s="115">
        <f t="shared" si="17"/>
        <v>0</v>
      </c>
      <c r="L102" s="210" t="s">
        <v>22</v>
      </c>
      <c r="M102" s="30"/>
      <c r="N102" s="42"/>
      <c r="O102" s="42"/>
      <c r="S102" s="18">
        <v>191800</v>
      </c>
      <c r="T102" s="58"/>
    </row>
    <row r="103" spans="1:20" ht="12.75" customHeight="1" x14ac:dyDescent="0.2">
      <c r="A103" s="100" t="s">
        <v>117</v>
      </c>
      <c r="B103" s="18"/>
      <c r="C103" s="28" t="s">
        <v>77</v>
      </c>
      <c r="D103" s="4" t="s">
        <v>117</v>
      </c>
      <c r="E103" s="32">
        <f>VLOOKUP(A103,'DEK Sep 2015'!$A$1:$I$252,9,FALSE)</f>
        <v>-1069102</v>
      </c>
      <c r="F103" s="30">
        <v>0</v>
      </c>
      <c r="G103" s="129">
        <v>90084</v>
      </c>
      <c r="H103" s="33">
        <v>0</v>
      </c>
      <c r="I103" s="115">
        <f t="shared" si="16"/>
        <v>-979018</v>
      </c>
      <c r="J103" s="30">
        <v>0</v>
      </c>
      <c r="K103" s="115">
        <f t="shared" si="17"/>
        <v>-979018</v>
      </c>
      <c r="L103" s="210" t="s">
        <v>22</v>
      </c>
      <c r="M103" s="20"/>
      <c r="N103" s="42"/>
      <c r="O103" s="42"/>
      <c r="S103" s="18">
        <v>242995</v>
      </c>
      <c r="T103" s="58"/>
    </row>
    <row r="104" spans="1:20" x14ac:dyDescent="0.2">
      <c r="A104" s="100" t="s">
        <v>119</v>
      </c>
      <c r="B104" s="18"/>
      <c r="C104" s="28" t="s">
        <v>118</v>
      </c>
      <c r="D104" s="4" t="s">
        <v>119</v>
      </c>
      <c r="E104" s="32">
        <f>VLOOKUP(A104,'DEK Sep 2015'!$A$1:$I$252,9,FALSE)</f>
        <v>-1327058.7000000004</v>
      </c>
      <c r="F104" s="30">
        <v>0</v>
      </c>
      <c r="G104" s="129">
        <v>610174.92000000004</v>
      </c>
      <c r="H104" s="33">
        <v>0</v>
      </c>
      <c r="I104" s="115">
        <f t="shared" si="16"/>
        <v>-716883.78000000038</v>
      </c>
      <c r="J104" s="30">
        <v>0</v>
      </c>
      <c r="K104" s="115">
        <f t="shared" si="17"/>
        <v>-716883.78000000038</v>
      </c>
      <c r="L104" s="210" t="s">
        <v>22</v>
      </c>
      <c r="M104" s="20"/>
      <c r="N104" s="42"/>
      <c r="O104" s="42"/>
      <c r="S104" s="18">
        <v>242997</v>
      </c>
      <c r="T104" s="58"/>
    </row>
    <row r="105" spans="1:20" x14ac:dyDescent="0.2">
      <c r="A105" s="100" t="s">
        <v>120</v>
      </c>
      <c r="B105" s="18"/>
      <c r="C105" s="28" t="s">
        <v>54</v>
      </c>
      <c r="D105" s="4" t="s">
        <v>120</v>
      </c>
      <c r="E105" s="32">
        <f>VLOOKUP(A105,'DEK Sep 2015'!$A$1:$I$252,9,FALSE)</f>
        <v>-881802.1599999998</v>
      </c>
      <c r="F105" s="33">
        <v>0</v>
      </c>
      <c r="G105" s="130">
        <v>301944.84999999998</v>
      </c>
      <c r="H105" s="130">
        <v>111114.56</v>
      </c>
      <c r="I105" s="115">
        <f t="shared" si="16"/>
        <v>-468742.74999999983</v>
      </c>
      <c r="J105" s="33">
        <v>0</v>
      </c>
      <c r="K105" s="115">
        <f t="shared" si="17"/>
        <v>-468742.74999999983</v>
      </c>
      <c r="L105" s="210" t="s">
        <v>22</v>
      </c>
      <c r="M105" s="42"/>
      <c r="N105" s="42"/>
      <c r="O105" s="42"/>
      <c r="S105" s="18">
        <v>253130</v>
      </c>
      <c r="T105" s="58"/>
    </row>
    <row r="106" spans="1:20" x14ac:dyDescent="0.2">
      <c r="A106" s="100" t="s">
        <v>156</v>
      </c>
      <c r="B106" s="18"/>
      <c r="C106" s="28" t="s">
        <v>116</v>
      </c>
      <c r="D106" s="4" t="s">
        <v>211</v>
      </c>
      <c r="E106" s="32">
        <f>VLOOKUP(A106,'DEK Sep 2015'!$A$1:$I$252,9,FALSE)</f>
        <v>-1335330.53</v>
      </c>
      <c r="F106" s="33"/>
      <c r="G106" s="130">
        <v>831663.81</v>
      </c>
      <c r="H106" s="33">
        <v>0</v>
      </c>
      <c r="I106" s="115">
        <f t="shared" si="16"/>
        <v>-503666.72</v>
      </c>
      <c r="J106" s="30">
        <v>0</v>
      </c>
      <c r="K106" s="115">
        <f t="shared" si="17"/>
        <v>-503666.72</v>
      </c>
      <c r="M106" s="42"/>
      <c r="N106" s="42"/>
      <c r="O106" s="42"/>
      <c r="S106" s="18"/>
      <c r="T106" s="58"/>
    </row>
    <row r="107" spans="1:20" x14ac:dyDescent="0.2">
      <c r="B107" s="18"/>
      <c r="C107" s="28"/>
      <c r="E107" s="36"/>
      <c r="F107" s="36"/>
      <c r="G107" s="150"/>
      <c r="H107" s="36"/>
      <c r="I107" s="116"/>
      <c r="J107" s="36"/>
      <c r="K107" s="116"/>
      <c r="M107" s="42"/>
      <c r="N107" s="42"/>
      <c r="O107" s="42"/>
      <c r="S107" s="18"/>
      <c r="T107" s="58"/>
    </row>
    <row r="108" spans="1:20" x14ac:dyDescent="0.2">
      <c r="B108" s="18"/>
      <c r="C108" s="61"/>
      <c r="D108" s="34"/>
      <c r="E108" s="33">
        <f t="shared" ref="E108:K108" si="18">SUM(E101:E107)</f>
        <v>-4791723.09</v>
      </c>
      <c r="F108" s="33">
        <f t="shared" si="18"/>
        <v>0</v>
      </c>
      <c r="G108" s="33">
        <f t="shared" si="18"/>
        <v>2278992.4700000002</v>
      </c>
      <c r="H108" s="33">
        <f t="shared" si="18"/>
        <v>-155580.63</v>
      </c>
      <c r="I108" s="123">
        <f t="shared" si="18"/>
        <v>-2668311.25</v>
      </c>
      <c r="J108" s="33">
        <f t="shared" si="18"/>
        <v>0</v>
      </c>
      <c r="K108" s="123">
        <f t="shared" si="18"/>
        <v>-2668311.25</v>
      </c>
      <c r="M108" s="42"/>
      <c r="N108" s="42"/>
      <c r="O108" s="42"/>
      <c r="S108" s="18"/>
      <c r="T108" s="58"/>
    </row>
    <row r="109" spans="1:20" hidden="1" x14ac:dyDescent="0.2">
      <c r="B109" s="21" t="s">
        <v>188</v>
      </c>
      <c r="C109" s="61"/>
      <c r="D109" s="34"/>
      <c r="E109" s="33"/>
      <c r="F109" s="33"/>
      <c r="G109" s="144"/>
      <c r="H109" s="33"/>
      <c r="I109" s="115"/>
      <c r="J109" s="33"/>
      <c r="K109" s="115"/>
      <c r="M109" s="42"/>
      <c r="N109" s="42"/>
      <c r="O109" s="42"/>
      <c r="S109" s="18"/>
      <c r="T109" s="58"/>
    </row>
    <row r="110" spans="1:20" hidden="1" x14ac:dyDescent="0.2">
      <c r="A110" s="100" t="s">
        <v>185</v>
      </c>
      <c r="B110" s="18"/>
      <c r="C110" s="28" t="s">
        <v>186</v>
      </c>
      <c r="D110" s="4" t="s">
        <v>213</v>
      </c>
      <c r="E110" s="32">
        <v>0</v>
      </c>
      <c r="F110" s="33">
        <v>0</v>
      </c>
      <c r="G110" s="144">
        <v>0</v>
      </c>
      <c r="H110" s="33">
        <v>0</v>
      </c>
      <c r="I110" s="115">
        <f>E110+F110+G110+H110</f>
        <v>0</v>
      </c>
      <c r="J110" s="33">
        <v>0</v>
      </c>
      <c r="K110" s="115">
        <f>I110+J110</f>
        <v>0</v>
      </c>
      <c r="M110" s="42"/>
      <c r="N110" s="42"/>
      <c r="O110" s="42"/>
      <c r="S110" s="18"/>
      <c r="T110" s="58"/>
    </row>
    <row r="111" spans="1:20" ht="12.75" hidden="1" customHeight="1" x14ac:dyDescent="0.2">
      <c r="A111" s="100" t="s">
        <v>181</v>
      </c>
      <c r="B111" s="18"/>
      <c r="C111" s="28" t="s">
        <v>182</v>
      </c>
      <c r="D111" s="4" t="s">
        <v>213</v>
      </c>
      <c r="E111" s="32">
        <f>VLOOKUP(A111,'[23]DEK Jun 2013'!$A$1:$I$252,9,FALSE)</f>
        <v>0</v>
      </c>
      <c r="F111" s="33">
        <v>0</v>
      </c>
      <c r="G111" s="144">
        <v>0</v>
      </c>
      <c r="H111" s="33">
        <v>0</v>
      </c>
      <c r="I111" s="115">
        <f>E111+F111+G111+H111</f>
        <v>0</v>
      </c>
      <c r="J111" s="30">
        <v>0</v>
      </c>
      <c r="K111" s="115">
        <f>I111+J111</f>
        <v>0</v>
      </c>
      <c r="L111" s="4" t="s">
        <v>22</v>
      </c>
      <c r="M111" s="42"/>
      <c r="N111" s="42"/>
      <c r="O111" s="42"/>
      <c r="S111" s="18">
        <v>253130</v>
      </c>
      <c r="T111" s="58"/>
    </row>
    <row r="112" spans="1:20" hidden="1" x14ac:dyDescent="0.2">
      <c r="B112" s="18"/>
      <c r="C112" s="28"/>
      <c r="E112" s="33"/>
      <c r="F112" s="36"/>
      <c r="G112" s="150"/>
      <c r="H112" s="36"/>
      <c r="I112" s="116"/>
      <c r="J112" s="36"/>
      <c r="K112" s="116"/>
      <c r="M112" s="42"/>
      <c r="N112" s="42"/>
      <c r="O112" s="42"/>
      <c r="S112" s="18"/>
      <c r="T112" s="58"/>
    </row>
    <row r="113" spans="1:23" hidden="1" x14ac:dyDescent="0.2">
      <c r="B113" s="18"/>
      <c r="C113" s="28"/>
      <c r="E113" s="33">
        <f>SUM(E110:E111)</f>
        <v>0</v>
      </c>
      <c r="F113" s="33">
        <f t="shared" ref="F113:L113" si="19">SUM(F110:F111)</f>
        <v>0</v>
      </c>
      <c r="G113" s="144">
        <f t="shared" si="19"/>
        <v>0</v>
      </c>
      <c r="H113" s="33">
        <f t="shared" si="19"/>
        <v>0</v>
      </c>
      <c r="I113" s="128">
        <f>SUM(I110:I111)</f>
        <v>0</v>
      </c>
      <c r="J113" s="33">
        <f t="shared" si="19"/>
        <v>0</v>
      </c>
      <c r="K113" s="128">
        <f t="shared" si="19"/>
        <v>0</v>
      </c>
      <c r="L113" s="33">
        <f t="shared" si="19"/>
        <v>0</v>
      </c>
      <c r="M113" s="42"/>
      <c r="N113" s="42"/>
      <c r="O113" s="42"/>
      <c r="S113" s="18"/>
      <c r="T113" s="58"/>
    </row>
    <row r="114" spans="1:23" hidden="1" x14ac:dyDescent="0.2">
      <c r="B114" s="18"/>
      <c r="C114" s="61"/>
      <c r="D114" s="34"/>
      <c r="E114" s="33"/>
      <c r="F114" s="33"/>
      <c r="G114" s="144"/>
      <c r="H114" s="33"/>
      <c r="I114" s="115"/>
      <c r="J114" s="33"/>
      <c r="K114" s="115"/>
      <c r="M114" s="42"/>
      <c r="N114" s="42"/>
      <c r="O114" s="42"/>
      <c r="S114" s="18"/>
      <c r="T114" s="58"/>
    </row>
    <row r="115" spans="1:23" s="22" customFormat="1" x14ac:dyDescent="0.2">
      <c r="A115" s="101"/>
      <c r="B115" s="21" t="s">
        <v>214</v>
      </c>
      <c r="C115" s="63"/>
      <c r="D115" s="64"/>
      <c r="E115" s="33"/>
      <c r="F115" s="30"/>
      <c r="G115" s="152" t="s">
        <v>187</v>
      </c>
      <c r="H115" s="30"/>
      <c r="I115" s="113"/>
      <c r="J115" s="19"/>
      <c r="K115" s="113"/>
      <c r="M115" s="19"/>
      <c r="N115" s="42"/>
      <c r="O115" s="48"/>
      <c r="T115" s="46"/>
      <c r="U115" s="46"/>
    </row>
    <row r="116" spans="1:23" x14ac:dyDescent="0.2">
      <c r="A116" s="100" t="s">
        <v>162</v>
      </c>
      <c r="B116" s="18"/>
      <c r="C116" s="28" t="s">
        <v>76</v>
      </c>
      <c r="D116" s="4" t="s">
        <v>194</v>
      </c>
      <c r="E116" s="32">
        <f>VLOOKUP(A116,'DEK Sep 2015'!$A$1:$I$252,9,FALSE)</f>
        <v>-3537826.63</v>
      </c>
      <c r="F116" s="30">
        <v>0</v>
      </c>
      <c r="G116" s="130">
        <v>-1399681.1</v>
      </c>
      <c r="H116" s="33">
        <v>0</v>
      </c>
      <c r="I116" s="123">
        <f>E116+G116+H116+F116</f>
        <v>-4937507.7300000004</v>
      </c>
      <c r="J116" s="91">
        <v>0</v>
      </c>
      <c r="K116" s="123">
        <f>I116+J116</f>
        <v>-4937507.7300000004</v>
      </c>
      <c r="L116" s="210" t="s">
        <v>22</v>
      </c>
      <c r="M116" s="67"/>
      <c r="P116" s="51"/>
      <c r="Q116" s="18"/>
      <c r="R116" s="58"/>
      <c r="S116" s="18"/>
    </row>
    <row r="117" spans="1:23" ht="15" x14ac:dyDescent="0.25">
      <c r="B117" s="18"/>
      <c r="C117" s="28"/>
      <c r="D117" s="65"/>
      <c r="E117" s="33"/>
      <c r="F117" s="30"/>
      <c r="G117" s="144"/>
      <c r="H117" s="33"/>
      <c r="I117" s="126"/>
      <c r="J117" s="1"/>
      <c r="K117" s="126"/>
      <c r="L117" s="66"/>
      <c r="M117" s="67"/>
      <c r="P117" s="51"/>
      <c r="Q117" s="18"/>
      <c r="R117" s="58"/>
      <c r="S117" s="18"/>
    </row>
    <row r="118" spans="1:23" x14ac:dyDescent="0.2">
      <c r="B118" s="21" t="s">
        <v>227</v>
      </c>
      <c r="C118" s="28"/>
      <c r="E118" s="33"/>
      <c r="F118" s="30"/>
      <c r="G118" s="152"/>
      <c r="H118" s="30"/>
      <c r="I118" s="115"/>
      <c r="J118" s="30"/>
      <c r="K118" s="115"/>
      <c r="M118" s="20"/>
      <c r="N118" s="42"/>
      <c r="O118" s="42"/>
      <c r="R118" s="58"/>
      <c r="S118" s="18"/>
      <c r="T118" s="58"/>
    </row>
    <row r="119" spans="1:23" x14ac:dyDescent="0.2">
      <c r="A119" s="100" t="s">
        <v>163</v>
      </c>
      <c r="B119" s="18"/>
      <c r="C119" s="28" t="s">
        <v>48</v>
      </c>
      <c r="D119" s="4" t="s">
        <v>195</v>
      </c>
      <c r="E119" s="32">
        <f>VLOOKUP(A119,'DEK Sep 2015'!$A$1:$I$252,9,FALSE)</f>
        <v>0</v>
      </c>
      <c r="F119" s="30">
        <v>0</v>
      </c>
      <c r="G119" s="33">
        <v>0</v>
      </c>
      <c r="H119" s="33">
        <v>0</v>
      </c>
      <c r="I119" s="115">
        <f>E119+F119+G119+H119</f>
        <v>0</v>
      </c>
      <c r="J119" s="30">
        <v>0</v>
      </c>
      <c r="K119" s="115">
        <f t="shared" ref="K119:K121" si="20">I119+J119</f>
        <v>0</v>
      </c>
      <c r="M119" s="62"/>
      <c r="P119" s="51"/>
      <c r="Q119" s="18"/>
      <c r="R119" s="58"/>
      <c r="S119" s="18">
        <v>254998</v>
      </c>
    </row>
    <row r="120" spans="1:23" x14ac:dyDescent="0.2">
      <c r="A120" s="100" t="s">
        <v>179</v>
      </c>
      <c r="B120" s="18"/>
      <c r="C120" s="28" t="s">
        <v>47</v>
      </c>
      <c r="D120" s="4" t="s">
        <v>196</v>
      </c>
      <c r="E120" s="32">
        <f>VLOOKUP(A120,'DEK Sep 2015'!$A$1:$I$252,9,FALSE)</f>
        <v>0</v>
      </c>
      <c r="F120" s="30">
        <v>0</v>
      </c>
      <c r="G120" s="30">
        <v>0</v>
      </c>
      <c r="H120" s="33">
        <v>0</v>
      </c>
      <c r="I120" s="115">
        <f>E120+F120+G120+H120</f>
        <v>0</v>
      </c>
      <c r="J120" s="30">
        <v>0</v>
      </c>
      <c r="K120" s="115">
        <f t="shared" si="20"/>
        <v>0</v>
      </c>
      <c r="M120" s="62"/>
      <c r="P120" s="51"/>
      <c r="Q120" s="18"/>
      <c r="R120" s="58"/>
      <c r="S120" s="18">
        <v>254998</v>
      </c>
      <c r="W120" s="47"/>
    </row>
    <row r="121" spans="1:23" x14ac:dyDescent="0.2">
      <c r="A121" s="100" t="s">
        <v>164</v>
      </c>
      <c r="B121" s="18"/>
      <c r="C121" s="28" t="s">
        <v>75</v>
      </c>
      <c r="D121" s="4" t="s">
        <v>215</v>
      </c>
      <c r="E121" s="32">
        <f>VLOOKUP(A121,'DEK Sep 2015'!$A$1:$I$252,9,FALSE)</f>
        <v>-16245.810000000003</v>
      </c>
      <c r="F121" s="30">
        <v>0</v>
      </c>
      <c r="G121" s="130">
        <v>392.19</v>
      </c>
      <c r="H121" s="33">
        <v>0</v>
      </c>
      <c r="I121" s="117">
        <f>E121+F121+G121+H121</f>
        <v>-15853.620000000003</v>
      </c>
      <c r="J121" s="30">
        <v>0</v>
      </c>
      <c r="K121" s="123">
        <f t="shared" si="20"/>
        <v>-15853.620000000003</v>
      </c>
      <c r="M121" s="62"/>
      <c r="P121" s="51"/>
      <c r="Q121" s="18"/>
      <c r="R121" s="58"/>
      <c r="S121" s="18">
        <v>254210</v>
      </c>
    </row>
    <row r="122" spans="1:23" x14ac:dyDescent="0.2">
      <c r="B122" s="18"/>
      <c r="C122" s="28"/>
      <c r="D122" s="65"/>
      <c r="E122" s="36"/>
      <c r="F122" s="36"/>
      <c r="G122" s="150"/>
      <c r="H122" s="36"/>
      <c r="I122" s="116"/>
      <c r="J122" s="36"/>
      <c r="K122" s="116"/>
      <c r="M122" s="62"/>
      <c r="P122" s="51"/>
      <c r="Q122" s="18"/>
      <c r="R122" s="58"/>
      <c r="S122" s="18"/>
    </row>
    <row r="123" spans="1:23" x14ac:dyDescent="0.2">
      <c r="B123" s="18"/>
      <c r="C123" s="28"/>
      <c r="E123" s="33">
        <f t="shared" ref="E123" si="21">SUM(E119:E122)</f>
        <v>-16245.810000000003</v>
      </c>
      <c r="F123" s="30">
        <f t="shared" ref="F123:K123" si="22">SUM(F119:F122)</f>
        <v>0</v>
      </c>
      <c r="G123" s="30">
        <f t="shared" si="22"/>
        <v>392.19</v>
      </c>
      <c r="H123" s="30">
        <f t="shared" si="22"/>
        <v>0</v>
      </c>
      <c r="I123" s="122">
        <f t="shared" si="22"/>
        <v>-15853.620000000003</v>
      </c>
      <c r="J123" s="30">
        <f t="shared" si="22"/>
        <v>0</v>
      </c>
      <c r="K123" s="115">
        <f t="shared" si="22"/>
        <v>-15853.620000000003</v>
      </c>
      <c r="M123" s="20"/>
      <c r="N123" s="42"/>
      <c r="O123" s="42"/>
      <c r="R123" s="58"/>
      <c r="S123" s="18"/>
      <c r="T123" s="58"/>
    </row>
    <row r="124" spans="1:23" x14ac:dyDescent="0.2">
      <c r="B124" s="21" t="s">
        <v>216</v>
      </c>
      <c r="C124" s="28"/>
      <c r="E124" s="33"/>
      <c r="F124" s="30"/>
      <c r="G124" s="152"/>
      <c r="H124" s="30"/>
      <c r="I124" s="115"/>
      <c r="J124" s="30"/>
      <c r="K124" s="115"/>
      <c r="M124" s="20"/>
      <c r="N124" s="42"/>
      <c r="O124" s="42"/>
      <c r="R124" s="58"/>
      <c r="S124" s="18"/>
      <c r="T124" s="58"/>
    </row>
    <row r="125" spans="1:23" x14ac:dyDescent="0.2">
      <c r="A125" s="100" t="s">
        <v>165</v>
      </c>
      <c r="B125" s="18"/>
      <c r="C125" s="28" t="s">
        <v>45</v>
      </c>
      <c r="D125" s="4" t="s">
        <v>197</v>
      </c>
      <c r="E125" s="32">
        <f>VLOOKUP(A125,'DEK Sep 2015'!$A$1:$I$252,9,FALSE)</f>
        <v>-17316462.580000002</v>
      </c>
      <c r="F125" s="30">
        <v>0</v>
      </c>
      <c r="G125" s="129">
        <v>-172459.72</v>
      </c>
      <c r="H125" s="30">
        <v>0</v>
      </c>
      <c r="I125" s="115">
        <f t="shared" ref="I125:I130" si="23">E125+F125+G125+H125</f>
        <v>-17488922.300000001</v>
      </c>
      <c r="J125" s="30">
        <v>0</v>
      </c>
      <c r="K125" s="115">
        <f t="shared" ref="K125:K130" si="24">I125+J125</f>
        <v>-17488922.300000001</v>
      </c>
      <c r="L125" s="210" t="s">
        <v>241</v>
      </c>
      <c r="M125" s="20"/>
      <c r="N125" s="42"/>
      <c r="O125" s="42"/>
      <c r="Q125" s="227">
        <v>75086</v>
      </c>
      <c r="R125" s="58" t="s">
        <v>44</v>
      </c>
      <c r="S125" s="18">
        <v>108201</v>
      </c>
      <c r="T125" s="58"/>
    </row>
    <row r="126" spans="1:23" x14ac:dyDescent="0.2">
      <c r="A126" s="100" t="s">
        <v>166</v>
      </c>
      <c r="B126" s="18"/>
      <c r="C126" s="28" t="s">
        <v>45</v>
      </c>
      <c r="D126" s="4" t="s">
        <v>198</v>
      </c>
      <c r="E126" s="32">
        <f>VLOOKUP(A126,'DEK Sep 2015'!$A$1:$I$252,9,FALSE)</f>
        <v>-47307071.470000006</v>
      </c>
      <c r="F126" s="30">
        <v>0</v>
      </c>
      <c r="G126" s="129">
        <v>278774.42</v>
      </c>
      <c r="H126" s="30">
        <v>0</v>
      </c>
      <c r="I126" s="115">
        <f t="shared" si="23"/>
        <v>-47028297.050000004</v>
      </c>
      <c r="J126" s="30">
        <v>0</v>
      </c>
      <c r="K126" s="115">
        <f t="shared" si="24"/>
        <v>-47028297.050000004</v>
      </c>
      <c r="L126" s="210" t="s">
        <v>242</v>
      </c>
      <c r="M126" s="20"/>
      <c r="N126" s="42"/>
      <c r="O126" s="42"/>
      <c r="R126" s="58" t="s">
        <v>44</v>
      </c>
      <c r="S126" s="18">
        <v>108301</v>
      </c>
      <c r="T126" s="58"/>
    </row>
    <row r="127" spans="1:23" x14ac:dyDescent="0.2">
      <c r="A127" s="100" t="s">
        <v>167</v>
      </c>
      <c r="B127" s="18"/>
      <c r="C127" s="28" t="s">
        <v>46</v>
      </c>
      <c r="D127" s="4" t="s">
        <v>199</v>
      </c>
      <c r="E127" s="32">
        <f>VLOOKUP(A127,'DEK Sep 2015'!$A$1:$I$252,9,FALSE)</f>
        <v>10468500.219999999</v>
      </c>
      <c r="F127" s="30">
        <v>0</v>
      </c>
      <c r="G127" s="129">
        <v>-426782.22</v>
      </c>
      <c r="H127" s="30">
        <v>0</v>
      </c>
      <c r="I127" s="115">
        <f t="shared" si="23"/>
        <v>10041717.999999998</v>
      </c>
      <c r="J127" s="30">
        <v>0</v>
      </c>
      <c r="K127" s="115">
        <f>I127+J127</f>
        <v>10041717.999999998</v>
      </c>
      <c r="L127" s="210" t="s">
        <v>242</v>
      </c>
      <c r="M127" s="20"/>
      <c r="N127" s="42"/>
      <c r="O127" s="42"/>
      <c r="S127" s="18">
        <v>108410</v>
      </c>
      <c r="T127" s="58"/>
    </row>
    <row r="128" spans="1:23" x14ac:dyDescent="0.2">
      <c r="A128" s="100" t="s">
        <v>168</v>
      </c>
      <c r="B128" s="18"/>
      <c r="C128" s="28" t="s">
        <v>74</v>
      </c>
      <c r="D128" s="4" t="s">
        <v>217</v>
      </c>
      <c r="E128" s="32">
        <f>VLOOKUP(A128,'DEK Sep 2015'!$A$1:$I$252,9,FALSE)</f>
        <v>2208420.4699999997</v>
      </c>
      <c r="F128" s="30">
        <v>0</v>
      </c>
      <c r="G128" s="129">
        <v>63208.11</v>
      </c>
      <c r="H128" s="30">
        <v>0</v>
      </c>
      <c r="I128" s="115">
        <f t="shared" si="23"/>
        <v>2271628.5799999996</v>
      </c>
      <c r="J128" s="30">
        <v>0</v>
      </c>
      <c r="K128" s="115">
        <f>I128+J128</f>
        <v>2271628.5799999996</v>
      </c>
      <c r="M128" s="20"/>
      <c r="N128" s="42"/>
      <c r="O128" s="42"/>
      <c r="Q128" s="4" t="s">
        <v>50</v>
      </c>
      <c r="R128" s="4" t="s">
        <v>51</v>
      </c>
      <c r="S128" s="18">
        <v>182303</v>
      </c>
      <c r="T128" s="58"/>
    </row>
    <row r="129" spans="1:22" x14ac:dyDescent="0.2">
      <c r="A129" s="100" t="s">
        <v>169</v>
      </c>
      <c r="B129" s="18"/>
      <c r="C129" s="28" t="s">
        <v>49</v>
      </c>
      <c r="D129" s="4" t="s">
        <v>218</v>
      </c>
      <c r="E129" s="32">
        <f>VLOOKUP(A129,'DEK Sep 2015'!$A$1:$I$252,9,FALSE)</f>
        <v>4245218.9600000018</v>
      </c>
      <c r="F129" s="30">
        <v>0</v>
      </c>
      <c r="G129" s="129">
        <v>66096.73</v>
      </c>
      <c r="H129" s="30">
        <v>0</v>
      </c>
      <c r="I129" s="115">
        <f t="shared" si="23"/>
        <v>4311315.6900000023</v>
      </c>
      <c r="J129" s="30">
        <v>0</v>
      </c>
      <c r="K129" s="115">
        <f t="shared" si="24"/>
        <v>4311315.6900000023</v>
      </c>
      <c r="M129" s="20"/>
      <c r="N129" s="42"/>
      <c r="O129" s="42"/>
      <c r="Q129" s="4" t="s">
        <v>50</v>
      </c>
      <c r="S129" s="18">
        <v>182304</v>
      </c>
      <c r="T129" s="58"/>
    </row>
    <row r="130" spans="1:22" x14ac:dyDescent="0.2">
      <c r="A130" s="100" t="s">
        <v>170</v>
      </c>
      <c r="B130" s="18"/>
      <c r="C130" s="28" t="s">
        <v>42</v>
      </c>
      <c r="D130" s="4" t="s">
        <v>200</v>
      </c>
      <c r="E130" s="32">
        <f>VLOOKUP(A130,'DEK Sep 2015'!$A$1:$I$252,9,FALSE)</f>
        <v>-121666.52000000002</v>
      </c>
      <c r="F130" s="30">
        <v>0</v>
      </c>
      <c r="G130" s="129">
        <v>-18147.990000000002</v>
      </c>
      <c r="H130" s="30">
        <v>0</v>
      </c>
      <c r="I130" s="115">
        <f t="shared" si="23"/>
        <v>-139814.51</v>
      </c>
      <c r="J130" s="30">
        <v>0</v>
      </c>
      <c r="K130" s="115">
        <f t="shared" si="24"/>
        <v>-139814.51</v>
      </c>
      <c r="L130" s="210" t="s">
        <v>241</v>
      </c>
      <c r="M130" s="20"/>
      <c r="N130" s="42"/>
      <c r="O130" s="42"/>
      <c r="R130" s="58" t="s">
        <v>44</v>
      </c>
      <c r="S130" s="18">
        <v>108101</v>
      </c>
      <c r="T130" s="58"/>
    </row>
    <row r="131" spans="1:22" x14ac:dyDescent="0.2">
      <c r="B131" s="18"/>
      <c r="C131" s="28"/>
      <c r="E131" s="36"/>
      <c r="F131" s="36"/>
      <c r="G131" s="150"/>
      <c r="H131" s="36"/>
      <c r="I131" s="127"/>
      <c r="J131" s="68"/>
      <c r="K131" s="127"/>
      <c r="M131" s="62"/>
      <c r="P131" s="51"/>
      <c r="Q131" s="18"/>
      <c r="R131" s="58"/>
      <c r="S131" s="18">
        <v>254401</v>
      </c>
    </row>
    <row r="132" spans="1:22" x14ac:dyDescent="0.2">
      <c r="B132" s="18"/>
      <c r="C132" s="28"/>
      <c r="E132" s="33">
        <f t="shared" ref="E132:K132" si="25">SUM(E125:E131)</f>
        <v>-47823060.920000017</v>
      </c>
      <c r="F132" s="33">
        <f t="shared" si="25"/>
        <v>0</v>
      </c>
      <c r="G132" s="33">
        <f t="shared" si="25"/>
        <v>-209310.67000000004</v>
      </c>
      <c r="H132" s="33">
        <f t="shared" si="25"/>
        <v>0</v>
      </c>
      <c r="I132" s="123">
        <f t="shared" si="25"/>
        <v>-48032371.590000004</v>
      </c>
      <c r="J132" s="33">
        <f t="shared" si="25"/>
        <v>0</v>
      </c>
      <c r="K132" s="123">
        <f t="shared" si="25"/>
        <v>-48032371.590000004</v>
      </c>
      <c r="M132" s="62"/>
      <c r="P132" s="51"/>
      <c r="Q132" s="18"/>
      <c r="R132" s="58"/>
      <c r="S132" s="18"/>
    </row>
    <row r="133" spans="1:22" ht="15" x14ac:dyDescent="0.25">
      <c r="B133" s="18"/>
      <c r="C133" s="28"/>
      <c r="D133" s="65"/>
      <c r="E133" s="33"/>
      <c r="F133" s="30"/>
      <c r="G133" s="144"/>
      <c r="H133" s="33"/>
      <c r="I133" s="126"/>
      <c r="J133" s="1"/>
      <c r="K133" s="126"/>
      <c r="L133" s="66"/>
      <c r="M133" s="67"/>
      <c r="P133" s="51"/>
      <c r="Q133" s="18"/>
      <c r="R133" s="58"/>
      <c r="S133" s="18"/>
    </row>
    <row r="134" spans="1:22" x14ac:dyDescent="0.2">
      <c r="A134" s="105" t="s">
        <v>55</v>
      </c>
      <c r="B134" s="18"/>
      <c r="C134" s="131" t="s">
        <v>55</v>
      </c>
      <c r="D134" s="132"/>
      <c r="E134" s="133">
        <f>+E108+E116+E123+E132+E113</f>
        <v>-56168856.450000018</v>
      </c>
      <c r="F134" s="133">
        <f t="shared" ref="F134:H134" si="26">+F108+F116+F123+F132+F113</f>
        <v>0</v>
      </c>
      <c r="G134" s="133">
        <f t="shared" si="26"/>
        <v>670392.89</v>
      </c>
      <c r="H134" s="133">
        <f t="shared" si="26"/>
        <v>-155580.63</v>
      </c>
      <c r="I134" s="134">
        <f>+I108+I116+I123+I132+I113</f>
        <v>-55654044.190000005</v>
      </c>
      <c r="J134" s="133">
        <f>+J108+J116+J123+J132+J113</f>
        <v>0</v>
      </c>
      <c r="K134" s="134">
        <f>+K108+K116+K123+K132+K113</f>
        <v>-55654044.190000005</v>
      </c>
      <c r="M134" s="20"/>
      <c r="N134" s="69"/>
      <c r="R134" s="58"/>
      <c r="S134" s="18"/>
    </row>
    <row r="135" spans="1:22" x14ac:dyDescent="0.2">
      <c r="A135" s="105"/>
      <c r="B135" s="18"/>
      <c r="C135" s="18"/>
      <c r="D135" s="12"/>
      <c r="E135" s="221"/>
      <c r="F135" s="50"/>
      <c r="G135" s="145"/>
      <c r="H135" s="50"/>
      <c r="I135" s="122"/>
      <c r="J135" s="50"/>
      <c r="K135" s="122"/>
      <c r="M135" s="45"/>
      <c r="S135" s="18"/>
    </row>
    <row r="136" spans="1:22" x14ac:dyDescent="0.2">
      <c r="A136" s="105" t="s">
        <v>56</v>
      </c>
      <c r="B136" s="18"/>
      <c r="C136" s="18"/>
      <c r="D136" s="136" t="s">
        <v>219</v>
      </c>
      <c r="E136" s="137">
        <f>E134+E98</f>
        <v>5056496.5499999821</v>
      </c>
      <c r="F136" s="137">
        <f>F134+F98</f>
        <v>0</v>
      </c>
      <c r="G136" s="137">
        <f>G134+G98</f>
        <v>9802071.1099999994</v>
      </c>
      <c r="H136" s="137">
        <f>H134+H98</f>
        <v>-222199.12</v>
      </c>
      <c r="I136" s="138">
        <f>I98+I134</f>
        <v>14636368.539999999</v>
      </c>
      <c r="J136" s="137">
        <f>J134+J98</f>
        <v>0</v>
      </c>
      <c r="K136" s="138">
        <f>K98+K134</f>
        <v>14636368.539999999</v>
      </c>
      <c r="L136" s="50">
        <v>0</v>
      </c>
      <c r="M136" s="70"/>
      <c r="N136" s="70"/>
      <c r="O136" s="70"/>
      <c r="P136" s="50"/>
      <c r="Q136" s="50"/>
      <c r="R136" s="50"/>
      <c r="S136" s="18"/>
      <c r="T136" s="29">
        <f>+G136+H136+F136</f>
        <v>9579871.9900000002</v>
      </c>
      <c r="U136" s="19">
        <v>13111056.41</v>
      </c>
      <c r="V136" s="29">
        <f>+T136-U136</f>
        <v>-3531184.42</v>
      </c>
    </row>
    <row r="137" spans="1:22" hidden="1" x14ac:dyDescent="0.2">
      <c r="A137" s="105"/>
      <c r="B137" s="18"/>
      <c r="C137" s="18"/>
      <c r="D137" s="12"/>
      <c r="E137" s="221"/>
      <c r="F137" s="50"/>
      <c r="G137" s="145"/>
      <c r="H137" s="50"/>
      <c r="I137" s="50"/>
      <c r="J137" s="50"/>
      <c r="K137" s="50"/>
      <c r="M137" s="45"/>
      <c r="S137" s="18"/>
    </row>
    <row r="138" spans="1:22" s="75" customFormat="1" ht="12.75" hidden="1" customHeight="1" x14ac:dyDescent="0.2">
      <c r="A138" s="107" t="s">
        <v>57</v>
      </c>
      <c r="B138" s="71"/>
      <c r="C138" s="18"/>
      <c r="D138" s="140" t="s">
        <v>57</v>
      </c>
      <c r="E138" s="223"/>
      <c r="F138" s="142"/>
      <c r="G138" s="163">
        <f>-G130-G125-G126-G127-G128-G129-G88-G16-G119-G30-G22-G53-G121-G89-G90-G116-G120-G52</f>
        <v>1938066.96</v>
      </c>
      <c r="H138" s="139">
        <f>-H130-H125-H126-H127-H128-H129-H88-H16-H119-H30-H22-H53-H121-H89-H90-H116-H120-H52</f>
        <v>66618.490000000005</v>
      </c>
      <c r="I138" s="74"/>
      <c r="J138" s="74"/>
      <c r="K138" s="74"/>
      <c r="M138" s="76"/>
      <c r="N138" s="77"/>
      <c r="O138" s="77"/>
      <c r="S138" s="18"/>
    </row>
    <row r="139" spans="1:22" ht="12.75" customHeight="1" x14ac:dyDescent="0.2">
      <c r="A139" s="107"/>
      <c r="B139" s="18"/>
      <c r="C139" s="18"/>
      <c r="D139" s="72"/>
      <c r="E139" s="224"/>
      <c r="F139" s="50"/>
      <c r="G139" s="185">
        <f>G136+H136</f>
        <v>9579871.9900000002</v>
      </c>
      <c r="H139" s="50"/>
      <c r="I139" s="50"/>
      <c r="J139" s="50"/>
      <c r="K139" s="50"/>
      <c r="M139" s="20"/>
      <c r="S139" s="18"/>
    </row>
    <row r="140" spans="1:22" ht="12.75" hidden="1" customHeight="1" x14ac:dyDescent="0.2">
      <c r="A140" s="107" t="s">
        <v>58</v>
      </c>
      <c r="B140" s="18"/>
      <c r="C140" s="71"/>
      <c r="D140" s="72" t="s">
        <v>58</v>
      </c>
      <c r="E140" s="73"/>
      <c r="F140" s="50"/>
      <c r="G140" s="145">
        <f>G136+G138</f>
        <v>11740138.07</v>
      </c>
      <c r="H140" s="50">
        <f>H136+H138</f>
        <v>-155580.63</v>
      </c>
      <c r="I140" s="50"/>
      <c r="J140" s="50"/>
      <c r="K140" s="50"/>
      <c r="M140" s="20"/>
      <c r="S140" s="71"/>
    </row>
    <row r="141" spans="1:22" ht="12.75" hidden="1" customHeight="1" x14ac:dyDescent="0.2">
      <c r="A141" s="107"/>
      <c r="B141" s="18"/>
      <c r="C141" s="18"/>
      <c r="D141" s="72"/>
      <c r="E141" s="73"/>
      <c r="F141" s="50"/>
      <c r="G141" s="145"/>
      <c r="H141" s="50"/>
      <c r="I141" s="50"/>
      <c r="J141" s="50"/>
      <c r="K141" s="50"/>
      <c r="M141" s="20"/>
      <c r="S141" s="18"/>
    </row>
    <row r="142" spans="1:22" ht="12.75" hidden="1" customHeight="1" x14ac:dyDescent="0.2">
      <c r="A142" s="107" t="s">
        <v>59</v>
      </c>
      <c r="B142" s="18"/>
      <c r="C142" s="18"/>
      <c r="D142" s="72" t="s">
        <v>59</v>
      </c>
      <c r="E142" s="73"/>
      <c r="F142" s="50"/>
      <c r="G142" s="145">
        <f>+G136+H136+G138+H138</f>
        <v>11584557.439999999</v>
      </c>
      <c r="H142" s="50"/>
      <c r="I142" s="50"/>
      <c r="J142" s="50"/>
      <c r="K142" s="50"/>
      <c r="M142" s="20"/>
      <c r="S142" s="18"/>
    </row>
    <row r="143" spans="1:22" hidden="1" x14ac:dyDescent="0.2">
      <c r="B143" s="18"/>
      <c r="C143" s="18"/>
      <c r="E143" s="29"/>
      <c r="F143" s="19"/>
      <c r="G143" s="148"/>
      <c r="H143" s="19"/>
      <c r="I143" s="19"/>
      <c r="J143" s="19"/>
      <c r="K143" s="19"/>
      <c r="M143" s="20"/>
      <c r="S143" s="18"/>
    </row>
    <row r="144" spans="1:22" hidden="1" x14ac:dyDescent="0.2">
      <c r="A144" s="109" t="s">
        <v>60</v>
      </c>
      <c r="B144" s="18"/>
      <c r="C144" s="18"/>
      <c r="D144" s="78" t="s">
        <v>60</v>
      </c>
      <c r="E144" s="79"/>
      <c r="F144" s="80"/>
      <c r="G144" s="164"/>
      <c r="H144" s="80"/>
      <c r="I144" s="81"/>
      <c r="J144" s="81"/>
      <c r="K144" s="81"/>
      <c r="M144" s="20"/>
      <c r="S144" s="18"/>
    </row>
    <row r="145" spans="1:19" hidden="1" x14ac:dyDescent="0.2">
      <c r="A145" s="109" t="s">
        <v>138</v>
      </c>
      <c r="B145" s="18"/>
      <c r="C145" s="18"/>
      <c r="D145" s="82" t="s">
        <v>138</v>
      </c>
      <c r="E145" s="32">
        <v>0</v>
      </c>
      <c r="F145" s="32">
        <f>+F94+F95</f>
        <v>0</v>
      </c>
      <c r="G145" s="157"/>
      <c r="H145" s="32">
        <f>+H94+H95</f>
        <v>0</v>
      </c>
      <c r="I145" s="84">
        <f>+I94+I95</f>
        <v>0</v>
      </c>
      <c r="J145" s="84">
        <f>+J94+J95</f>
        <v>0</v>
      </c>
      <c r="K145" s="84">
        <f>+K94+K95</f>
        <v>0</v>
      </c>
      <c r="M145" s="20"/>
      <c r="S145" s="18"/>
    </row>
    <row r="146" spans="1:19" hidden="1" x14ac:dyDescent="0.2">
      <c r="A146" s="109" t="s">
        <v>140</v>
      </c>
      <c r="B146" s="18"/>
      <c r="C146" s="18"/>
      <c r="D146" s="82" t="s">
        <v>140</v>
      </c>
      <c r="E146" s="83">
        <f>+E12</f>
        <v>-1.1641532182693481E-9</v>
      </c>
      <c r="F146" s="32">
        <f>+F95+F96</f>
        <v>0</v>
      </c>
      <c r="G146" s="165"/>
      <c r="H146" s="83"/>
      <c r="I146" s="84">
        <f>+I12</f>
        <v>578872.59999999881</v>
      </c>
      <c r="J146" s="84">
        <f>+J12</f>
        <v>0</v>
      </c>
      <c r="K146" s="84">
        <f>+K12</f>
        <v>578872.59999999881</v>
      </c>
      <c r="M146" s="20"/>
      <c r="S146" s="18"/>
    </row>
    <row r="147" spans="1:19" hidden="1" x14ac:dyDescent="0.2">
      <c r="A147" s="109" t="s">
        <v>142</v>
      </c>
      <c r="B147" s="18"/>
      <c r="C147" s="18"/>
      <c r="D147" s="82" t="s">
        <v>142</v>
      </c>
      <c r="E147" s="83">
        <f>+E19</f>
        <v>2083963.81</v>
      </c>
      <c r="F147" s="32">
        <f t="shared" ref="F147:F152" si="27">+F96+F97</f>
        <v>0</v>
      </c>
      <c r="G147" s="165"/>
      <c r="H147" s="83"/>
      <c r="I147" s="84">
        <f>+I19</f>
        <v>1926156.81</v>
      </c>
      <c r="J147" s="84">
        <f>+J19</f>
        <v>6374089.7999999998</v>
      </c>
      <c r="K147" s="84">
        <f>+K19</f>
        <v>8300246.6099999994</v>
      </c>
      <c r="M147" s="20"/>
      <c r="S147" s="18"/>
    </row>
    <row r="148" spans="1:19" hidden="1" x14ac:dyDescent="0.2">
      <c r="A148" s="109" t="s">
        <v>141</v>
      </c>
      <c r="B148" s="18"/>
      <c r="C148" s="18"/>
      <c r="D148" s="82" t="s">
        <v>141</v>
      </c>
      <c r="E148" s="83">
        <f>+E24</f>
        <v>1787998.320000001</v>
      </c>
      <c r="F148" s="32">
        <f t="shared" si="27"/>
        <v>0</v>
      </c>
      <c r="G148" s="165"/>
      <c r="H148" s="83"/>
      <c r="I148" s="84">
        <f>+I24</f>
        <v>1721379.830000001</v>
      </c>
      <c r="J148" s="84">
        <f>+J24</f>
        <v>-266473.8</v>
      </c>
      <c r="K148" s="84">
        <f>+K24</f>
        <v>1454906.030000001</v>
      </c>
      <c r="M148" s="20"/>
      <c r="S148" s="18"/>
    </row>
    <row r="149" spans="1:19" hidden="1" x14ac:dyDescent="0.2">
      <c r="A149" s="109" t="s">
        <v>61</v>
      </c>
      <c r="B149" s="18"/>
      <c r="C149" s="18"/>
      <c r="D149" s="82" t="s">
        <v>61</v>
      </c>
      <c r="E149" s="32">
        <f>+E30</f>
        <v>1085175.2</v>
      </c>
      <c r="F149" s="32">
        <f t="shared" si="27"/>
        <v>0</v>
      </c>
      <c r="G149" s="157"/>
      <c r="H149" s="32"/>
      <c r="I149" s="84">
        <f>+I30</f>
        <v>-1826417.7999999998</v>
      </c>
      <c r="J149" s="84">
        <f>+J30</f>
        <v>0</v>
      </c>
      <c r="K149" s="84">
        <f>+K30</f>
        <v>-1826417.7999999998</v>
      </c>
      <c r="M149" s="20"/>
      <c r="S149" s="18"/>
    </row>
    <row r="150" spans="1:19" hidden="1" x14ac:dyDescent="0.2">
      <c r="A150" s="109" t="s">
        <v>143</v>
      </c>
      <c r="B150" s="18"/>
      <c r="C150" s="18"/>
      <c r="D150" s="82" t="s">
        <v>143</v>
      </c>
      <c r="E150" s="32">
        <f>+E80</f>
        <v>31250077.629999999</v>
      </c>
      <c r="F150" s="32">
        <f t="shared" si="27"/>
        <v>0</v>
      </c>
      <c r="G150" s="157"/>
      <c r="H150" s="32"/>
      <c r="I150" s="84">
        <f>+I80</f>
        <v>38182309.879999995</v>
      </c>
      <c r="J150" s="84">
        <f>+J80</f>
        <v>-6107616</v>
      </c>
      <c r="K150" s="84">
        <f>+K80</f>
        <v>32074693.879999999</v>
      </c>
      <c r="M150" s="20"/>
      <c r="S150" s="18"/>
    </row>
    <row r="151" spans="1:19" hidden="1" x14ac:dyDescent="0.2">
      <c r="A151" s="109" t="s">
        <v>151</v>
      </c>
      <c r="B151" s="18"/>
      <c r="C151" s="18"/>
      <c r="D151" s="82" t="s">
        <v>151</v>
      </c>
      <c r="E151" s="32">
        <f>+E92</f>
        <v>25018138.040000003</v>
      </c>
      <c r="F151" s="32">
        <f t="shared" si="27"/>
        <v>0</v>
      </c>
      <c r="G151" s="157"/>
      <c r="H151" s="32"/>
      <c r="I151" s="84">
        <f>+I92</f>
        <v>28289046.040000003</v>
      </c>
      <c r="J151" s="84">
        <f>+J92</f>
        <v>0</v>
      </c>
      <c r="K151" s="84">
        <f>+K92</f>
        <v>28289046.040000003</v>
      </c>
      <c r="M151" s="20"/>
      <c r="S151" s="18"/>
    </row>
    <row r="152" spans="1:19" hidden="1" x14ac:dyDescent="0.2">
      <c r="A152" s="109" t="s">
        <v>62</v>
      </c>
      <c r="B152" s="18"/>
      <c r="C152" s="18"/>
      <c r="D152" s="82" t="s">
        <v>62</v>
      </c>
      <c r="E152" s="32">
        <v>0</v>
      </c>
      <c r="F152" s="32">
        <f t="shared" si="27"/>
        <v>0</v>
      </c>
      <c r="G152" s="157"/>
      <c r="H152" s="32"/>
      <c r="I152" s="84">
        <v>0</v>
      </c>
      <c r="J152" s="84">
        <v>0</v>
      </c>
      <c r="K152" s="84">
        <v>0</v>
      </c>
      <c r="M152" s="20"/>
      <c r="S152" s="18"/>
    </row>
    <row r="153" spans="1:19" hidden="1" x14ac:dyDescent="0.2">
      <c r="A153" s="109" t="s">
        <v>152</v>
      </c>
      <c r="B153" s="18"/>
      <c r="C153" s="18"/>
      <c r="D153" s="82" t="s">
        <v>152</v>
      </c>
      <c r="E153" s="32">
        <f>+E108</f>
        <v>-4791723.09</v>
      </c>
      <c r="F153" s="32" t="e">
        <f>+F102+#REF!</f>
        <v>#REF!</v>
      </c>
      <c r="G153" s="157"/>
      <c r="H153" s="32"/>
      <c r="I153" s="84">
        <f>+I108</f>
        <v>-2668311.25</v>
      </c>
      <c r="J153" s="84">
        <f>+J108</f>
        <v>0</v>
      </c>
      <c r="K153" s="84">
        <f>+K108</f>
        <v>-2668311.25</v>
      </c>
      <c r="M153" s="20"/>
      <c r="S153" s="18"/>
    </row>
    <row r="154" spans="1:19" hidden="1" x14ac:dyDescent="0.2">
      <c r="A154" s="109"/>
      <c r="B154" s="18"/>
      <c r="C154" s="18"/>
      <c r="D154" s="82" t="s">
        <v>189</v>
      </c>
      <c r="E154" s="32">
        <f>E113</f>
        <v>0</v>
      </c>
      <c r="F154" s="32"/>
      <c r="G154" s="157"/>
      <c r="H154" s="32"/>
      <c r="I154" s="84">
        <f>I113</f>
        <v>0</v>
      </c>
      <c r="J154" s="84">
        <f>J113</f>
        <v>0</v>
      </c>
      <c r="K154" s="84">
        <f>K113</f>
        <v>0</v>
      </c>
      <c r="M154" s="20"/>
      <c r="S154" s="18"/>
    </row>
    <row r="155" spans="1:19" hidden="1" x14ac:dyDescent="0.2">
      <c r="A155" s="109" t="s">
        <v>154</v>
      </c>
      <c r="B155" s="18"/>
      <c r="C155" s="18"/>
      <c r="D155" s="82" t="s">
        <v>154</v>
      </c>
      <c r="E155" s="32">
        <f>+E116</f>
        <v>-3537826.63</v>
      </c>
      <c r="F155" s="32" t="e">
        <f>+#REF!+#REF!</f>
        <v>#REF!</v>
      </c>
      <c r="G155" s="157"/>
      <c r="H155" s="32"/>
      <c r="I155" s="84">
        <f>+I116</f>
        <v>-4937507.7300000004</v>
      </c>
      <c r="J155" s="84">
        <f>+J116</f>
        <v>0</v>
      </c>
      <c r="K155" s="84">
        <f>+K116</f>
        <v>-4937507.7300000004</v>
      </c>
      <c r="M155" s="20"/>
      <c r="S155" s="18"/>
    </row>
    <row r="156" spans="1:19" hidden="1" x14ac:dyDescent="0.2">
      <c r="A156" s="109" t="s">
        <v>153</v>
      </c>
      <c r="B156" s="18"/>
      <c r="C156" s="18"/>
      <c r="D156" s="82" t="s">
        <v>153</v>
      </c>
      <c r="E156" s="32">
        <f>+E123</f>
        <v>-16245.810000000003</v>
      </c>
      <c r="F156" s="32" t="e">
        <f>+#REF!+F103</f>
        <v>#REF!</v>
      </c>
      <c r="G156" s="157"/>
      <c r="H156" s="32"/>
      <c r="I156" s="84">
        <f>+I123</f>
        <v>-15853.620000000003</v>
      </c>
      <c r="J156" s="84">
        <f>+J123</f>
        <v>0</v>
      </c>
      <c r="K156" s="84">
        <f>+K123</f>
        <v>-15853.620000000003</v>
      </c>
      <c r="M156" s="20"/>
      <c r="S156" s="18"/>
    </row>
    <row r="157" spans="1:19" hidden="1" x14ac:dyDescent="0.2">
      <c r="A157" s="109" t="s">
        <v>155</v>
      </c>
      <c r="B157" s="18"/>
      <c r="C157" s="18"/>
      <c r="D157" s="82" t="s">
        <v>155</v>
      </c>
      <c r="E157" s="32">
        <f>+E132</f>
        <v>-47823060.920000017</v>
      </c>
      <c r="F157" s="32">
        <f t="shared" ref="F157" si="28">+F103+F104</f>
        <v>0</v>
      </c>
      <c r="G157" s="157"/>
      <c r="H157" s="32"/>
      <c r="I157" s="84">
        <f>+I132</f>
        <v>-48032371.590000004</v>
      </c>
      <c r="J157" s="84">
        <f>+J132</f>
        <v>0</v>
      </c>
      <c r="K157" s="84">
        <f>+K132</f>
        <v>-48032371.590000004</v>
      </c>
      <c r="M157" s="20"/>
      <c r="S157" s="18"/>
    </row>
    <row r="158" spans="1:19" hidden="1" x14ac:dyDescent="0.2">
      <c r="A158" s="109"/>
      <c r="B158" s="18"/>
      <c r="C158" s="18"/>
      <c r="D158" s="85"/>
      <c r="E158" s="83"/>
      <c r="F158" s="83"/>
      <c r="G158" s="165"/>
      <c r="H158" s="83"/>
      <c r="I158" s="86"/>
      <c r="J158" s="86"/>
      <c r="K158" s="86"/>
      <c r="M158" s="20"/>
      <c r="S158" s="18"/>
    </row>
    <row r="159" spans="1:19" hidden="1" x14ac:dyDescent="0.2">
      <c r="A159" s="109" t="s">
        <v>121</v>
      </c>
      <c r="B159" s="18"/>
      <c r="C159" s="18"/>
      <c r="D159" s="87" t="s">
        <v>121</v>
      </c>
      <c r="E159" s="88">
        <f>SUM(E145:E158)</f>
        <v>5056496.5499999747</v>
      </c>
      <c r="F159" s="88" t="e">
        <f>SUM(F149:F158)</f>
        <v>#REF!</v>
      </c>
      <c r="G159" s="166"/>
      <c r="H159" s="88"/>
      <c r="I159" s="89">
        <f>SUM(I145:I158)</f>
        <v>13217303.169999994</v>
      </c>
      <c r="J159" s="89">
        <f>SUM(J145:J158)</f>
        <v>0</v>
      </c>
      <c r="K159" s="89">
        <f>SUM(K145:K158)</f>
        <v>13217303.169999994</v>
      </c>
      <c r="M159" s="20"/>
      <c r="S159" s="18"/>
    </row>
    <row r="160" spans="1:19" hidden="1" x14ac:dyDescent="0.2">
      <c r="B160" s="18"/>
      <c r="C160" s="18"/>
      <c r="F160" s="19"/>
      <c r="G160" s="148"/>
      <c r="H160" s="19"/>
      <c r="I160" s="19"/>
      <c r="J160" s="19"/>
      <c r="K160" s="19"/>
      <c r="M160" s="20"/>
      <c r="S160" s="18"/>
    </row>
    <row r="161" spans="1:19" hidden="1" x14ac:dyDescent="0.2">
      <c r="B161" s="18"/>
      <c r="C161" s="18"/>
      <c r="E161" s="19">
        <f>+E159-E136</f>
        <v>-7.4505805969238281E-9</v>
      </c>
      <c r="F161" s="19"/>
      <c r="G161" s="148"/>
      <c r="H161" s="19"/>
      <c r="I161" s="19">
        <f>+I159-I136</f>
        <v>-1419065.3700000048</v>
      </c>
      <c r="J161" s="19">
        <f>+J159-J136</f>
        <v>0</v>
      </c>
      <c r="K161" s="19">
        <f>+K159-K136</f>
        <v>-1419065.3700000048</v>
      </c>
      <c r="M161" s="20"/>
      <c r="S161" s="18"/>
    </row>
    <row r="162" spans="1:19" hidden="1" x14ac:dyDescent="0.2">
      <c r="B162" s="18"/>
      <c r="C162" s="18"/>
      <c r="F162" s="19"/>
      <c r="G162" s="148"/>
      <c r="H162" s="19"/>
      <c r="I162" s="19"/>
      <c r="J162" s="19"/>
      <c r="K162" s="19"/>
      <c r="M162" s="20"/>
      <c r="S162" s="18"/>
    </row>
    <row r="163" spans="1:19" hidden="1" x14ac:dyDescent="0.2">
      <c r="B163" s="18"/>
      <c r="C163" s="18"/>
      <c r="F163" s="19"/>
      <c r="G163" s="148"/>
      <c r="H163" s="19"/>
      <c r="I163" s="19"/>
      <c r="J163" s="19"/>
      <c r="K163" s="19"/>
      <c r="M163" s="20"/>
      <c r="S163" s="18"/>
    </row>
    <row r="164" spans="1:19" hidden="1" x14ac:dyDescent="0.2">
      <c r="B164" s="18"/>
      <c r="C164" s="18"/>
      <c r="F164" s="19"/>
      <c r="G164" s="148"/>
      <c r="H164" s="19"/>
      <c r="I164" s="19"/>
      <c r="J164" s="19"/>
      <c r="K164" s="19"/>
      <c r="M164" s="20"/>
      <c r="S164" s="18"/>
    </row>
    <row r="165" spans="1:19" hidden="1" x14ac:dyDescent="0.2">
      <c r="A165" s="100" t="s">
        <v>63</v>
      </c>
      <c r="B165" s="18"/>
      <c r="C165" s="18"/>
      <c r="D165" s="4" t="s">
        <v>63</v>
      </c>
      <c r="F165" s="19"/>
      <c r="G165" s="148">
        <f>+G34+G42+G44+G46+G48+G87+G57+G59+G15+G50+G66+G55+G65</f>
        <v>-251300</v>
      </c>
      <c r="H165" s="19">
        <f>+H34+H52+H42+H44+H46+H48+H87+H57+H59+H15+H50+H66+H55</f>
        <v>0</v>
      </c>
      <c r="I165" s="19"/>
      <c r="J165" s="19"/>
      <c r="K165" s="19"/>
      <c r="M165" s="20"/>
      <c r="S165" s="18"/>
    </row>
    <row r="166" spans="1:19" hidden="1" x14ac:dyDescent="0.2">
      <c r="A166" s="100" t="s">
        <v>64</v>
      </c>
      <c r="B166" s="18"/>
      <c r="C166" s="18"/>
      <c r="D166" s="34" t="s">
        <v>64</v>
      </c>
      <c r="F166" s="19"/>
      <c r="G166" s="148">
        <f>+G9+G94+G10</f>
        <v>578872.6</v>
      </c>
      <c r="H166" s="19">
        <f>+H9+H94+H10</f>
        <v>0</v>
      </c>
      <c r="I166" s="19"/>
      <c r="J166" s="19"/>
      <c r="K166" s="19"/>
      <c r="M166" s="20"/>
      <c r="S166" s="18"/>
    </row>
    <row r="167" spans="1:19" hidden="1" x14ac:dyDescent="0.2">
      <c r="A167" s="100" t="s">
        <v>65</v>
      </c>
      <c r="B167" s="18"/>
      <c r="C167" s="18"/>
      <c r="D167" s="34" t="s">
        <v>65</v>
      </c>
      <c r="F167" s="19"/>
      <c r="G167" s="148">
        <f>+G102+G103+G104+G105+G101+G106</f>
        <v>2278992.4699999997</v>
      </c>
      <c r="H167" s="19">
        <f>+H102+H103+H104+H105+H101</f>
        <v>-155580.63</v>
      </c>
      <c r="I167" s="19"/>
      <c r="J167" s="19"/>
      <c r="K167" s="19"/>
      <c r="M167" s="20"/>
      <c r="S167" s="18"/>
    </row>
    <row r="168" spans="1:19" hidden="1" x14ac:dyDescent="0.2">
      <c r="B168" s="18"/>
      <c r="C168" s="18"/>
      <c r="F168" s="19"/>
      <c r="G168" s="148"/>
      <c r="H168" s="19"/>
      <c r="I168" s="19"/>
      <c r="J168" s="19"/>
      <c r="K168" s="19"/>
      <c r="M168" s="20"/>
      <c r="S168" s="18"/>
    </row>
    <row r="169" spans="1:19" hidden="1" x14ac:dyDescent="0.2">
      <c r="B169" s="18"/>
      <c r="C169" s="18"/>
      <c r="F169" s="19"/>
      <c r="G169" s="167">
        <f>+G165+G166+G167-G140</f>
        <v>-9133573</v>
      </c>
      <c r="H169" s="110">
        <f>+H165+H166+H167-H140</f>
        <v>0</v>
      </c>
      <c r="I169" s="19"/>
      <c r="J169" s="19"/>
      <c r="K169" s="19"/>
      <c r="M169" s="20"/>
      <c r="S169" s="18"/>
    </row>
    <row r="170" spans="1:19" hidden="1" x14ac:dyDescent="0.2">
      <c r="B170" s="18"/>
      <c r="C170" s="18"/>
      <c r="F170" s="19"/>
      <c r="H170" s="29">
        <f>+H166+H167+H165+G165+G166+G167</f>
        <v>2450984.4399999995</v>
      </c>
      <c r="I170" s="19"/>
      <c r="J170" s="19"/>
      <c r="K170" s="19"/>
      <c r="M170" s="20"/>
      <c r="S170" s="18"/>
    </row>
    <row r="171" spans="1:19" hidden="1" x14ac:dyDescent="0.2">
      <c r="B171" s="18"/>
      <c r="C171" s="18"/>
      <c r="F171" s="19"/>
      <c r="G171" s="148"/>
      <c r="H171" s="29">
        <f>+H170-G140-H140</f>
        <v>-9133573</v>
      </c>
      <c r="I171" s="19"/>
      <c r="J171" s="19"/>
      <c r="K171" s="19"/>
      <c r="M171" s="20"/>
      <c r="S171" s="18"/>
    </row>
    <row r="172" spans="1:19" x14ac:dyDescent="0.2">
      <c r="B172" s="18"/>
      <c r="C172" s="18"/>
      <c r="F172" s="19"/>
      <c r="G172" s="148"/>
      <c r="H172" s="19"/>
      <c r="I172" s="19"/>
      <c r="J172" s="19"/>
      <c r="K172" s="19"/>
      <c r="M172" s="20"/>
      <c r="S172" s="18"/>
    </row>
    <row r="173" spans="1:19" ht="12.75" hidden="1" customHeight="1" x14ac:dyDescent="0.2">
      <c r="B173" s="18"/>
      <c r="C173" s="18"/>
      <c r="F173" s="19"/>
      <c r="G173" s="148"/>
      <c r="H173" s="19"/>
      <c r="I173" s="19"/>
      <c r="J173" s="19"/>
      <c r="K173" s="19"/>
      <c r="M173" s="20"/>
      <c r="S173" s="18"/>
    </row>
    <row r="174" spans="1:19" ht="12.75" hidden="1" customHeight="1" x14ac:dyDescent="0.2">
      <c r="A174" s="101" t="s">
        <v>144</v>
      </c>
      <c r="B174" s="18"/>
      <c r="C174" s="18"/>
      <c r="D174" s="22" t="s">
        <v>144</v>
      </c>
      <c r="E174" s="4" t="s">
        <v>121</v>
      </c>
      <c r="F174" s="19" t="s">
        <v>147</v>
      </c>
      <c r="G174" s="148" t="s">
        <v>148</v>
      </c>
      <c r="H174" s="19"/>
      <c r="I174" s="19"/>
      <c r="J174" s="19"/>
      <c r="K174" s="19"/>
      <c r="M174" s="20"/>
      <c r="S174" s="18"/>
    </row>
    <row r="175" spans="1:19" ht="12.75" hidden="1" customHeight="1" x14ac:dyDescent="0.2">
      <c r="A175" s="101" t="s">
        <v>145</v>
      </c>
      <c r="B175" s="18"/>
      <c r="C175" s="18"/>
      <c r="D175" s="22" t="s">
        <v>145</v>
      </c>
      <c r="E175" s="19">
        <v>19066028.010000002</v>
      </c>
      <c r="F175" s="19">
        <v>62319564.710000008</v>
      </c>
      <c r="G175" s="148">
        <v>-43253536.700000003</v>
      </c>
      <c r="H175" s="19"/>
      <c r="I175" s="19"/>
      <c r="J175" s="19"/>
      <c r="K175" s="19"/>
      <c r="M175" s="20"/>
      <c r="S175" s="18"/>
    </row>
    <row r="176" spans="1:19" ht="12.75" hidden="1" customHeight="1" x14ac:dyDescent="0.2">
      <c r="A176" s="101" t="s">
        <v>146</v>
      </c>
      <c r="B176" s="18"/>
      <c r="C176" s="18"/>
      <c r="D176" s="22" t="s">
        <v>146</v>
      </c>
      <c r="F176" s="19"/>
      <c r="G176" s="148"/>
      <c r="H176" s="19"/>
      <c r="I176" s="19"/>
      <c r="J176" s="19"/>
      <c r="K176" s="19"/>
      <c r="M176" s="20"/>
      <c r="S176" s="18"/>
    </row>
    <row r="177" spans="1:19" ht="12.75" hidden="1" customHeight="1" x14ac:dyDescent="0.2">
      <c r="A177" s="100" t="s">
        <v>149</v>
      </c>
      <c r="B177" s="18"/>
      <c r="C177" s="18"/>
      <c r="D177" s="4" t="s">
        <v>149</v>
      </c>
      <c r="E177" s="29">
        <f>SUM(F177:G177)</f>
        <v>905563</v>
      </c>
      <c r="F177" s="19">
        <v>905563</v>
      </c>
      <c r="G177" s="148"/>
      <c r="H177" s="19"/>
      <c r="I177" s="19"/>
      <c r="J177" s="19"/>
      <c r="K177" s="19"/>
      <c r="M177" s="20"/>
      <c r="S177" s="18"/>
    </row>
    <row r="178" spans="1:19" ht="12.75" hidden="1" customHeight="1" x14ac:dyDescent="0.2">
      <c r="A178" s="100" t="s">
        <v>150</v>
      </c>
      <c r="B178" s="18"/>
      <c r="C178" s="18"/>
      <c r="D178" s="4" t="s">
        <v>150</v>
      </c>
      <c r="E178" s="29">
        <f>SUM(F178:G178)</f>
        <v>-905563</v>
      </c>
      <c r="G178" s="148">
        <v>-905563</v>
      </c>
      <c r="H178" s="19"/>
      <c r="I178" s="19"/>
      <c r="J178" s="19"/>
      <c r="K178" s="19"/>
      <c r="M178" s="20"/>
      <c r="S178" s="18"/>
    </row>
    <row r="179" spans="1:19" ht="12.75" hidden="1" customHeight="1" x14ac:dyDescent="0.2">
      <c r="B179" s="18"/>
      <c r="C179" s="18"/>
      <c r="F179" s="19"/>
      <c r="G179" s="148"/>
      <c r="H179" s="19"/>
      <c r="I179" s="19"/>
      <c r="J179" s="19"/>
      <c r="K179" s="19"/>
      <c r="M179" s="20"/>
      <c r="S179" s="18"/>
    </row>
    <row r="180" spans="1:19" ht="12.75" hidden="1" customHeight="1" x14ac:dyDescent="0.2">
      <c r="B180" s="18"/>
      <c r="C180" s="18"/>
      <c r="E180" s="94"/>
      <c r="F180" s="95"/>
      <c r="G180" s="169"/>
      <c r="H180" s="19"/>
      <c r="I180" s="19"/>
      <c r="J180" s="19"/>
      <c r="K180" s="19"/>
      <c r="M180" s="20"/>
      <c r="S180" s="18"/>
    </row>
    <row r="181" spans="1:19" ht="12.75" hidden="1" customHeight="1" x14ac:dyDescent="0.2">
      <c r="B181" s="18"/>
      <c r="C181" s="18"/>
      <c r="E181" s="29">
        <f>SUM(E175:E180)</f>
        <v>19066028.010000002</v>
      </c>
      <c r="F181" s="29">
        <f>SUM(F175:F180)</f>
        <v>63225127.710000008</v>
      </c>
      <c r="G181" s="151">
        <f>SUM(G175:G180)</f>
        <v>-44159099.700000003</v>
      </c>
      <c r="H181" s="19"/>
      <c r="I181" s="19"/>
      <c r="J181" s="19"/>
      <c r="K181" s="19"/>
      <c r="M181" s="20"/>
      <c r="S181" s="18"/>
    </row>
    <row r="182" spans="1:19" x14ac:dyDescent="0.2">
      <c r="B182" s="18"/>
      <c r="C182" s="18"/>
      <c r="F182" s="19"/>
      <c r="G182" s="232"/>
      <c r="H182" s="19"/>
      <c r="I182" s="19"/>
      <c r="J182" s="19"/>
      <c r="K182" s="19"/>
      <c r="M182" s="20"/>
      <c r="S182" s="18"/>
    </row>
    <row r="183" spans="1:19" x14ac:dyDescent="0.2">
      <c r="B183" s="18"/>
      <c r="C183" s="18"/>
      <c r="F183" s="19"/>
      <c r="G183" s="232"/>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48"/>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B191" s="18"/>
      <c r="C191" s="18"/>
      <c r="F191" s="19"/>
      <c r="G191" s="148"/>
      <c r="H191" s="19"/>
      <c r="I191" s="19"/>
      <c r="J191" s="19"/>
      <c r="K191" s="19"/>
      <c r="M191" s="20"/>
      <c r="S191" s="18"/>
    </row>
    <row r="192" spans="1:19" x14ac:dyDescent="0.2">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22" x14ac:dyDescent="0.2">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B249" s="18"/>
      <c r="C249" s="18"/>
      <c r="F249" s="19"/>
      <c r="G249" s="148"/>
      <c r="H249" s="19"/>
      <c r="I249" s="19"/>
      <c r="J249" s="19"/>
      <c r="K249" s="19"/>
      <c r="M249" s="20"/>
      <c r="S249" s="18"/>
    </row>
    <row r="250" spans="1:22" x14ac:dyDescent="0.2">
      <c r="B250" s="18"/>
      <c r="C250" s="18"/>
      <c r="F250" s="19"/>
      <c r="G250" s="148"/>
      <c r="H250" s="19"/>
      <c r="I250" s="19"/>
      <c r="J250" s="19"/>
      <c r="K250" s="19"/>
      <c r="M250" s="20"/>
      <c r="S250" s="18"/>
    </row>
    <row r="251" spans="1:22" x14ac:dyDescent="0.2">
      <c r="C251" s="18"/>
      <c r="F251" s="19"/>
      <c r="G251" s="148"/>
      <c r="H251" s="19"/>
      <c r="I251" s="19"/>
      <c r="J251" s="19"/>
      <c r="K251" s="19"/>
      <c r="M251" s="20"/>
      <c r="S251" s="18"/>
    </row>
    <row r="252" spans="1:22" x14ac:dyDescent="0.2">
      <c r="C252" s="18"/>
      <c r="F252" s="19"/>
      <c r="G252" s="148"/>
      <c r="H252" s="19"/>
      <c r="I252" s="19"/>
      <c r="J252" s="19"/>
      <c r="K252" s="19"/>
      <c r="M252" s="20"/>
      <c r="S252" s="18"/>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x14ac:dyDescent="0.2">
      <c r="H301" s="19"/>
    </row>
  </sheetData>
  <mergeCells count="1">
    <mergeCell ref="Q5:R5"/>
  </mergeCells>
  <conditionalFormatting sqref="H169 G171">
    <cfRule type="cellIs" dxfId="24"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43" min="1" max="1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302"/>
  <sheetViews>
    <sheetView zoomScale="80" zoomScaleNormal="80" workbookViewId="0">
      <selection activeCell="G187" sqref="G187"/>
    </sheetView>
  </sheetViews>
  <sheetFormatPr defaultColWidth="9.140625" defaultRowHeight="12.75" x14ac:dyDescent="0.2"/>
  <cols>
    <col min="1" max="1" width="3.85546875" style="100" customWidth="1"/>
    <col min="2" max="2" width="3.5703125" style="4" customWidth="1"/>
    <col min="3" max="3" width="18" style="4" customWidth="1"/>
    <col min="4" max="4" width="40.8554687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7"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27" t="s">
        <v>66</v>
      </c>
    </row>
    <row r="4" spans="1:22" x14ac:dyDescent="0.2">
      <c r="A4" s="99"/>
      <c r="B4" s="7"/>
      <c r="C4" s="3"/>
      <c r="D4" s="3"/>
      <c r="E4" s="212"/>
      <c r="F4" s="8"/>
      <c r="G4" s="215"/>
      <c r="H4" s="216"/>
      <c r="I4" s="202"/>
      <c r="J4" s="202"/>
      <c r="K4" s="202"/>
      <c r="M4" s="10"/>
      <c r="P4" s="227" t="s">
        <v>1</v>
      </c>
    </row>
    <row r="5" spans="1:22" x14ac:dyDescent="0.2">
      <c r="E5" s="217" t="s">
        <v>208</v>
      </c>
      <c r="F5" s="227" t="s">
        <v>3</v>
      </c>
      <c r="G5" s="227" t="s">
        <v>4</v>
      </c>
      <c r="H5" s="227"/>
      <c r="I5" s="204" t="s">
        <v>208</v>
      </c>
      <c r="J5" s="13" t="s">
        <v>180</v>
      </c>
      <c r="K5" s="204" t="s">
        <v>209</v>
      </c>
      <c r="L5" s="227" t="s">
        <v>5</v>
      </c>
      <c r="M5" s="11" t="s">
        <v>6</v>
      </c>
      <c r="N5" s="11" t="s">
        <v>0</v>
      </c>
      <c r="O5" s="11" t="s">
        <v>8</v>
      </c>
      <c r="P5" s="227" t="s">
        <v>9</v>
      </c>
      <c r="Q5" s="576" t="s">
        <v>10</v>
      </c>
      <c r="R5" s="576"/>
      <c r="U5" s="12" t="s">
        <v>11</v>
      </c>
    </row>
    <row r="6" spans="1:22" x14ac:dyDescent="0.2">
      <c r="E6" s="218">
        <v>42004</v>
      </c>
      <c r="F6" s="13" t="s">
        <v>12</v>
      </c>
      <c r="G6" s="14" t="s">
        <v>13</v>
      </c>
      <c r="H6" s="14" t="s">
        <v>8</v>
      </c>
      <c r="I6" s="205">
        <v>42369</v>
      </c>
      <c r="J6" s="13" t="s">
        <v>210</v>
      </c>
      <c r="K6" s="205">
        <f>I6</f>
        <v>42369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'DEK Q1 2015'!E9</f>
        <v>1091242.7799999989</v>
      </c>
      <c r="F9" s="30">
        <v>0</v>
      </c>
      <c r="G9" s="130">
        <f>'DEK Q1 2015'!G9+'DEK Q2 2015'!G9+'DEK Q3 2015'!G9+'DEK Q4 2015'!G9</f>
        <v>-1091242.78</v>
      </c>
      <c r="H9" s="30">
        <v>0</v>
      </c>
      <c r="I9" s="115">
        <f>E9+F9+G9+H9</f>
        <v>-1.1641532182693481E-9</v>
      </c>
      <c r="J9" s="30">
        <v>0</v>
      </c>
      <c r="K9" s="115">
        <f>I9+J9</f>
        <v>-1.1641532182693481E-9</v>
      </c>
      <c r="L9" s="210" t="s">
        <v>22</v>
      </c>
      <c r="M9" s="20"/>
      <c r="P9" s="31"/>
      <c r="S9" s="18">
        <v>142982</v>
      </c>
    </row>
    <row r="10" spans="1:22" x14ac:dyDescent="0.2">
      <c r="A10" s="100" t="s">
        <v>109</v>
      </c>
      <c r="B10" s="28"/>
      <c r="C10" s="28" t="s">
        <v>34</v>
      </c>
      <c r="D10" s="4" t="s">
        <v>109</v>
      </c>
      <c r="E10" s="32">
        <f>'DEK Q1 2015'!E10</f>
        <v>1921395.66</v>
      </c>
      <c r="F10" s="33">
        <v>0</v>
      </c>
      <c r="G10" s="130">
        <f>'DEK Q1 2015'!G10+'DEK Q2 2015'!G10+'DEK Q3 2015'!G10+'DEK Q4 2015'!G10</f>
        <v>-1342523.06</v>
      </c>
      <c r="H10" s="33">
        <v>0</v>
      </c>
      <c r="I10" s="115">
        <f>E10+F10+G10+H10</f>
        <v>578872.59999999986</v>
      </c>
      <c r="J10" s="30">
        <v>0</v>
      </c>
      <c r="K10" s="115">
        <f>I10+J10</f>
        <v>578872.59999999986</v>
      </c>
      <c r="L10" s="210" t="s">
        <v>267</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3012638.4399999985</v>
      </c>
      <c r="F12" s="29">
        <f t="shared" ref="F12:J12" si="0">SUM(F9:F10)</f>
        <v>0</v>
      </c>
      <c r="G12" s="29">
        <f t="shared" si="0"/>
        <v>-2433765.84</v>
      </c>
      <c r="H12" s="29">
        <f t="shared" si="0"/>
        <v>0</v>
      </c>
      <c r="I12" s="117">
        <f t="shared" si="0"/>
        <v>578872.5999999987</v>
      </c>
      <c r="J12" s="29">
        <f t="shared" si="0"/>
        <v>0</v>
      </c>
      <c r="K12" s="117">
        <f>SUM(K9:K10)</f>
        <v>578872.5999999987</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'DEK Q1 2015'!E15</f>
        <v>559677.81000000006</v>
      </c>
      <c r="F15" s="30">
        <v>0</v>
      </c>
      <c r="G15" s="130">
        <f>'DEK Q1 2015'!G15+'DEK Q2 2015'!G15+'DEK Q3 2015'!G15+'DEK Q4 2015'!G15</f>
        <v>-73667</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'DEK Q1 2015'!E16</f>
        <v>1590647</v>
      </c>
      <c r="F16" s="30">
        <v>0</v>
      </c>
      <c r="G16" s="130">
        <f>'DEK Q1 2015'!G16+'DEK Q2 2015'!G16+'DEK Q3 2015'!G16+'DEK Q4 2015'!G16</f>
        <v>-150501</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'DEK Q1 2015'!E17</f>
        <v>0</v>
      </c>
      <c r="F17" s="30">
        <v>0</v>
      </c>
      <c r="G17" s="33">
        <f>'DEK Q1 2015'!G17+'DEK Q2 2015'!G17+'DEK Q3 2015'!G17+'DEK Q4 2015'!G17</f>
        <v>0</v>
      </c>
      <c r="H17" s="33">
        <v>0</v>
      </c>
      <c r="I17" s="115">
        <f>E17+F17+G17+H17</f>
        <v>0</v>
      </c>
      <c r="J17" s="30">
        <v>6374089.7999999998</v>
      </c>
      <c r="K17" s="115">
        <f t="shared" ref="K17" si="1">I17+J17</f>
        <v>6374089.7999999998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2150324.81</v>
      </c>
      <c r="F19" s="29">
        <f t="shared" ref="F19:K19" si="2">SUM(F15:F18)</f>
        <v>0</v>
      </c>
      <c r="G19" s="29">
        <f t="shared" si="2"/>
        <v>-224168</v>
      </c>
      <c r="H19" s="29">
        <f t="shared" si="2"/>
        <v>0</v>
      </c>
      <c r="I19" s="123">
        <f t="shared" si="2"/>
        <v>1926156.81</v>
      </c>
      <c r="J19" s="49">
        <f t="shared" si="2"/>
        <v>6374089.7999999998</v>
      </c>
      <c r="K19" s="123">
        <f t="shared" si="2"/>
        <v>8300246.6099999994</v>
      </c>
      <c r="L19" s="229"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'DEK Q1 2015'!E22</f>
        <v>1987853.8500000003</v>
      </c>
      <c r="F22" s="33">
        <v>0</v>
      </c>
      <c r="G22" s="33">
        <f>'DEK Q1 2015'!G22+'DEK Q2 2015'!G22+'DEK Q3 2015'!G22+'DEK Q4 2015'!G22</f>
        <v>0</v>
      </c>
      <c r="H22" s="130">
        <f>'DEK Q1 2015'!H22+'DEK Q2 2015'!H22+'DEK Q3 2015'!H22+'DEK Q4 2015'!H22</f>
        <v>-266474.02</v>
      </c>
      <c r="I22" s="115">
        <f>E22+F22+G22+H22</f>
        <v>1721379.8300000003</v>
      </c>
      <c r="J22" s="33">
        <v>-266473.8</v>
      </c>
      <c r="K22" s="115">
        <f>I22+J22</f>
        <v>1454906.0300000003</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1987853.8500000003</v>
      </c>
      <c r="F24" s="29">
        <f t="shared" ref="F24:K24" si="3">SUM(F22:F23)</f>
        <v>0</v>
      </c>
      <c r="G24" s="29">
        <f t="shared" si="3"/>
        <v>0</v>
      </c>
      <c r="H24" s="29">
        <f t="shared" si="3"/>
        <v>-266474.02</v>
      </c>
      <c r="I24" s="123">
        <f t="shared" si="3"/>
        <v>1721379.8300000003</v>
      </c>
      <c r="J24" s="49">
        <f t="shared" si="3"/>
        <v>-266473.8</v>
      </c>
      <c r="K24" s="123">
        <f t="shared" si="3"/>
        <v>1454906.0300000003</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'DEK Q1 2015'!E27</f>
        <v>1509623</v>
      </c>
      <c r="F27" s="33">
        <v>0</v>
      </c>
      <c r="G27" s="130">
        <f>'DEK Q1 2015'!G27+'DEK Q2 2015'!G27+'DEK Q3 2015'!G27+'DEK Q4 2015'!G27</f>
        <v>455640</v>
      </c>
      <c r="H27" s="30">
        <f>'DEK Q1 2015'!H27+'DEK Q2 2015'!H27+'DEK Q3 2015'!H27+'DEK Q4 2015'!H27</f>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f>'DEK Q1 2015'!E28</f>
        <v>-557987.80000000005</v>
      </c>
      <c r="F28" s="33">
        <v>0</v>
      </c>
      <c r="G28" s="130">
        <f>'DEK Q1 2015'!G28+'DEK Q2 2015'!G28+'DEK Q3 2015'!G28+'DEK Q4 2015'!G28</f>
        <v>-3233693</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951635.2</v>
      </c>
      <c r="F30" s="44">
        <f t="shared" ref="F30:K30" si="4">SUM(F27:F28)</f>
        <v>0</v>
      </c>
      <c r="G30" s="33">
        <f t="shared" si="4"/>
        <v>-2778053</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'DEK Q1 2015'!E52</f>
        <v>8973145.4299999997</v>
      </c>
      <c r="F52" s="33">
        <v>0</v>
      </c>
      <c r="G52" s="130">
        <f>'DEK Q1 2015'!G52+'DEK Q2 2015'!G52+'DEK Q3 2015'!G52+'DEK Q4 2015'!G52</f>
        <v>-2310291.4500000002</v>
      </c>
      <c r="H52" s="33">
        <v>0</v>
      </c>
      <c r="I52" s="115">
        <f>E52+F52+G52+H52</f>
        <v>6662853.9799999995</v>
      </c>
      <c r="J52" s="33">
        <v>-6107616</v>
      </c>
      <c r="K52" s="115">
        <f>I52+J52</f>
        <v>555237.97999999952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'DEK Q1 2015'!E53</f>
        <v>5690225</v>
      </c>
      <c r="F53" s="33">
        <v>0</v>
      </c>
      <c r="G53" s="130">
        <f>'DEK Q1 2015'!G53+'DEK Q2 2015'!G53+'DEK Q3 2015'!G53+'DEK Q4 2015'!G53</f>
        <v>45562</v>
      </c>
      <c r="H53" s="33">
        <v>0</v>
      </c>
      <c r="I53" s="115">
        <f>E53+F53+G53+H53</f>
        <v>5735787</v>
      </c>
      <c r="J53" s="33">
        <v>0</v>
      </c>
      <c r="K53" s="115">
        <f>I53+J53</f>
        <v>5735787</v>
      </c>
      <c r="L53" s="210" t="s">
        <v>22</v>
      </c>
      <c r="M53" s="6" t="s">
        <v>110</v>
      </c>
      <c r="N53" s="6" t="s">
        <v>111</v>
      </c>
      <c r="S53" s="18">
        <v>182410</v>
      </c>
    </row>
    <row r="54" spans="1:23" x14ac:dyDescent="0.2">
      <c r="B54" s="28"/>
      <c r="C54" s="28"/>
      <c r="E54" s="3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3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33"/>
      <c r="F58" s="33"/>
      <c r="G58" s="144"/>
      <c r="H58" s="33"/>
      <c r="I58" s="115"/>
      <c r="J58" s="33"/>
      <c r="K58" s="115"/>
      <c r="S58" s="18"/>
    </row>
    <row r="59" spans="1:23" x14ac:dyDescent="0.2">
      <c r="A59" s="100" t="s">
        <v>134</v>
      </c>
      <c r="B59" s="28"/>
      <c r="C59" s="28" t="s">
        <v>133</v>
      </c>
      <c r="D59" s="4" t="s">
        <v>205</v>
      </c>
      <c r="E59" s="32">
        <f>'DEK Q1 2015'!E59</f>
        <v>1200000</v>
      </c>
      <c r="F59" s="33">
        <v>0</v>
      </c>
      <c r="G59" s="130">
        <f>'DEK Q1 2015'!G59+'DEK Q2 2015'!G59+'DEK Q3 2015'!G59+'DEK Q4 2015'!G59</f>
        <v>200000</v>
      </c>
      <c r="H59" s="33">
        <v>0</v>
      </c>
      <c r="I59" s="115">
        <f>E59+F59+G59+H59</f>
        <v>1400000</v>
      </c>
      <c r="J59" s="33">
        <v>0</v>
      </c>
      <c r="K59" s="115">
        <f>I59+J59</f>
        <v>1400000</v>
      </c>
      <c r="L59" s="210" t="s">
        <v>22</v>
      </c>
      <c r="M59" s="20" t="s">
        <v>249</v>
      </c>
      <c r="S59" s="18"/>
    </row>
    <row r="60" spans="1:23" x14ac:dyDescent="0.2">
      <c r="B60" s="28"/>
      <c r="C60" s="28"/>
      <c r="E60" s="3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33"/>
      <c r="F62" s="33"/>
      <c r="G62" s="144"/>
      <c r="H62" s="33"/>
      <c r="I62" s="115"/>
      <c r="J62" s="33"/>
      <c r="K62" s="115"/>
      <c r="S62" s="18"/>
      <c r="W62" s="47"/>
    </row>
    <row r="63" spans="1:23" x14ac:dyDescent="0.2">
      <c r="A63" s="100" t="s">
        <v>39</v>
      </c>
      <c r="B63" s="28"/>
      <c r="C63" s="28" t="s">
        <v>38</v>
      </c>
      <c r="D63" s="4" t="s">
        <v>39</v>
      </c>
      <c r="E63" s="32">
        <f>'DEK Q1 2015'!E63</f>
        <v>4912684</v>
      </c>
      <c r="F63" s="33">
        <v>0</v>
      </c>
      <c r="G63" s="44">
        <f>'DEK Q1 2015'!G63+'DEK Q2 2015'!G63+'DEK Q3 2015'!G63+'DEK Q4 2015'!G63</f>
        <v>0</v>
      </c>
      <c r="H63" s="33">
        <v>0</v>
      </c>
      <c r="I63" s="115">
        <f>E63+F63+G63+H63</f>
        <v>4912684</v>
      </c>
      <c r="J63" s="33">
        <v>0</v>
      </c>
      <c r="K63" s="115">
        <f>I63+J63</f>
        <v>4912684</v>
      </c>
      <c r="L63" s="210" t="s">
        <v>22</v>
      </c>
      <c r="M63" s="20" t="s">
        <v>112</v>
      </c>
      <c r="S63" s="18"/>
    </row>
    <row r="64" spans="1:23" x14ac:dyDescent="0.2">
      <c r="B64" s="28"/>
      <c r="C64" s="28"/>
      <c r="E64" s="3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Jun 2015'!$A$1:$I$252,9,FALSE)</f>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'DEK Q1 2015'!E67</f>
        <v>0</v>
      </c>
      <c r="F67" s="172"/>
      <c r="G67" s="130">
        <f>'DEK Q1 2015'!G67+'DEK Q2 2015'!G67+'DEK Q3 2015'!G67+'DEK Q4 2015'!G67</f>
        <v>12182527.709999999</v>
      </c>
      <c r="H67" s="172"/>
      <c r="I67" s="115">
        <f t="shared" si="5"/>
        <v>12182527.709999999</v>
      </c>
      <c r="J67" s="172"/>
      <c r="K67" s="115">
        <f t="shared" si="6"/>
        <v>12182527.709999999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v>0</v>
      </c>
      <c r="F69" s="172"/>
      <c r="G69" s="130">
        <f>'DEK Q2 2015'!G69+'DEK Q3 2015'!G69+'DEK Q4 2015'!G69</f>
        <v>0</v>
      </c>
      <c r="H69" s="33"/>
      <c r="I69" s="115">
        <f t="shared" si="5"/>
        <v>0</v>
      </c>
      <c r="J69" s="33"/>
      <c r="K69" s="115">
        <f t="shared" si="6"/>
        <v>0</v>
      </c>
      <c r="L69" s="210" t="s">
        <v>251</v>
      </c>
      <c r="M69" s="20"/>
      <c r="S69" s="18"/>
    </row>
    <row r="70" spans="1:19" ht="12.75" customHeight="1" x14ac:dyDescent="0.35">
      <c r="B70" s="28"/>
      <c r="C70" s="28"/>
      <c r="E70" s="32"/>
      <c r="F70" s="172"/>
      <c r="G70" s="130"/>
      <c r="H70" s="33"/>
      <c r="I70" s="115" t="s">
        <v>222</v>
      </c>
      <c r="J70" s="33"/>
      <c r="K70" s="115" t="s">
        <v>222</v>
      </c>
      <c r="L70" s="210"/>
      <c r="M70" s="20"/>
      <c r="S70" s="18"/>
    </row>
    <row r="71" spans="1:19" ht="12.75" customHeight="1" x14ac:dyDescent="0.35">
      <c r="A71" s="100" t="s">
        <v>255</v>
      </c>
      <c r="B71" s="28"/>
      <c r="C71" s="28" t="s">
        <v>254</v>
      </c>
      <c r="D71" s="4" t="s">
        <v>255</v>
      </c>
      <c r="E71" s="32">
        <v>0</v>
      </c>
      <c r="F71" s="172"/>
      <c r="G71" s="130">
        <f>'DEK Q4 2015'!G71</f>
        <v>3015675.55</v>
      </c>
      <c r="H71" s="33"/>
      <c r="I71" s="115">
        <f t="shared" si="5"/>
        <v>3015675.55</v>
      </c>
      <c r="J71" s="33"/>
      <c r="K71" s="115">
        <f t="shared" si="6"/>
        <v>3015675.55</v>
      </c>
      <c r="L71" s="210"/>
      <c r="M71" s="20"/>
      <c r="S71" s="18"/>
    </row>
    <row r="72" spans="1:19" ht="12.75" customHeight="1" x14ac:dyDescent="0.35">
      <c r="B72" s="28"/>
      <c r="C72" s="28"/>
      <c r="E72" s="32"/>
      <c r="F72" s="172"/>
      <c r="G72" s="130"/>
      <c r="H72" s="33"/>
      <c r="I72" s="115"/>
      <c r="J72" s="33"/>
      <c r="K72" s="115"/>
      <c r="L72" s="210"/>
      <c r="M72" s="20"/>
      <c r="S72" s="18"/>
    </row>
    <row r="73" spans="1:19" ht="12.75" customHeight="1" x14ac:dyDescent="0.35">
      <c r="B73" s="28"/>
      <c r="C73" s="28" t="s">
        <v>256</v>
      </c>
      <c r="D73" s="4" t="s">
        <v>257</v>
      </c>
      <c r="E73" s="32">
        <v>0</v>
      </c>
      <c r="F73" s="172"/>
      <c r="G73" s="130">
        <f>'DEK Q4 2015'!G73</f>
        <v>-9618.8799999999992</v>
      </c>
      <c r="H73" s="33"/>
      <c r="I73" s="115">
        <f t="shared" si="5"/>
        <v>-9618.8799999999992</v>
      </c>
      <c r="J73" s="33"/>
      <c r="K73" s="115">
        <f t="shared" si="6"/>
        <v>-9618.8799999999992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v>0</v>
      </c>
      <c r="F75" s="172"/>
      <c r="G75" s="130">
        <f>'DEK Q3 2015'!G71+'DEK Q4 2015'!G75</f>
        <v>4282400.5199999996</v>
      </c>
      <c r="H75" s="33"/>
      <c r="I75" s="115">
        <f t="shared" ref="I75" si="7">E75+F75+G75+H75</f>
        <v>4282400.5199999996</v>
      </c>
      <c r="J75" s="33"/>
      <c r="K75" s="115">
        <f t="shared" ref="K75" si="8">I75+J75</f>
        <v>4282400.5199999996</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Sep 2015'!$A$1:$I$252,9,FALSE)</f>
        <v>0</v>
      </c>
      <c r="F77" s="174"/>
      <c r="G77" s="33">
        <f>'DEK Q1 2015'!G69+'DEK Q2 2015'!G71+'DEK Q3 2015'!G73+'DEK Q4 2015'!G77</f>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f>'DEK Q4 2015'!G79</f>
        <v>0</v>
      </c>
      <c r="H79" s="36">
        <v>0</v>
      </c>
      <c r="I79" s="116">
        <f t="shared" si="9"/>
        <v>0</v>
      </c>
      <c r="J79" s="36"/>
      <c r="K79" s="116">
        <f t="shared" si="10"/>
        <v>0</v>
      </c>
      <c r="M79" s="20"/>
      <c r="S79" s="18"/>
    </row>
    <row r="80" spans="1:19" x14ac:dyDescent="0.2">
      <c r="B80" s="54"/>
      <c r="C80" s="28"/>
      <c r="E80" s="32">
        <f>SUM(E42:E79)</f>
        <v>20776054.43</v>
      </c>
      <c r="F80" s="29">
        <f>SUM(F39:F65)+F36</f>
        <v>0</v>
      </c>
      <c r="G80" s="29">
        <f>SUM(G39:G79)+G36</f>
        <v>17406255.449999996</v>
      </c>
      <c r="H80" s="29">
        <f>SUM(H39:H79)+H36</f>
        <v>0</v>
      </c>
      <c r="I80" s="123">
        <f>SUM(I39:I79)+I36</f>
        <v>38182309.879999995</v>
      </c>
      <c r="J80" s="49">
        <f>SUM(J39:J79)+J36</f>
        <v>-6107616</v>
      </c>
      <c r="K80" s="123">
        <f>SUM(K39:K79)+K36</f>
        <v>32074693.879999999</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0</v>
      </c>
      <c r="F82" s="29"/>
      <c r="G82" s="29">
        <v>1419065.37</v>
      </c>
      <c r="H82" s="29">
        <v>0</v>
      </c>
      <c r="I82" s="123">
        <f>E82+F82+G82+H82</f>
        <v>1419065.37</v>
      </c>
      <c r="J82" s="49">
        <v>0</v>
      </c>
      <c r="K82" s="123">
        <f t="shared" ref="K82" si="11">I82+J82</f>
        <v>1419065.37</v>
      </c>
      <c r="L82" s="230" t="s">
        <v>270</v>
      </c>
      <c r="M82" s="20"/>
      <c r="S82" s="18"/>
    </row>
    <row r="83" spans="1:21" x14ac:dyDescent="0.2">
      <c r="B83" s="54"/>
      <c r="C83" s="28"/>
      <c r="E83" s="32"/>
      <c r="F83" s="29"/>
      <c r="G83" s="29"/>
      <c r="H83" s="29"/>
      <c r="I83" s="123"/>
      <c r="J83" s="49"/>
      <c r="K83" s="123"/>
      <c r="L83" s="230"/>
      <c r="M83" s="20"/>
      <c r="S83" s="18"/>
    </row>
    <row r="84" spans="1:21" x14ac:dyDescent="0.2">
      <c r="B84" s="54"/>
      <c r="C84" s="28"/>
      <c r="E84" s="32"/>
      <c r="F84" s="29"/>
      <c r="G84" s="29"/>
      <c r="H84" s="29"/>
      <c r="I84" s="123"/>
      <c r="J84" s="49"/>
      <c r="K84" s="123"/>
      <c r="L84" s="230"/>
      <c r="M84" s="20"/>
      <c r="S84" s="18"/>
    </row>
    <row r="85" spans="1:21" x14ac:dyDescent="0.2">
      <c r="B85" s="28"/>
      <c r="C85" s="28"/>
      <c r="E85" s="32"/>
      <c r="F85" s="30"/>
      <c r="G85" s="152"/>
      <c r="H85" s="30"/>
      <c r="I85" s="115"/>
      <c r="J85" s="30"/>
      <c r="K85" s="115"/>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161</v>
      </c>
      <c r="B88" s="28"/>
      <c r="C88" s="28" t="s">
        <v>72</v>
      </c>
      <c r="D88" s="4" t="s">
        <v>224</v>
      </c>
      <c r="E88" s="32">
        <f>'DEK Q1 2015'!E74</f>
        <v>21496048.440000001</v>
      </c>
      <c r="F88" s="30">
        <v>0</v>
      </c>
      <c r="G88" s="130">
        <f>'DEK Q1 2015'!G74+'DEK Q2 2015'!G76+'DEK Q3 2015'!G78+'DEK Q4 2015'!G88</f>
        <v>3826604</v>
      </c>
      <c r="H88" s="30">
        <v>0</v>
      </c>
      <c r="I88" s="115">
        <f>E88+F88+G88+H88</f>
        <v>25322652.440000001</v>
      </c>
      <c r="J88" s="30">
        <v>0</v>
      </c>
      <c r="K88" s="115">
        <f t="shared" ref="K88:K90" si="12">I88+J88</f>
        <v>25322652.440000001</v>
      </c>
      <c r="L88" s="210" t="s">
        <v>22</v>
      </c>
      <c r="M88" s="20"/>
      <c r="P88" s="58"/>
      <c r="S88" s="18">
        <v>186801</v>
      </c>
    </row>
    <row r="89" spans="1:21" x14ac:dyDescent="0.2">
      <c r="A89" s="108" t="s">
        <v>171</v>
      </c>
      <c r="B89" s="28"/>
      <c r="C89" s="28" t="s">
        <v>122</v>
      </c>
      <c r="D89" s="4" t="s">
        <v>225</v>
      </c>
      <c r="E89" s="32">
        <f>'DEK Q1 2015'!E75</f>
        <v>3245961.55</v>
      </c>
      <c r="F89" s="30">
        <v>0</v>
      </c>
      <c r="G89" s="130">
        <f>'DEK Q1 2015'!G75+'DEK Q2 2015'!G77+'DEK Q3 2015'!G79+'DEK Q4 2015'!G89</f>
        <v>-331032</v>
      </c>
      <c r="H89" s="30">
        <v>0</v>
      </c>
      <c r="I89" s="115">
        <f>E89+F89+G89+H89</f>
        <v>2914929.55</v>
      </c>
      <c r="J89" s="30">
        <v>0</v>
      </c>
      <c r="K89" s="115">
        <f t="shared" si="12"/>
        <v>2914929.55</v>
      </c>
      <c r="L89" s="210" t="s">
        <v>22</v>
      </c>
      <c r="M89" s="20"/>
      <c r="P89" s="58"/>
      <c r="S89" s="18"/>
    </row>
    <row r="90" spans="1:21" x14ac:dyDescent="0.2">
      <c r="A90" s="108" t="s">
        <v>172</v>
      </c>
      <c r="B90" s="28"/>
      <c r="C90" s="28" t="s">
        <v>123</v>
      </c>
      <c r="D90" s="4" t="s">
        <v>226</v>
      </c>
      <c r="E90" s="32">
        <f>'DEK Q1 2015'!E76</f>
        <v>64035.05</v>
      </c>
      <c r="F90" s="30">
        <v>0</v>
      </c>
      <c r="G90" s="130">
        <f>'DEK Q1 2015'!G76+'DEK Q2 2015'!G78+'DEK Q3 2015'!G80+'DEK Q4 2015'!G90</f>
        <v>-12571</v>
      </c>
      <c r="H90" s="30">
        <v>0</v>
      </c>
      <c r="I90" s="115">
        <f>E90+F90+G90+H90</f>
        <v>51464.05</v>
      </c>
      <c r="J90" s="30">
        <v>0</v>
      </c>
      <c r="K90" s="115">
        <f t="shared" si="12"/>
        <v>51464.05</v>
      </c>
      <c r="L90" s="210" t="s">
        <v>22</v>
      </c>
      <c r="M90" s="20"/>
      <c r="P90" s="58"/>
      <c r="S90" s="18"/>
    </row>
    <row r="91" spans="1:21" x14ac:dyDescent="0.2">
      <c r="B91" s="28"/>
      <c r="C91" s="28"/>
      <c r="E91" s="35"/>
      <c r="F91" s="36"/>
      <c r="G91" s="150"/>
      <c r="H91" s="36"/>
      <c r="I91" s="116"/>
      <c r="J91" s="36"/>
      <c r="K91" s="116"/>
      <c r="M91" s="20"/>
      <c r="P91" s="58"/>
      <c r="S91" s="18"/>
    </row>
    <row r="92" spans="1:21" x14ac:dyDescent="0.2">
      <c r="B92" s="28"/>
      <c r="C92" s="18"/>
      <c r="E92" s="32">
        <f>SUM(E87:E91)</f>
        <v>24806045.040000003</v>
      </c>
      <c r="F92" s="29">
        <f t="shared" ref="F92:K92" si="13">SUM(F87:F91)</f>
        <v>0</v>
      </c>
      <c r="G92" s="29">
        <f>SUM(G87:G91)</f>
        <v>3483001</v>
      </c>
      <c r="H92" s="29">
        <f t="shared" si="13"/>
        <v>0</v>
      </c>
      <c r="I92" s="123">
        <f t="shared" si="13"/>
        <v>28289046.040000003</v>
      </c>
      <c r="J92" s="29">
        <f t="shared" si="13"/>
        <v>0</v>
      </c>
      <c r="K92" s="123">
        <f t="shared" si="13"/>
        <v>28289046.040000003</v>
      </c>
      <c r="L92" s="230" t="s">
        <v>260</v>
      </c>
      <c r="M92" s="20"/>
      <c r="S92" s="18"/>
    </row>
    <row r="93" spans="1:21" ht="12.75" hidden="1" customHeight="1" x14ac:dyDescent="0.2">
      <c r="B93" s="54" t="s">
        <v>135</v>
      </c>
      <c r="C93" s="18"/>
      <c r="E93" s="32"/>
      <c r="F93" s="29"/>
      <c r="G93" s="151"/>
      <c r="H93" s="29"/>
      <c r="I93" s="117"/>
      <c r="J93" s="29"/>
      <c r="K93" s="117"/>
      <c r="M93" s="20"/>
      <c r="S93" s="18"/>
    </row>
    <row r="94" spans="1:21" ht="12.75" hidden="1" customHeight="1" x14ac:dyDescent="0.2">
      <c r="A94" s="100" t="s">
        <v>108</v>
      </c>
      <c r="B94" s="28"/>
      <c r="C94" s="28" t="s">
        <v>71</v>
      </c>
      <c r="D94" s="4" t="s">
        <v>108</v>
      </c>
      <c r="E94" s="32">
        <v>0</v>
      </c>
      <c r="F94" s="30">
        <v>0</v>
      </c>
      <c r="G94" s="152">
        <v>0</v>
      </c>
      <c r="H94" s="30">
        <v>0</v>
      </c>
      <c r="I94" s="115">
        <f t="shared" ref="I94:K95" si="14">E94+F94+G94+H94</f>
        <v>0</v>
      </c>
      <c r="J94" s="30">
        <f t="shared" si="14"/>
        <v>0</v>
      </c>
      <c r="K94" s="115">
        <f t="shared" si="14"/>
        <v>0</v>
      </c>
      <c r="M94" s="20"/>
      <c r="S94" s="18">
        <v>174995</v>
      </c>
    </row>
    <row r="95" spans="1:21" ht="12.75" hidden="1" customHeight="1" x14ac:dyDescent="0.2">
      <c r="A95" s="100" t="s">
        <v>139</v>
      </c>
      <c r="B95" s="28"/>
      <c r="C95" s="28" t="s">
        <v>124</v>
      </c>
      <c r="D95" s="4" t="s">
        <v>139</v>
      </c>
      <c r="E95" s="32">
        <v>0</v>
      </c>
      <c r="F95" s="30">
        <v>0</v>
      </c>
      <c r="G95" s="152">
        <v>0</v>
      </c>
      <c r="H95" s="30">
        <v>0</v>
      </c>
      <c r="I95" s="115">
        <f t="shared" si="14"/>
        <v>0</v>
      </c>
      <c r="J95" s="30">
        <f t="shared" si="14"/>
        <v>0</v>
      </c>
      <c r="K95" s="115">
        <f t="shared" si="14"/>
        <v>0</v>
      </c>
      <c r="M95" s="20"/>
      <c r="S95" s="18"/>
    </row>
    <row r="96" spans="1:21" ht="7.5" hidden="1" customHeight="1" x14ac:dyDescent="0.2">
      <c r="B96" s="28"/>
      <c r="C96" s="18"/>
      <c r="D96" s="59"/>
      <c r="E96" s="32"/>
      <c r="F96" s="30"/>
      <c r="G96" s="152"/>
      <c r="H96" s="30"/>
      <c r="I96" s="115"/>
      <c r="J96" s="30"/>
      <c r="K96" s="115"/>
      <c r="M96" s="20"/>
      <c r="P96" s="58"/>
      <c r="S96" s="18"/>
    </row>
    <row r="97" spans="1:20" x14ac:dyDescent="0.2">
      <c r="B97" s="28"/>
      <c r="C97" s="18"/>
      <c r="E97" s="32"/>
      <c r="F97" s="30"/>
      <c r="G97" s="152"/>
      <c r="H97" s="30"/>
      <c r="I97" s="115"/>
      <c r="J97" s="30"/>
      <c r="K97" s="115"/>
      <c r="M97" s="20"/>
      <c r="S97" s="18"/>
    </row>
    <row r="98" spans="1:20" x14ac:dyDescent="0.2">
      <c r="B98" s="18"/>
      <c r="C98" s="131" t="s">
        <v>41</v>
      </c>
      <c r="D98" s="135"/>
      <c r="E98" s="133">
        <f>+E12+E24+E30+E80+E82+E92+E94+E19+E95</f>
        <v>53684551.770000003</v>
      </c>
      <c r="F98" s="133">
        <f t="shared" ref="F98" si="15">+F12+F24+F30+F80+F92+F94+F19+F95</f>
        <v>0</v>
      </c>
      <c r="G98" s="133">
        <f>+G12+G24+G30+G80+G82+G92+G94+G19+G95</f>
        <v>16872334.979999997</v>
      </c>
      <c r="H98" s="133">
        <f>+H12+H24+H30+H80+H82+H92+H94+H19+H95</f>
        <v>-266474.02</v>
      </c>
      <c r="I98" s="134">
        <f>+I12+I24+I30+I80+I82+I92+I94+I19+I95</f>
        <v>70290412.729999989</v>
      </c>
      <c r="J98" s="133">
        <f>+J12+J24+J30+J80+J82+J92+J94+J19+J95</f>
        <v>0</v>
      </c>
      <c r="K98" s="134">
        <f>+K12+K24+K30+K80+K82+K92+K94+K19+K95</f>
        <v>70290412.730000004</v>
      </c>
      <c r="M98" s="45"/>
      <c r="N98" s="143"/>
      <c r="S98" s="18"/>
    </row>
    <row r="99" spans="1:20" x14ac:dyDescent="0.2">
      <c r="A99" s="105"/>
      <c r="B99" s="18"/>
      <c r="C99" s="18"/>
      <c r="D99" s="12"/>
      <c r="E99" s="221"/>
      <c r="F99" s="50"/>
      <c r="G99" s="145"/>
      <c r="H99" s="50"/>
      <c r="I99" s="115"/>
      <c r="J99" s="30"/>
      <c r="K99" s="115"/>
      <c r="M99" s="45"/>
      <c r="S99" s="18"/>
    </row>
    <row r="100" spans="1:20" s="22" customFormat="1" x14ac:dyDescent="0.2">
      <c r="A100" s="106"/>
      <c r="B100" s="21" t="s">
        <v>130</v>
      </c>
      <c r="C100" s="46"/>
      <c r="D100" s="27"/>
      <c r="E100" s="222"/>
      <c r="F100" s="50"/>
      <c r="G100" s="145"/>
      <c r="H100" s="145"/>
      <c r="I100" s="113"/>
      <c r="J100" s="19"/>
      <c r="K100" s="113"/>
      <c r="M100" s="19"/>
      <c r="N100" s="20"/>
      <c r="O100" s="48"/>
      <c r="R100" s="57"/>
      <c r="S100" s="57"/>
    </row>
    <row r="101" spans="1:20" x14ac:dyDescent="0.2">
      <c r="A101" s="100" t="s">
        <v>114</v>
      </c>
      <c r="B101" s="18"/>
      <c r="C101" s="28" t="s">
        <v>52</v>
      </c>
      <c r="D101" s="4" t="s">
        <v>114</v>
      </c>
      <c r="E101" s="32">
        <f>'DEK Q1 2015'!E87</f>
        <v>0</v>
      </c>
      <c r="F101" s="30">
        <v>0</v>
      </c>
      <c r="G101" s="130">
        <f>'DEK Q1 2015'!G87+'DEK Q2 2015'!G89+'DEK Q3 2015'!G91+'DEK Q4 2015'!G101</f>
        <v>3719388.6599999997</v>
      </c>
      <c r="H101" s="130">
        <f>'DEK Q1 2015'!H87+'DEK Q2 2015'!H89+'DEK Q3 2015'!H91+'DEK Q4 2015'!H101</f>
        <v>-3719388.66</v>
      </c>
      <c r="I101" s="115">
        <f t="shared" ref="I101:I106" si="16">E101+F101+G101+H101</f>
        <v>0</v>
      </c>
      <c r="J101" s="30">
        <v>0</v>
      </c>
      <c r="K101" s="115">
        <f t="shared" ref="K101:K106" si="17">I101+J101</f>
        <v>0</v>
      </c>
      <c r="L101" s="210" t="s">
        <v>22</v>
      </c>
      <c r="M101" s="33"/>
      <c r="N101" s="42"/>
      <c r="O101" s="42"/>
      <c r="S101" s="18">
        <v>191400</v>
      </c>
      <c r="T101" s="58"/>
    </row>
    <row r="102" spans="1:20" x14ac:dyDescent="0.2">
      <c r="A102" s="100" t="s">
        <v>115</v>
      </c>
      <c r="B102" s="18"/>
      <c r="C102" s="28" t="s">
        <v>53</v>
      </c>
      <c r="D102" s="4" t="s">
        <v>115</v>
      </c>
      <c r="E102" s="32">
        <f>'DEK Q1 2015'!E88</f>
        <v>0</v>
      </c>
      <c r="F102" s="30">
        <v>0</v>
      </c>
      <c r="G102" s="130">
        <f>'DEK Q1 2015'!G88+'DEK Q2 2015'!G90+'DEK Q3 2015'!G92+'DEK Q4 2015'!G102</f>
        <v>0</v>
      </c>
      <c r="H102" s="33">
        <f>'DEK Q1 2015'!H88+'DEK Q2 2015'!H90+'DEK Q3 2015'!H92+'DEK Q4 2015'!H102</f>
        <v>0</v>
      </c>
      <c r="I102" s="115">
        <f t="shared" si="16"/>
        <v>0</v>
      </c>
      <c r="J102" s="30">
        <v>0</v>
      </c>
      <c r="K102" s="115">
        <f t="shared" si="17"/>
        <v>0</v>
      </c>
      <c r="L102" s="210" t="s">
        <v>22</v>
      </c>
      <c r="M102" s="30"/>
      <c r="N102" s="42"/>
      <c r="O102" s="42"/>
      <c r="S102" s="18">
        <v>191800</v>
      </c>
      <c r="T102" s="58"/>
    </row>
    <row r="103" spans="1:20" ht="12.75" customHeight="1" x14ac:dyDescent="0.2">
      <c r="A103" s="100" t="s">
        <v>117</v>
      </c>
      <c r="B103" s="18"/>
      <c r="C103" s="28" t="s">
        <v>77</v>
      </c>
      <c r="D103" s="4" t="s">
        <v>117</v>
      </c>
      <c r="E103" s="32">
        <f>'DEK Q1 2015'!E89</f>
        <v>-611022</v>
      </c>
      <c r="F103" s="30">
        <v>0</v>
      </c>
      <c r="G103" s="129">
        <f>'DEK Q1 2015'!G89+'DEK Q2 2015'!G91+'DEK Q3 2015'!G93+'DEK Q4 2015'!G103</f>
        <v>-367996</v>
      </c>
      <c r="H103" s="33">
        <v>0</v>
      </c>
      <c r="I103" s="115">
        <f t="shared" si="16"/>
        <v>-979018</v>
      </c>
      <c r="J103" s="30">
        <v>0</v>
      </c>
      <c r="K103" s="115">
        <f t="shared" si="17"/>
        <v>-979018</v>
      </c>
      <c r="L103" s="210" t="s">
        <v>22</v>
      </c>
      <c r="M103" s="20"/>
      <c r="N103" s="42"/>
      <c r="O103" s="42"/>
      <c r="S103" s="18">
        <v>242995</v>
      </c>
      <c r="T103" s="58"/>
    </row>
    <row r="104" spans="1:20" x14ac:dyDescent="0.2">
      <c r="A104" s="100" t="s">
        <v>119</v>
      </c>
      <c r="B104" s="18"/>
      <c r="C104" s="28" t="s">
        <v>118</v>
      </c>
      <c r="D104" s="4" t="s">
        <v>119</v>
      </c>
      <c r="E104" s="32">
        <f>'DEK Q1 2015'!E90</f>
        <v>-3.1650415621697903E-10</v>
      </c>
      <c r="F104" s="30">
        <v>0</v>
      </c>
      <c r="G104" s="129">
        <f>'DEK Q1 2015'!G90+'DEK Q2 2015'!G92+'DEK Q3 2015'!G94+'DEK Q4 2015'!G104</f>
        <v>-716883.77999999968</v>
      </c>
      <c r="H104" s="30">
        <f>'DEK Q1 2015'!H90+'DEK Q2 2015'!H92+'DEK Q3 2015'!H94+'DEK Q4 2015'!H104</f>
        <v>0</v>
      </c>
      <c r="I104" s="115">
        <f t="shared" si="16"/>
        <v>-716883.78</v>
      </c>
      <c r="J104" s="30">
        <v>0</v>
      </c>
      <c r="K104" s="115">
        <f t="shared" si="17"/>
        <v>-716883.78</v>
      </c>
      <c r="L104" s="210" t="s">
        <v>22</v>
      </c>
      <c r="M104" s="20"/>
      <c r="N104" s="42"/>
      <c r="O104" s="42"/>
      <c r="S104" s="18">
        <v>242997</v>
      </c>
      <c r="T104" s="58"/>
    </row>
    <row r="105" spans="1:20" x14ac:dyDescent="0.2">
      <c r="A105" s="100" t="s">
        <v>120</v>
      </c>
      <c r="B105" s="18"/>
      <c r="C105" s="28" t="s">
        <v>54</v>
      </c>
      <c r="D105" s="4" t="s">
        <v>120</v>
      </c>
      <c r="E105" s="32">
        <f>'DEK Q1 2015'!E91</f>
        <v>56471.830000000031</v>
      </c>
      <c r="F105" s="33">
        <v>0</v>
      </c>
      <c r="G105" s="130">
        <f>'DEK Q1 2015'!G91+'DEK Q2 2015'!G93+'DEK Q3 2015'!G95+'DEK Q4 2015'!G105</f>
        <v>-141096.34000000003</v>
      </c>
      <c r="H105" s="130">
        <f>'DEK Q1 2015'!H91+'DEK Q2 2015'!H93+'DEK Q3 2015'!H95+'DEK Q4 2015'!H105</f>
        <v>-384118.24000000005</v>
      </c>
      <c r="I105" s="115">
        <f t="shared" si="16"/>
        <v>-468742.75000000006</v>
      </c>
      <c r="J105" s="33">
        <v>0</v>
      </c>
      <c r="K105" s="115">
        <f t="shared" si="17"/>
        <v>-468742.75000000006</v>
      </c>
      <c r="L105" s="210" t="s">
        <v>22</v>
      </c>
      <c r="M105" s="42"/>
      <c r="N105" s="42"/>
      <c r="O105" s="42"/>
      <c r="S105" s="18">
        <v>253130</v>
      </c>
      <c r="T105" s="58"/>
    </row>
    <row r="106" spans="1:20" x14ac:dyDescent="0.2">
      <c r="A106" s="100" t="s">
        <v>156</v>
      </c>
      <c r="B106" s="18"/>
      <c r="C106" s="28" t="s">
        <v>116</v>
      </c>
      <c r="D106" s="4" t="s">
        <v>211</v>
      </c>
      <c r="E106" s="32">
        <f>'DEK Q1 2015'!E92</f>
        <v>-430047.89000000013</v>
      </c>
      <c r="F106" s="33"/>
      <c r="G106" s="130">
        <f>'DEK Q1 2015'!G92+'DEK Q2 2015'!G94+'DEK Q3 2015'!G96+'DEK Q4 2015'!G106</f>
        <v>-73618.830000000075</v>
      </c>
      <c r="H106" s="33">
        <f>'DEK Q1 2015'!H92+'DEK Q2 2015'!H94+'DEK Q3 2015'!H96+'DEK Q4 2015'!H106</f>
        <v>0</v>
      </c>
      <c r="I106" s="115">
        <f t="shared" si="16"/>
        <v>-503666.7200000002</v>
      </c>
      <c r="J106" s="30">
        <v>0</v>
      </c>
      <c r="K106" s="115">
        <f t="shared" si="17"/>
        <v>-503666.7200000002</v>
      </c>
      <c r="M106" s="42"/>
      <c r="N106" s="42"/>
      <c r="O106" s="42"/>
      <c r="S106" s="18"/>
      <c r="T106" s="58"/>
    </row>
    <row r="107" spans="1:20" x14ac:dyDescent="0.2">
      <c r="B107" s="18"/>
      <c r="C107" s="28"/>
      <c r="E107" s="36"/>
      <c r="F107" s="36"/>
      <c r="G107" s="150"/>
      <c r="H107" s="36"/>
      <c r="I107" s="116"/>
      <c r="J107" s="36"/>
      <c r="K107" s="116"/>
      <c r="M107" s="42"/>
      <c r="N107" s="42"/>
      <c r="O107" s="42"/>
      <c r="S107" s="18"/>
      <c r="T107" s="58"/>
    </row>
    <row r="108" spans="1:20" x14ac:dyDescent="0.2">
      <c r="B108" s="18"/>
      <c r="C108" s="61"/>
      <c r="D108" s="34"/>
      <c r="E108" s="33">
        <f t="shared" ref="E108:K108" si="18">SUM(E101:E107)</f>
        <v>-984598.06000000041</v>
      </c>
      <c r="F108" s="33">
        <f t="shared" si="18"/>
        <v>0</v>
      </c>
      <c r="G108" s="33">
        <f t="shared" si="18"/>
        <v>2419793.71</v>
      </c>
      <c r="H108" s="33">
        <f t="shared" si="18"/>
        <v>-4103506.9000000004</v>
      </c>
      <c r="I108" s="123">
        <f t="shared" si="18"/>
        <v>-2668311.2500000005</v>
      </c>
      <c r="J108" s="33">
        <f t="shared" si="18"/>
        <v>0</v>
      </c>
      <c r="K108" s="123">
        <f t="shared" si="18"/>
        <v>-2668311.2500000005</v>
      </c>
      <c r="L108" s="230" t="s">
        <v>263</v>
      </c>
      <c r="M108" s="42"/>
      <c r="N108" s="42"/>
      <c r="O108" s="42"/>
      <c r="S108" s="18"/>
      <c r="T108" s="58"/>
    </row>
    <row r="109" spans="1:20" hidden="1" x14ac:dyDescent="0.2">
      <c r="B109" s="21" t="s">
        <v>188</v>
      </c>
      <c r="C109" s="61"/>
      <c r="D109" s="34"/>
      <c r="E109" s="33"/>
      <c r="F109" s="33"/>
      <c r="G109" s="144"/>
      <c r="H109" s="33"/>
      <c r="I109" s="115"/>
      <c r="J109" s="33"/>
      <c r="K109" s="115"/>
      <c r="M109" s="42"/>
      <c r="N109" s="42"/>
      <c r="O109" s="42"/>
      <c r="S109" s="18"/>
      <c r="T109" s="58"/>
    </row>
    <row r="110" spans="1:20" hidden="1" x14ac:dyDescent="0.2">
      <c r="A110" s="100" t="s">
        <v>185</v>
      </c>
      <c r="B110" s="18"/>
      <c r="C110" s="28" t="s">
        <v>186</v>
      </c>
      <c r="D110" s="4" t="s">
        <v>213</v>
      </c>
      <c r="E110" s="32">
        <v>0</v>
      </c>
      <c r="F110" s="33">
        <v>0</v>
      </c>
      <c r="G110" s="144">
        <v>0</v>
      </c>
      <c r="H110" s="33">
        <v>0</v>
      </c>
      <c r="I110" s="115">
        <f>E110+F110+G110+H110</f>
        <v>0</v>
      </c>
      <c r="J110" s="33">
        <v>0</v>
      </c>
      <c r="K110" s="115">
        <f>I110+J110</f>
        <v>0</v>
      </c>
      <c r="M110" s="42"/>
      <c r="N110" s="42"/>
      <c r="O110" s="42"/>
      <c r="S110" s="18"/>
      <c r="T110" s="58"/>
    </row>
    <row r="111" spans="1:20" ht="12.75" hidden="1" customHeight="1" x14ac:dyDescent="0.2">
      <c r="A111" s="100" t="s">
        <v>181</v>
      </c>
      <c r="B111" s="18"/>
      <c r="C111" s="28" t="s">
        <v>182</v>
      </c>
      <c r="D111" s="4" t="s">
        <v>213</v>
      </c>
      <c r="E111" s="32">
        <f>VLOOKUP(A111,'[23]DEK Jun 2013'!$A$1:$I$252,9,FALSE)</f>
        <v>0</v>
      </c>
      <c r="F111" s="33">
        <v>0</v>
      </c>
      <c r="G111" s="144">
        <v>0</v>
      </c>
      <c r="H111" s="33">
        <v>0</v>
      </c>
      <c r="I111" s="115">
        <f>E111+F111+G111+H111</f>
        <v>0</v>
      </c>
      <c r="J111" s="30">
        <v>0</v>
      </c>
      <c r="K111" s="115">
        <f>I111+J111</f>
        <v>0</v>
      </c>
      <c r="L111" s="4" t="s">
        <v>22</v>
      </c>
      <c r="M111" s="42"/>
      <c r="N111" s="42"/>
      <c r="O111" s="42"/>
      <c r="S111" s="18">
        <v>253130</v>
      </c>
      <c r="T111" s="58"/>
    </row>
    <row r="112" spans="1:20" hidden="1" x14ac:dyDescent="0.2">
      <c r="B112" s="18"/>
      <c r="C112" s="28"/>
      <c r="E112" s="33"/>
      <c r="F112" s="36"/>
      <c r="G112" s="150"/>
      <c r="H112" s="36"/>
      <c r="I112" s="116"/>
      <c r="J112" s="36"/>
      <c r="K112" s="116"/>
      <c r="M112" s="42"/>
      <c r="N112" s="42"/>
      <c r="O112" s="42"/>
      <c r="S112" s="18"/>
      <c r="T112" s="58"/>
    </row>
    <row r="113" spans="1:23" hidden="1" x14ac:dyDescent="0.2">
      <c r="B113" s="18"/>
      <c r="C113" s="28"/>
      <c r="E113" s="33">
        <f>SUM(E110:E111)</f>
        <v>0</v>
      </c>
      <c r="F113" s="33">
        <f t="shared" ref="F113:L113" si="19">SUM(F110:F111)</f>
        <v>0</v>
      </c>
      <c r="G113" s="144">
        <f t="shared" si="19"/>
        <v>0</v>
      </c>
      <c r="H113" s="33">
        <f t="shared" si="19"/>
        <v>0</v>
      </c>
      <c r="I113" s="128">
        <f>SUM(I110:I111)</f>
        <v>0</v>
      </c>
      <c r="J113" s="33">
        <f t="shared" si="19"/>
        <v>0</v>
      </c>
      <c r="K113" s="128">
        <f t="shared" si="19"/>
        <v>0</v>
      </c>
      <c r="L113" s="33">
        <f t="shared" si="19"/>
        <v>0</v>
      </c>
      <c r="M113" s="42"/>
      <c r="N113" s="42"/>
      <c r="O113" s="42"/>
      <c r="S113" s="18"/>
      <c r="T113" s="58"/>
    </row>
    <row r="114" spans="1:23" hidden="1" x14ac:dyDescent="0.2">
      <c r="B114" s="18"/>
      <c r="C114" s="61"/>
      <c r="D114" s="34"/>
      <c r="E114" s="33"/>
      <c r="F114" s="33"/>
      <c r="G114" s="144"/>
      <c r="H114" s="33"/>
      <c r="I114" s="115"/>
      <c r="J114" s="33"/>
      <c r="K114" s="115"/>
      <c r="M114" s="42"/>
      <c r="N114" s="42"/>
      <c r="O114" s="42"/>
      <c r="S114" s="18"/>
      <c r="T114" s="58"/>
    </row>
    <row r="115" spans="1:23" s="22" customFormat="1" x14ac:dyDescent="0.2">
      <c r="A115" s="101"/>
      <c r="B115" s="21" t="s">
        <v>214</v>
      </c>
      <c r="C115" s="63"/>
      <c r="D115" s="64"/>
      <c r="E115" s="33"/>
      <c r="F115" s="30"/>
      <c r="G115" s="152" t="s">
        <v>187</v>
      </c>
      <c r="H115" s="30"/>
      <c r="I115" s="113"/>
      <c r="J115" s="19"/>
      <c r="K115" s="113"/>
      <c r="M115" s="19"/>
      <c r="N115" s="42"/>
      <c r="O115" s="48"/>
      <c r="T115" s="46"/>
      <c r="U115" s="46"/>
    </row>
    <row r="116" spans="1:23" x14ac:dyDescent="0.2">
      <c r="A116" s="100" t="s">
        <v>162</v>
      </c>
      <c r="B116" s="18"/>
      <c r="C116" s="28" t="s">
        <v>76</v>
      </c>
      <c r="D116" s="4" t="s">
        <v>194</v>
      </c>
      <c r="E116" s="32">
        <f>'DEK Q1 2015'!E102</f>
        <v>-3835078.63</v>
      </c>
      <c r="F116" s="30">
        <v>0</v>
      </c>
      <c r="G116" s="130">
        <f>'DEK Q1 2015'!G102+'DEK Q2 2015'!G104+'DEK Q3 2015'!G106+'DEK Q4 2015'!G116</f>
        <v>-1102429.1000000001</v>
      </c>
      <c r="H116" s="33">
        <v>0</v>
      </c>
      <c r="I116" s="123">
        <f>E116+G116+H116+F116</f>
        <v>-4937507.7300000004</v>
      </c>
      <c r="J116" s="91">
        <v>0</v>
      </c>
      <c r="K116" s="123">
        <f>I116+J116</f>
        <v>-4937507.7300000004</v>
      </c>
      <c r="L116" s="230" t="s">
        <v>264</v>
      </c>
      <c r="M116" s="67"/>
      <c r="P116" s="51"/>
      <c r="Q116" s="18"/>
      <c r="R116" s="58"/>
      <c r="S116" s="18"/>
    </row>
    <row r="117" spans="1:23" ht="15" x14ac:dyDescent="0.25">
      <c r="B117" s="18"/>
      <c r="C117" s="28"/>
      <c r="D117" s="65"/>
      <c r="E117" s="33"/>
      <c r="F117" s="30"/>
      <c r="G117" s="144"/>
      <c r="H117" s="33"/>
      <c r="I117" s="126"/>
      <c r="J117" s="1"/>
      <c r="K117" s="126"/>
      <c r="L117" s="210" t="s">
        <v>22</v>
      </c>
      <c r="M117" s="67"/>
      <c r="P117" s="51"/>
      <c r="Q117" s="18"/>
      <c r="R117" s="58"/>
      <c r="S117" s="18"/>
    </row>
    <row r="118" spans="1:23" x14ac:dyDescent="0.2">
      <c r="B118" s="21" t="s">
        <v>227</v>
      </c>
      <c r="C118" s="28"/>
      <c r="E118" s="33"/>
      <c r="F118" s="30"/>
      <c r="G118" s="152"/>
      <c r="H118" s="30"/>
      <c r="I118" s="115"/>
      <c r="J118" s="30"/>
      <c r="K118" s="115"/>
      <c r="M118" s="20"/>
      <c r="N118" s="42"/>
      <c r="O118" s="42"/>
      <c r="R118" s="58"/>
      <c r="S118" s="18"/>
      <c r="T118" s="58"/>
    </row>
    <row r="119" spans="1:23" x14ac:dyDescent="0.2">
      <c r="A119" s="100" t="s">
        <v>163</v>
      </c>
      <c r="B119" s="18"/>
      <c r="C119" s="28" t="s">
        <v>48</v>
      </c>
      <c r="D119" s="4" t="s">
        <v>195</v>
      </c>
      <c r="E119" s="32">
        <f>'DEK Q1 2015'!E105</f>
        <v>0</v>
      </c>
      <c r="F119" s="30">
        <v>0</v>
      </c>
      <c r="G119" s="33">
        <f>'DEK Q1 2015'!G105+'DEK Q2 2015'!G107+'DEK Q3 2015'!G109+'DEK Q4 2015'!G119</f>
        <v>0</v>
      </c>
      <c r="H119" s="33">
        <v>0</v>
      </c>
      <c r="I119" s="115">
        <f>E119+F119+G119+H119</f>
        <v>0</v>
      </c>
      <c r="J119" s="30">
        <v>0</v>
      </c>
      <c r="K119" s="115">
        <f t="shared" ref="K119:K121" si="20">I119+J119</f>
        <v>0</v>
      </c>
      <c r="M119" s="62"/>
      <c r="P119" s="51"/>
      <c r="Q119" s="18"/>
      <c r="R119" s="58"/>
      <c r="S119" s="18">
        <v>254998</v>
      </c>
    </row>
    <row r="120" spans="1:23" x14ac:dyDescent="0.2">
      <c r="A120" s="100" t="s">
        <v>179</v>
      </c>
      <c r="B120" s="18"/>
      <c r="C120" s="28" t="s">
        <v>47</v>
      </c>
      <c r="D120" s="4" t="s">
        <v>196</v>
      </c>
      <c r="E120" s="32">
        <f>'DEK Q1 2015'!E106</f>
        <v>0</v>
      </c>
      <c r="F120" s="30">
        <v>0</v>
      </c>
      <c r="G120" s="30">
        <f>'DEK Q1 2015'!G106+'DEK Q2 2015'!G108+'DEK Q3 2015'!G110+'DEK Q4 2015'!G120</f>
        <v>0</v>
      </c>
      <c r="H120" s="33">
        <v>0</v>
      </c>
      <c r="I120" s="115">
        <f>E120+F120+G120+H120</f>
        <v>0</v>
      </c>
      <c r="J120" s="30">
        <v>0</v>
      </c>
      <c r="K120" s="115">
        <f t="shared" si="20"/>
        <v>0</v>
      </c>
      <c r="M120" s="62"/>
      <c r="P120" s="51"/>
      <c r="Q120" s="18"/>
      <c r="R120" s="58"/>
      <c r="S120" s="18">
        <v>254998</v>
      </c>
      <c r="W120" s="47"/>
    </row>
    <row r="121" spans="1:23" x14ac:dyDescent="0.2">
      <c r="A121" s="100" t="s">
        <v>164</v>
      </c>
      <c r="B121" s="18"/>
      <c r="C121" s="28" t="s">
        <v>75</v>
      </c>
      <c r="D121" s="4" t="s">
        <v>215</v>
      </c>
      <c r="E121" s="32">
        <f>'DEK Q1 2015'!E107</f>
        <v>-19521.540000000005</v>
      </c>
      <c r="F121" s="30">
        <v>0</v>
      </c>
      <c r="G121" s="130">
        <f>'DEK Q1 2015'!G107+'DEK Q2 2015'!G109+'DEK Q3 2015'!G111+'DEK Q4 2015'!G121</f>
        <v>3667.92</v>
      </c>
      <c r="H121" s="33">
        <v>0</v>
      </c>
      <c r="I121" s="117">
        <f>E121+F121+G121+H121</f>
        <v>-15853.620000000004</v>
      </c>
      <c r="J121" s="30">
        <v>0</v>
      </c>
      <c r="K121" s="123">
        <f t="shared" si="20"/>
        <v>-15853.620000000004</v>
      </c>
      <c r="L121" s="230" t="s">
        <v>265</v>
      </c>
      <c r="M121" s="62"/>
      <c r="P121" s="51"/>
      <c r="Q121" s="18"/>
      <c r="R121" s="58"/>
      <c r="S121" s="18">
        <v>254210</v>
      </c>
    </row>
    <row r="122" spans="1:23" x14ac:dyDescent="0.2">
      <c r="B122" s="18"/>
      <c r="C122" s="28"/>
      <c r="D122" s="65"/>
      <c r="E122" s="36"/>
      <c r="F122" s="36"/>
      <c r="G122" s="150"/>
      <c r="H122" s="36"/>
      <c r="I122" s="116"/>
      <c r="J122" s="36"/>
      <c r="K122" s="116"/>
      <c r="M122" s="62"/>
      <c r="P122" s="51"/>
      <c r="Q122" s="18"/>
      <c r="R122" s="58"/>
      <c r="S122" s="18"/>
    </row>
    <row r="123" spans="1:23" x14ac:dyDescent="0.2">
      <c r="B123" s="18"/>
      <c r="C123" s="28"/>
      <c r="E123" s="33">
        <f t="shared" ref="E123" si="21">SUM(E119:E122)</f>
        <v>-19521.540000000005</v>
      </c>
      <c r="F123" s="30">
        <f t="shared" ref="F123:K123" si="22">SUM(F119:F122)</f>
        <v>0</v>
      </c>
      <c r="G123" s="30">
        <f t="shared" si="22"/>
        <v>3667.92</v>
      </c>
      <c r="H123" s="30">
        <f t="shared" si="22"/>
        <v>0</v>
      </c>
      <c r="I123" s="122">
        <f t="shared" si="22"/>
        <v>-15853.620000000004</v>
      </c>
      <c r="J123" s="30">
        <f t="shared" si="22"/>
        <v>0</v>
      </c>
      <c r="K123" s="115">
        <f t="shared" si="22"/>
        <v>-15853.620000000004</v>
      </c>
      <c r="M123" s="20"/>
      <c r="N123" s="42"/>
      <c r="O123" s="42"/>
      <c r="R123" s="58"/>
      <c r="S123" s="18"/>
      <c r="T123" s="58"/>
    </row>
    <row r="124" spans="1:23" x14ac:dyDescent="0.2">
      <c r="B124" s="21" t="s">
        <v>216</v>
      </c>
      <c r="C124" s="28"/>
      <c r="E124" s="33"/>
      <c r="F124" s="30"/>
      <c r="G124" s="152"/>
      <c r="H124" s="30"/>
      <c r="I124" s="115"/>
      <c r="J124" s="30"/>
      <c r="K124" s="115"/>
      <c r="M124" s="20"/>
      <c r="N124" s="42"/>
      <c r="O124" s="42"/>
      <c r="R124" s="58"/>
      <c r="S124" s="18"/>
      <c r="T124" s="58"/>
    </row>
    <row r="125" spans="1:23" x14ac:dyDescent="0.2">
      <c r="A125" s="100" t="s">
        <v>165</v>
      </c>
      <c r="B125" s="18"/>
      <c r="C125" s="28" t="s">
        <v>45</v>
      </c>
      <c r="D125" s="4" t="s">
        <v>197</v>
      </c>
      <c r="E125" s="32">
        <f>'DEK Q1 2015'!E111</f>
        <v>-16637475.470000003</v>
      </c>
      <c r="F125" s="30">
        <v>0</v>
      </c>
      <c r="G125" s="129">
        <f>'DEK Q1 2015'!G111+'DEK Q2 2015'!G113+'DEK Q3 2015'!G115+'DEK Q4 2015'!G125</f>
        <v>-415566.63</v>
      </c>
      <c r="H125" s="30">
        <v>0</v>
      </c>
      <c r="I125" s="115">
        <f t="shared" ref="I125:I130" si="23">E125+F125+G125+H125</f>
        <v>-17053042.100000001</v>
      </c>
      <c r="J125" s="30">
        <v>0</v>
      </c>
      <c r="K125" s="115">
        <f t="shared" ref="K125:K130" si="24">I125+J125</f>
        <v>-17053042.100000001</v>
      </c>
      <c r="L125" s="210" t="s">
        <v>241</v>
      </c>
      <c r="M125" s="20"/>
      <c r="N125" s="42"/>
      <c r="O125" s="42"/>
      <c r="Q125" s="227">
        <v>75086</v>
      </c>
      <c r="R125" s="58" t="s">
        <v>44</v>
      </c>
      <c r="S125" s="18">
        <v>108201</v>
      </c>
      <c r="T125" s="58"/>
    </row>
    <row r="126" spans="1:23" x14ac:dyDescent="0.2">
      <c r="A126" s="100" t="s">
        <v>166</v>
      </c>
      <c r="B126" s="18"/>
      <c r="C126" s="28" t="s">
        <v>45</v>
      </c>
      <c r="D126" s="4" t="s">
        <v>198</v>
      </c>
      <c r="E126" s="32">
        <f>'DEK Q1 2015'!E112</f>
        <v>-48172672.720000006</v>
      </c>
      <c r="F126" s="30">
        <v>0</v>
      </c>
      <c r="G126" s="129">
        <f>'DEK Q1 2015'!G112+'DEK Q2 2015'!G114+'DEK Q3 2015'!G116+'DEK Q4 2015'!G126</f>
        <v>708495.46999999974</v>
      </c>
      <c r="H126" s="30">
        <v>0</v>
      </c>
      <c r="I126" s="115">
        <f t="shared" si="23"/>
        <v>-47464177.250000007</v>
      </c>
      <c r="J126" s="30">
        <v>0</v>
      </c>
      <c r="K126" s="115">
        <f t="shared" si="24"/>
        <v>-47464177.250000007</v>
      </c>
      <c r="L126" s="210" t="s">
        <v>242</v>
      </c>
      <c r="M126" s="20"/>
      <c r="N126" s="42"/>
      <c r="O126" s="42"/>
      <c r="R126" s="58" t="s">
        <v>44</v>
      </c>
      <c r="S126" s="18">
        <v>108301</v>
      </c>
      <c r="T126" s="58"/>
    </row>
    <row r="127" spans="1:23" x14ac:dyDescent="0.2">
      <c r="A127" s="100" t="s">
        <v>167</v>
      </c>
      <c r="B127" s="18"/>
      <c r="C127" s="28" t="s">
        <v>46</v>
      </c>
      <c r="D127" s="4" t="s">
        <v>199</v>
      </c>
      <c r="E127" s="32">
        <f>'DEK Q1 2015'!E113</f>
        <v>10986788.669999998</v>
      </c>
      <c r="F127" s="30">
        <v>0</v>
      </c>
      <c r="G127" s="129">
        <f>'DEK Q1 2015'!G113+'DEK Q2 2015'!G115+'DEK Q3 2015'!G117+'DEK Q4 2015'!G127</f>
        <v>-945070.66999999993</v>
      </c>
      <c r="H127" s="30">
        <v>0</v>
      </c>
      <c r="I127" s="115">
        <f t="shared" si="23"/>
        <v>10041717.999999998</v>
      </c>
      <c r="J127" s="30">
        <v>0</v>
      </c>
      <c r="K127" s="115">
        <f>I127+J127</f>
        <v>10041717.999999998</v>
      </c>
      <c r="L127" s="210" t="s">
        <v>242</v>
      </c>
      <c r="M127" s="20"/>
      <c r="N127" s="42"/>
      <c r="O127" s="42"/>
      <c r="S127" s="18">
        <v>108410</v>
      </c>
      <c r="T127" s="58"/>
    </row>
    <row r="128" spans="1:23" x14ac:dyDescent="0.2">
      <c r="A128" s="100" t="s">
        <v>168</v>
      </c>
      <c r="B128" s="18"/>
      <c r="C128" s="28" t="s">
        <v>74</v>
      </c>
      <c r="D128" s="4" t="s">
        <v>217</v>
      </c>
      <c r="E128" s="32">
        <f>'DEK Q1 2015'!E114</f>
        <v>969240.13</v>
      </c>
      <c r="F128" s="30">
        <v>0</v>
      </c>
      <c r="G128" s="129">
        <f>'DEK Q1 2015'!G114+'DEK Q2 2015'!G116+'DEK Q3 2015'!G118+'DEK Q4 2015'!G128</f>
        <v>1302388.4500000002</v>
      </c>
      <c r="H128" s="30">
        <v>0</v>
      </c>
      <c r="I128" s="115">
        <f t="shared" si="23"/>
        <v>2271628.58</v>
      </c>
      <c r="J128" s="30">
        <v>0</v>
      </c>
      <c r="K128" s="115">
        <f>I128+J128</f>
        <v>2271628.58</v>
      </c>
      <c r="M128" s="20"/>
      <c r="N128" s="42"/>
      <c r="O128" s="42"/>
      <c r="Q128" s="4" t="s">
        <v>50</v>
      </c>
      <c r="R128" s="4" t="s">
        <v>51</v>
      </c>
      <c r="S128" s="18">
        <v>182303</v>
      </c>
      <c r="T128" s="58"/>
    </row>
    <row r="129" spans="1:22" x14ac:dyDescent="0.2">
      <c r="A129" s="100" t="s">
        <v>169</v>
      </c>
      <c r="B129" s="18"/>
      <c r="C129" s="28" t="s">
        <v>49</v>
      </c>
      <c r="D129" s="4" t="s">
        <v>218</v>
      </c>
      <c r="E129" s="32">
        <f>'DEK Q1 2015'!E115</f>
        <v>4055758.2100000014</v>
      </c>
      <c r="F129" s="30">
        <v>0</v>
      </c>
      <c r="G129" s="129">
        <f>'DEK Q1 2015'!G115+'DEK Q2 2015'!G117+'DEK Q3 2015'!G119+'DEK Q4 2015'!G129</f>
        <v>255557.47999999998</v>
      </c>
      <c r="H129" s="30">
        <v>0</v>
      </c>
      <c r="I129" s="115">
        <f t="shared" si="23"/>
        <v>4311315.6900000013</v>
      </c>
      <c r="J129" s="30">
        <v>0</v>
      </c>
      <c r="K129" s="115">
        <f t="shared" si="24"/>
        <v>4311315.6900000013</v>
      </c>
      <c r="M129" s="20"/>
      <c r="N129" s="42"/>
      <c r="O129" s="42"/>
      <c r="Q129" s="4" t="s">
        <v>50</v>
      </c>
      <c r="S129" s="18">
        <v>182304</v>
      </c>
      <c r="T129" s="58"/>
    </row>
    <row r="130" spans="1:22" x14ac:dyDescent="0.2">
      <c r="A130" s="100" t="s">
        <v>170</v>
      </c>
      <c r="B130" s="18"/>
      <c r="C130" s="28" t="s">
        <v>42</v>
      </c>
      <c r="D130" s="4" t="s">
        <v>200</v>
      </c>
      <c r="E130" s="32">
        <f>'DEK Q1 2015'!E116</f>
        <v>-76910.820000000007</v>
      </c>
      <c r="F130" s="30">
        <v>0</v>
      </c>
      <c r="G130" s="129">
        <f>'DEK Q1 2015'!G116+'DEK Q2 2015'!G118+'DEK Q3 2015'!G120+'DEK Q4 2015'!G130</f>
        <v>-62903.69</v>
      </c>
      <c r="H130" s="30">
        <v>0</v>
      </c>
      <c r="I130" s="115">
        <f t="shared" si="23"/>
        <v>-139814.51</v>
      </c>
      <c r="J130" s="30">
        <v>0</v>
      </c>
      <c r="K130" s="115">
        <f t="shared" si="24"/>
        <v>-139814.51</v>
      </c>
      <c r="L130" s="210" t="s">
        <v>241</v>
      </c>
      <c r="M130" s="20"/>
      <c r="N130" s="42"/>
      <c r="O130" s="42"/>
      <c r="R130" s="58" t="s">
        <v>44</v>
      </c>
      <c r="S130" s="18">
        <v>108101</v>
      </c>
      <c r="T130" s="58"/>
    </row>
    <row r="131" spans="1:22" x14ac:dyDescent="0.2">
      <c r="B131" s="18"/>
      <c r="C131" s="28"/>
      <c r="E131" s="36"/>
      <c r="F131" s="36"/>
      <c r="G131" s="150"/>
      <c r="H131" s="36"/>
      <c r="I131" s="127"/>
      <c r="J131" s="68"/>
      <c r="K131" s="127"/>
      <c r="M131" s="62"/>
      <c r="P131" s="51"/>
      <c r="Q131" s="18"/>
      <c r="R131" s="58"/>
      <c r="S131" s="18">
        <v>254401</v>
      </c>
    </row>
    <row r="132" spans="1:22" x14ac:dyDescent="0.2">
      <c r="B132" s="18"/>
      <c r="C132" s="28"/>
      <c r="E132" s="33">
        <f t="shared" ref="E132:K132" si="25">SUM(E125:E131)</f>
        <v>-48875272.000000007</v>
      </c>
      <c r="F132" s="33">
        <f t="shared" si="25"/>
        <v>0</v>
      </c>
      <c r="G132" s="33">
        <f t="shared" si="25"/>
        <v>842900.40999999992</v>
      </c>
      <c r="H132" s="33">
        <f t="shared" si="25"/>
        <v>0</v>
      </c>
      <c r="I132" s="123">
        <f t="shared" si="25"/>
        <v>-48032371.590000011</v>
      </c>
      <c r="J132" s="33">
        <f t="shared" si="25"/>
        <v>0</v>
      </c>
      <c r="K132" s="123">
        <f t="shared" si="25"/>
        <v>-48032371.590000011</v>
      </c>
      <c r="L132" s="230" t="s">
        <v>266</v>
      </c>
      <c r="M132" s="62"/>
      <c r="P132" s="51"/>
      <c r="Q132" s="18"/>
      <c r="R132" s="58"/>
      <c r="S132" s="18"/>
    </row>
    <row r="133" spans="1:22" ht="15" x14ac:dyDescent="0.25">
      <c r="B133" s="18"/>
      <c r="C133" s="28"/>
      <c r="D133" s="65"/>
      <c r="E133" s="33"/>
      <c r="F133" s="30"/>
      <c r="G133" s="144"/>
      <c r="H133" s="33"/>
      <c r="I133" s="126"/>
      <c r="J133" s="1"/>
      <c r="K133" s="126"/>
      <c r="L133" s="66"/>
      <c r="M133" s="67"/>
      <c r="P133" s="51"/>
      <c r="Q133" s="18"/>
      <c r="R133" s="58"/>
      <c r="S133" s="18"/>
    </row>
    <row r="134" spans="1:22" x14ac:dyDescent="0.2">
      <c r="A134" s="105" t="s">
        <v>55</v>
      </c>
      <c r="B134" s="18"/>
      <c r="C134" s="131" t="s">
        <v>55</v>
      </c>
      <c r="D134" s="132"/>
      <c r="E134" s="133">
        <f>+E108+E116+E123+E132+E113</f>
        <v>-53714470.230000004</v>
      </c>
      <c r="F134" s="133">
        <f t="shared" ref="F134:H134" si="26">+F108+F116+F123+F132+F113</f>
        <v>0</v>
      </c>
      <c r="G134" s="133">
        <f t="shared" si="26"/>
        <v>2163932.9399999995</v>
      </c>
      <c r="H134" s="133">
        <f t="shared" si="26"/>
        <v>-4103506.9000000004</v>
      </c>
      <c r="I134" s="134">
        <f>+I108+I116+I123+I132+I113</f>
        <v>-55654044.190000013</v>
      </c>
      <c r="J134" s="133">
        <f>+J108+J116+J123+J132+J113</f>
        <v>0</v>
      </c>
      <c r="K134" s="134">
        <f>+K108+K116+K123+K132+K113</f>
        <v>-55654044.190000013</v>
      </c>
      <c r="M134" s="20"/>
      <c r="N134" s="69"/>
      <c r="R134" s="58"/>
      <c r="S134" s="18"/>
    </row>
    <row r="135" spans="1:22" x14ac:dyDescent="0.2">
      <c r="A135" s="105"/>
      <c r="B135" s="18"/>
      <c r="C135" s="18"/>
      <c r="D135" s="12"/>
      <c r="E135" s="221"/>
      <c r="F135" s="50"/>
      <c r="G135" s="145"/>
      <c r="H135" s="50"/>
      <c r="I135" s="122"/>
      <c r="J135" s="50"/>
      <c r="K135" s="122"/>
      <c r="M135" s="45"/>
      <c r="S135" s="18"/>
    </row>
    <row r="136" spans="1:22" x14ac:dyDescent="0.2">
      <c r="A136" s="105" t="s">
        <v>56</v>
      </c>
      <c r="B136" s="18"/>
      <c r="C136" s="18"/>
      <c r="D136" s="136" t="s">
        <v>219</v>
      </c>
      <c r="E136" s="137">
        <f>E134+E98</f>
        <v>-29918.460000000894</v>
      </c>
      <c r="F136" s="137">
        <f>F134+F98</f>
        <v>0</v>
      </c>
      <c r="G136" s="137">
        <f>G134+G98</f>
        <v>19036267.919999994</v>
      </c>
      <c r="H136" s="137">
        <f>H134+H98</f>
        <v>-4369980.92</v>
      </c>
      <c r="I136" s="138">
        <f>I98+I134</f>
        <v>14636368.539999977</v>
      </c>
      <c r="J136" s="137">
        <f>J134+J98</f>
        <v>0</v>
      </c>
      <c r="K136" s="138">
        <f>K98+K134</f>
        <v>14636368.539999992</v>
      </c>
      <c r="L136" s="50"/>
      <c r="M136" s="70"/>
      <c r="N136" s="70"/>
      <c r="O136" s="70"/>
      <c r="P136" s="50"/>
      <c r="Q136" s="50"/>
      <c r="R136" s="50"/>
      <c r="S136" s="18"/>
      <c r="T136" s="29">
        <f>+G136+H136+F136</f>
        <v>14666286.999999994</v>
      </c>
      <c r="U136" s="19">
        <v>13111056.41</v>
      </c>
      <c r="V136" s="29">
        <f>+T136-U136</f>
        <v>1555230.5899999943</v>
      </c>
    </row>
    <row r="137" spans="1:22" hidden="1" x14ac:dyDescent="0.2">
      <c r="A137" s="105"/>
      <c r="B137" s="18"/>
      <c r="C137" s="18"/>
      <c r="D137" s="12"/>
      <c r="E137" s="221"/>
      <c r="F137" s="50"/>
      <c r="G137" s="145"/>
      <c r="H137" s="50"/>
      <c r="I137" s="50"/>
      <c r="J137" s="50"/>
      <c r="K137" s="50"/>
      <c r="M137" s="45"/>
      <c r="S137" s="18"/>
    </row>
    <row r="138" spans="1:22" s="75" customFormat="1" ht="12.75" hidden="1" customHeight="1" x14ac:dyDescent="0.2">
      <c r="A138" s="107" t="s">
        <v>57</v>
      </c>
      <c r="B138" s="71"/>
      <c r="C138" s="18"/>
      <c r="D138" s="140" t="s">
        <v>57</v>
      </c>
      <c r="E138" s="223"/>
      <c r="F138" s="142"/>
      <c r="G138" s="163">
        <f>-G130-G125-G126-G127-G128-G129-G88-G16-G119-G30-G22-G53-G121-G89-G90-G116-G120-G52</f>
        <v>1966143.2200000002</v>
      </c>
      <c r="H138" s="139">
        <f>-H130-H125-H126-H127-H128-H129-H88-H16-H119-H30-H22-H53-H121-H89-H90-H116-H120-H52</f>
        <v>266474.02</v>
      </c>
      <c r="I138" s="74"/>
      <c r="J138" s="74"/>
      <c r="K138" s="74"/>
      <c r="M138" s="76"/>
      <c r="N138" s="77"/>
      <c r="O138" s="77"/>
      <c r="S138" s="18"/>
    </row>
    <row r="139" spans="1:22" ht="12.75" customHeight="1" x14ac:dyDescent="0.2">
      <c r="A139" s="107"/>
      <c r="B139" s="18"/>
      <c r="C139" s="18"/>
      <c r="D139" s="72"/>
      <c r="E139" s="224"/>
      <c r="F139" s="50"/>
      <c r="G139" s="185">
        <f>G136+H136</f>
        <v>14666286.999999994</v>
      </c>
      <c r="H139" s="50"/>
      <c r="I139" s="50"/>
      <c r="J139" s="145"/>
      <c r="K139" s="50">
        <v>-13217303.17</v>
      </c>
      <c r="M139" s="20"/>
      <c r="S139" s="18"/>
    </row>
    <row r="140" spans="1:22" ht="12.75" hidden="1" customHeight="1" x14ac:dyDescent="0.2">
      <c r="A140" s="107" t="s">
        <v>58</v>
      </c>
      <c r="B140" s="18"/>
      <c r="C140" s="71"/>
      <c r="D140" s="72" t="s">
        <v>58</v>
      </c>
      <c r="E140" s="73"/>
      <c r="F140" s="50"/>
      <c r="G140" s="145">
        <f>G136+G138</f>
        <v>21002411.139999993</v>
      </c>
      <c r="H140" s="50">
        <f>H136+H138</f>
        <v>-4103506.9</v>
      </c>
      <c r="I140" s="50"/>
      <c r="J140" s="50"/>
      <c r="K140" s="50"/>
      <c r="M140" s="20"/>
      <c r="S140" s="71"/>
    </row>
    <row r="141" spans="1:22" ht="12.75" hidden="1" customHeight="1" x14ac:dyDescent="0.2">
      <c r="A141" s="107"/>
      <c r="B141" s="18"/>
      <c r="C141" s="18"/>
      <c r="D141" s="72"/>
      <c r="E141" s="73"/>
      <c r="F141" s="50"/>
      <c r="G141" s="145"/>
      <c r="H141" s="50"/>
      <c r="I141" s="50"/>
      <c r="J141" s="50"/>
      <c r="K141" s="50"/>
      <c r="M141" s="20"/>
      <c r="S141" s="18"/>
    </row>
    <row r="142" spans="1:22" ht="12.75" hidden="1" customHeight="1" x14ac:dyDescent="0.2">
      <c r="A142" s="107" t="s">
        <v>59</v>
      </c>
      <c r="B142" s="18"/>
      <c r="C142" s="18"/>
      <c r="D142" s="72" t="s">
        <v>59</v>
      </c>
      <c r="E142" s="73"/>
      <c r="F142" s="50"/>
      <c r="G142" s="145">
        <f>+G136+H136+G138+H138</f>
        <v>16898904.239999995</v>
      </c>
      <c r="H142" s="50"/>
      <c r="I142" s="50"/>
      <c r="J142" s="50"/>
      <c r="K142" s="50"/>
      <c r="M142" s="20"/>
      <c r="S142" s="18"/>
    </row>
    <row r="143" spans="1:22" hidden="1" x14ac:dyDescent="0.2">
      <c r="B143" s="18"/>
      <c r="C143" s="18"/>
      <c r="E143" s="29"/>
      <c r="F143" s="19"/>
      <c r="G143" s="148"/>
      <c r="H143" s="19"/>
      <c r="I143" s="19"/>
      <c r="J143" s="19"/>
      <c r="K143" s="19"/>
      <c r="M143" s="20"/>
      <c r="S143" s="18"/>
    </row>
    <row r="144" spans="1:22" hidden="1" x14ac:dyDescent="0.2">
      <c r="A144" s="109" t="s">
        <v>60</v>
      </c>
      <c r="B144" s="18"/>
      <c r="C144" s="18"/>
      <c r="D144" s="78" t="s">
        <v>60</v>
      </c>
      <c r="E144" s="79"/>
      <c r="F144" s="80"/>
      <c r="G144" s="164"/>
      <c r="H144" s="80"/>
      <c r="I144" s="81"/>
      <c r="J144" s="81"/>
      <c r="K144" s="81"/>
      <c r="M144" s="20"/>
      <c r="S144" s="18"/>
    </row>
    <row r="145" spans="1:19" hidden="1" x14ac:dyDescent="0.2">
      <c r="A145" s="109" t="s">
        <v>138</v>
      </c>
      <c r="B145" s="18"/>
      <c r="C145" s="18"/>
      <c r="D145" s="82" t="s">
        <v>138</v>
      </c>
      <c r="E145" s="32">
        <v>0</v>
      </c>
      <c r="F145" s="32">
        <f>+F94+F95</f>
        <v>0</v>
      </c>
      <c r="G145" s="157"/>
      <c r="H145" s="32">
        <f>+H94+H95</f>
        <v>0</v>
      </c>
      <c r="I145" s="84">
        <f>+I94+I95</f>
        <v>0</v>
      </c>
      <c r="J145" s="84">
        <f>+J94+J95</f>
        <v>0</v>
      </c>
      <c r="K145" s="84">
        <f>+K94+K95</f>
        <v>0</v>
      </c>
      <c r="M145" s="20"/>
      <c r="S145" s="18"/>
    </row>
    <row r="146" spans="1:19" hidden="1" x14ac:dyDescent="0.2">
      <c r="A146" s="109" t="s">
        <v>140</v>
      </c>
      <c r="B146" s="18"/>
      <c r="C146" s="18"/>
      <c r="D146" s="82" t="s">
        <v>140</v>
      </c>
      <c r="E146" s="83">
        <f>+E12</f>
        <v>3012638.4399999985</v>
      </c>
      <c r="F146" s="32">
        <f>+F95+F96</f>
        <v>0</v>
      </c>
      <c r="G146" s="165"/>
      <c r="H146" s="83"/>
      <c r="I146" s="84">
        <f>+I12</f>
        <v>578872.5999999987</v>
      </c>
      <c r="J146" s="84">
        <f>+J12</f>
        <v>0</v>
      </c>
      <c r="K146" s="84">
        <f>+K12</f>
        <v>578872.5999999987</v>
      </c>
      <c r="M146" s="20"/>
      <c r="S146" s="18"/>
    </row>
    <row r="147" spans="1:19" hidden="1" x14ac:dyDescent="0.2">
      <c r="A147" s="109" t="s">
        <v>142</v>
      </c>
      <c r="B147" s="18"/>
      <c r="C147" s="18"/>
      <c r="D147" s="82" t="s">
        <v>142</v>
      </c>
      <c r="E147" s="83">
        <f>+E19</f>
        <v>2150324.81</v>
      </c>
      <c r="F147" s="32">
        <f t="shared" ref="F147:F152" si="27">+F96+F97</f>
        <v>0</v>
      </c>
      <c r="G147" s="165"/>
      <c r="H147" s="83"/>
      <c r="I147" s="84">
        <f>+I19</f>
        <v>1926156.81</v>
      </c>
      <c r="J147" s="84">
        <f>+J19</f>
        <v>6374089.7999999998</v>
      </c>
      <c r="K147" s="84">
        <f>+K19</f>
        <v>8300246.6099999994</v>
      </c>
      <c r="M147" s="20"/>
      <c r="S147" s="18"/>
    </row>
    <row r="148" spans="1:19" hidden="1" x14ac:dyDescent="0.2">
      <c r="A148" s="109" t="s">
        <v>141</v>
      </c>
      <c r="B148" s="18"/>
      <c r="C148" s="18"/>
      <c r="D148" s="82" t="s">
        <v>141</v>
      </c>
      <c r="E148" s="83">
        <f>+E24</f>
        <v>1987853.8500000003</v>
      </c>
      <c r="F148" s="32">
        <f t="shared" si="27"/>
        <v>0</v>
      </c>
      <c r="G148" s="165"/>
      <c r="H148" s="83"/>
      <c r="I148" s="84">
        <f>+I24</f>
        <v>1721379.8300000003</v>
      </c>
      <c r="J148" s="84">
        <f>+J24</f>
        <v>-266473.8</v>
      </c>
      <c r="K148" s="84">
        <f>+K24</f>
        <v>1454906.0300000003</v>
      </c>
      <c r="M148" s="20"/>
      <c r="S148" s="18"/>
    </row>
    <row r="149" spans="1:19" hidden="1" x14ac:dyDescent="0.2">
      <c r="A149" s="109" t="s">
        <v>61</v>
      </c>
      <c r="B149" s="18"/>
      <c r="C149" s="18"/>
      <c r="D149" s="82" t="s">
        <v>61</v>
      </c>
      <c r="E149" s="32">
        <f>+E30</f>
        <v>951635.2</v>
      </c>
      <c r="F149" s="32">
        <f t="shared" si="27"/>
        <v>0</v>
      </c>
      <c r="G149" s="157"/>
      <c r="H149" s="32"/>
      <c r="I149" s="84">
        <f>+I30</f>
        <v>-1826417.7999999998</v>
      </c>
      <c r="J149" s="84">
        <f>+J30</f>
        <v>0</v>
      </c>
      <c r="K149" s="84">
        <f>+K30</f>
        <v>-1826417.7999999998</v>
      </c>
      <c r="M149" s="20"/>
      <c r="S149" s="18"/>
    </row>
    <row r="150" spans="1:19" hidden="1" x14ac:dyDescent="0.2">
      <c r="A150" s="109" t="s">
        <v>143</v>
      </c>
      <c r="B150" s="18"/>
      <c r="C150" s="18"/>
      <c r="D150" s="82" t="s">
        <v>143</v>
      </c>
      <c r="E150" s="32">
        <f>+E80</f>
        <v>20776054.43</v>
      </c>
      <c r="F150" s="32">
        <f t="shared" si="27"/>
        <v>0</v>
      </c>
      <c r="G150" s="157"/>
      <c r="H150" s="32"/>
      <c r="I150" s="84">
        <f>+I80</f>
        <v>38182309.879999995</v>
      </c>
      <c r="J150" s="84">
        <f>+J80</f>
        <v>-6107616</v>
      </c>
      <c r="K150" s="84">
        <f>+K80</f>
        <v>32074693.879999999</v>
      </c>
      <c r="M150" s="20"/>
      <c r="S150" s="18"/>
    </row>
    <row r="151" spans="1:19" hidden="1" x14ac:dyDescent="0.2">
      <c r="A151" s="109" t="s">
        <v>151</v>
      </c>
      <c r="B151" s="18"/>
      <c r="C151" s="18"/>
      <c r="D151" s="82" t="s">
        <v>151</v>
      </c>
      <c r="E151" s="32">
        <f>+E92</f>
        <v>24806045.040000003</v>
      </c>
      <c r="F151" s="32">
        <f t="shared" si="27"/>
        <v>0</v>
      </c>
      <c r="G151" s="157"/>
      <c r="H151" s="32"/>
      <c r="I151" s="84">
        <f>+I92</f>
        <v>28289046.040000003</v>
      </c>
      <c r="J151" s="84">
        <f>+J92</f>
        <v>0</v>
      </c>
      <c r="K151" s="84">
        <f>+K92</f>
        <v>28289046.040000003</v>
      </c>
      <c r="M151" s="20"/>
      <c r="S151" s="18"/>
    </row>
    <row r="152" spans="1:19" hidden="1" x14ac:dyDescent="0.2">
      <c r="A152" s="109" t="s">
        <v>62</v>
      </c>
      <c r="B152" s="18"/>
      <c r="C152" s="18"/>
      <c r="D152" s="82" t="s">
        <v>62</v>
      </c>
      <c r="E152" s="32">
        <v>0</v>
      </c>
      <c r="F152" s="32">
        <f t="shared" si="27"/>
        <v>0</v>
      </c>
      <c r="G152" s="157"/>
      <c r="H152" s="32"/>
      <c r="I152" s="84">
        <v>0</v>
      </c>
      <c r="J152" s="84">
        <v>0</v>
      </c>
      <c r="K152" s="84">
        <v>0</v>
      </c>
      <c r="M152" s="20"/>
      <c r="S152" s="18"/>
    </row>
    <row r="153" spans="1:19" hidden="1" x14ac:dyDescent="0.2">
      <c r="A153" s="109" t="s">
        <v>152</v>
      </c>
      <c r="B153" s="18"/>
      <c r="C153" s="18"/>
      <c r="D153" s="82" t="s">
        <v>152</v>
      </c>
      <c r="E153" s="32">
        <f>+E108</f>
        <v>-984598.06000000041</v>
      </c>
      <c r="F153" s="32" t="e">
        <f>+F102+#REF!</f>
        <v>#REF!</v>
      </c>
      <c r="G153" s="157"/>
      <c r="H153" s="32"/>
      <c r="I153" s="84">
        <f>+I108</f>
        <v>-2668311.2500000005</v>
      </c>
      <c r="J153" s="84">
        <f>+J108</f>
        <v>0</v>
      </c>
      <c r="K153" s="84">
        <f>+K108</f>
        <v>-2668311.2500000005</v>
      </c>
      <c r="M153" s="20"/>
      <c r="S153" s="18"/>
    </row>
    <row r="154" spans="1:19" hidden="1" x14ac:dyDescent="0.2">
      <c r="A154" s="109"/>
      <c r="B154" s="18"/>
      <c r="C154" s="18"/>
      <c r="D154" s="82" t="s">
        <v>189</v>
      </c>
      <c r="E154" s="32">
        <f>E113</f>
        <v>0</v>
      </c>
      <c r="F154" s="32"/>
      <c r="G154" s="157"/>
      <c r="H154" s="32"/>
      <c r="I154" s="84">
        <f>I113</f>
        <v>0</v>
      </c>
      <c r="J154" s="84">
        <f>J113</f>
        <v>0</v>
      </c>
      <c r="K154" s="84">
        <f>K113</f>
        <v>0</v>
      </c>
      <c r="M154" s="20"/>
      <c r="S154" s="18"/>
    </row>
    <row r="155" spans="1:19" hidden="1" x14ac:dyDescent="0.2">
      <c r="A155" s="109" t="s">
        <v>154</v>
      </c>
      <c r="B155" s="18"/>
      <c r="C155" s="18"/>
      <c r="D155" s="82" t="s">
        <v>154</v>
      </c>
      <c r="E155" s="32">
        <f>+E116</f>
        <v>-3835078.63</v>
      </c>
      <c r="F155" s="32" t="e">
        <f>+#REF!+#REF!</f>
        <v>#REF!</v>
      </c>
      <c r="G155" s="157"/>
      <c r="H155" s="32"/>
      <c r="I155" s="84">
        <f>+I116</f>
        <v>-4937507.7300000004</v>
      </c>
      <c r="J155" s="84">
        <f>+J116</f>
        <v>0</v>
      </c>
      <c r="K155" s="84">
        <f>+K116</f>
        <v>-4937507.7300000004</v>
      </c>
      <c r="M155" s="20"/>
      <c r="S155" s="18"/>
    </row>
    <row r="156" spans="1:19" hidden="1" x14ac:dyDescent="0.2">
      <c r="A156" s="109" t="s">
        <v>153</v>
      </c>
      <c r="B156" s="18"/>
      <c r="C156" s="18"/>
      <c r="D156" s="82" t="s">
        <v>153</v>
      </c>
      <c r="E156" s="32">
        <f>+E123</f>
        <v>-19521.540000000005</v>
      </c>
      <c r="F156" s="32" t="e">
        <f>+#REF!+F103</f>
        <v>#REF!</v>
      </c>
      <c r="G156" s="157"/>
      <c r="H156" s="32"/>
      <c r="I156" s="84">
        <f>+I123</f>
        <v>-15853.620000000004</v>
      </c>
      <c r="J156" s="84">
        <f>+J123</f>
        <v>0</v>
      </c>
      <c r="K156" s="84">
        <f>+K123</f>
        <v>-15853.620000000004</v>
      </c>
      <c r="M156" s="20"/>
      <c r="S156" s="18"/>
    </row>
    <row r="157" spans="1:19" hidden="1" x14ac:dyDescent="0.2">
      <c r="A157" s="109" t="s">
        <v>155</v>
      </c>
      <c r="B157" s="18"/>
      <c r="C157" s="18"/>
      <c r="D157" s="82" t="s">
        <v>155</v>
      </c>
      <c r="E157" s="32">
        <f>+E132</f>
        <v>-48875272.000000007</v>
      </c>
      <c r="F157" s="32">
        <f t="shared" ref="F157" si="28">+F103+F104</f>
        <v>0</v>
      </c>
      <c r="G157" s="157"/>
      <c r="H157" s="32"/>
      <c r="I157" s="84">
        <f>+I132</f>
        <v>-48032371.590000011</v>
      </c>
      <c r="J157" s="84">
        <f>+J132</f>
        <v>0</v>
      </c>
      <c r="K157" s="84">
        <f>+K132</f>
        <v>-48032371.590000011</v>
      </c>
      <c r="M157" s="20"/>
      <c r="S157" s="18"/>
    </row>
    <row r="158" spans="1:19" hidden="1" x14ac:dyDescent="0.2">
      <c r="A158" s="109"/>
      <c r="B158" s="18"/>
      <c r="C158" s="18"/>
      <c r="D158" s="85"/>
      <c r="E158" s="83"/>
      <c r="F158" s="83"/>
      <c r="G158" s="165"/>
      <c r="H158" s="83"/>
      <c r="I158" s="86"/>
      <c r="J158" s="86"/>
      <c r="K158" s="86"/>
      <c r="M158" s="20"/>
      <c r="S158" s="18"/>
    </row>
    <row r="159" spans="1:19" hidden="1" x14ac:dyDescent="0.2">
      <c r="A159" s="109" t="s">
        <v>121</v>
      </c>
      <c r="B159" s="18"/>
      <c r="C159" s="18"/>
      <c r="D159" s="87" t="s">
        <v>121</v>
      </c>
      <c r="E159" s="88">
        <f>SUM(E145:E158)</f>
        <v>-29918.460000015795</v>
      </c>
      <c r="F159" s="88" t="e">
        <f>SUM(F149:F158)</f>
        <v>#REF!</v>
      </c>
      <c r="G159" s="166"/>
      <c r="H159" s="88"/>
      <c r="I159" s="89">
        <f>SUM(I145:I158)</f>
        <v>13217303.169999987</v>
      </c>
      <c r="J159" s="89">
        <f>SUM(J145:J158)</f>
        <v>0</v>
      </c>
      <c r="K159" s="89">
        <f>SUM(K145:K158)</f>
        <v>13217303.169999987</v>
      </c>
      <c r="M159" s="20"/>
      <c r="S159" s="18"/>
    </row>
    <row r="160" spans="1:19" hidden="1" x14ac:dyDescent="0.2">
      <c r="B160" s="18"/>
      <c r="C160" s="18"/>
      <c r="F160" s="19"/>
      <c r="G160" s="148"/>
      <c r="H160" s="19"/>
      <c r="I160" s="19"/>
      <c r="J160" s="19"/>
      <c r="K160" s="19"/>
      <c r="M160" s="20"/>
      <c r="S160" s="18"/>
    </row>
    <row r="161" spans="1:19" hidden="1" x14ac:dyDescent="0.2">
      <c r="B161" s="18"/>
      <c r="C161" s="18"/>
      <c r="E161" s="19">
        <f>+E159-E136</f>
        <v>-1.4901161193847656E-8</v>
      </c>
      <c r="F161" s="19"/>
      <c r="G161" s="148"/>
      <c r="H161" s="19"/>
      <c r="I161" s="19">
        <f>+I159-I136</f>
        <v>-1419065.3699999899</v>
      </c>
      <c r="J161" s="19">
        <f>+J159-J136</f>
        <v>0</v>
      </c>
      <c r="K161" s="19">
        <f>+K159-K136</f>
        <v>-1419065.3700000048</v>
      </c>
      <c r="M161" s="20"/>
      <c r="S161" s="18"/>
    </row>
    <row r="162" spans="1:19" hidden="1" x14ac:dyDescent="0.2">
      <c r="B162" s="18"/>
      <c r="C162" s="18"/>
      <c r="F162" s="19"/>
      <c r="G162" s="148"/>
      <c r="H162" s="19"/>
      <c r="I162" s="19"/>
      <c r="J162" s="19"/>
      <c r="K162" s="19"/>
      <c r="M162" s="20"/>
      <c r="S162" s="18"/>
    </row>
    <row r="163" spans="1:19" hidden="1" x14ac:dyDescent="0.2">
      <c r="B163" s="18"/>
      <c r="C163" s="18"/>
      <c r="F163" s="19"/>
      <c r="G163" s="148"/>
      <c r="H163" s="19"/>
      <c r="I163" s="19"/>
      <c r="J163" s="19"/>
      <c r="K163" s="19"/>
      <c r="M163" s="20"/>
      <c r="S163" s="18"/>
    </row>
    <row r="164" spans="1:19" hidden="1" x14ac:dyDescent="0.2">
      <c r="B164" s="18"/>
      <c r="C164" s="18"/>
      <c r="F164" s="19"/>
      <c r="G164" s="148"/>
      <c r="H164" s="19"/>
      <c r="I164" s="19"/>
      <c r="J164" s="19"/>
      <c r="K164" s="19"/>
      <c r="M164" s="20"/>
      <c r="S164" s="18"/>
    </row>
    <row r="165" spans="1:19" hidden="1" x14ac:dyDescent="0.2">
      <c r="A165" s="100" t="s">
        <v>63</v>
      </c>
      <c r="B165" s="18"/>
      <c r="C165" s="18"/>
      <c r="D165" s="4" t="s">
        <v>63</v>
      </c>
      <c r="F165" s="19"/>
      <c r="G165" s="148">
        <f>+G34+G42+G44+G46+G48+G87+G57+G59+G15+G50+G66+G55+G65</f>
        <v>126333</v>
      </c>
      <c r="H165" s="19">
        <f>+H34+H52+H42+H44+H46+H48+H87+H57+H59+H15+H50+H66+H55</f>
        <v>0</v>
      </c>
      <c r="I165" s="19"/>
      <c r="J165" s="19"/>
      <c r="K165" s="19"/>
      <c r="M165" s="20"/>
      <c r="S165" s="18"/>
    </row>
    <row r="166" spans="1:19" hidden="1" x14ac:dyDescent="0.2">
      <c r="A166" s="100" t="s">
        <v>64</v>
      </c>
      <c r="B166" s="18"/>
      <c r="C166" s="18"/>
      <c r="D166" s="34" t="s">
        <v>64</v>
      </c>
      <c r="F166" s="19"/>
      <c r="G166" s="148">
        <f>+G9+G94+G10</f>
        <v>-2433765.84</v>
      </c>
      <c r="H166" s="19">
        <f>+H9+H94+H10</f>
        <v>0</v>
      </c>
      <c r="I166" s="19"/>
      <c r="J166" s="19"/>
      <c r="K166" s="19"/>
      <c r="M166" s="20"/>
      <c r="S166" s="18"/>
    </row>
    <row r="167" spans="1:19" hidden="1" x14ac:dyDescent="0.2">
      <c r="A167" s="100" t="s">
        <v>65</v>
      </c>
      <c r="B167" s="18"/>
      <c r="C167" s="18"/>
      <c r="D167" s="34" t="s">
        <v>65</v>
      </c>
      <c r="F167" s="19"/>
      <c r="G167" s="148">
        <f>+G102+G103+G104+G105+G101+G106</f>
        <v>2419793.71</v>
      </c>
      <c r="H167" s="19">
        <f>+H102+H103+H104+H105+H101</f>
        <v>-4103506.9000000004</v>
      </c>
      <c r="I167" s="19"/>
      <c r="J167" s="19"/>
      <c r="K167" s="19"/>
      <c r="M167" s="20"/>
      <c r="S167" s="18"/>
    </row>
    <row r="168" spans="1:19" hidden="1" x14ac:dyDescent="0.2">
      <c r="B168" s="18"/>
      <c r="C168" s="18"/>
      <c r="F168" s="19"/>
      <c r="G168" s="148"/>
      <c r="H168" s="19"/>
      <c r="I168" s="19"/>
      <c r="J168" s="19"/>
      <c r="K168" s="19"/>
      <c r="M168" s="20"/>
      <c r="S168" s="18"/>
    </row>
    <row r="169" spans="1:19" hidden="1" x14ac:dyDescent="0.2">
      <c r="B169" s="18"/>
      <c r="C169" s="18"/>
      <c r="F169" s="19"/>
      <c r="G169" s="167">
        <f>+G165+G166+G167-G140</f>
        <v>-20890050.269999992</v>
      </c>
      <c r="H169" s="110">
        <f>+H165+H166+H167-H140</f>
        <v>0</v>
      </c>
      <c r="I169" s="19"/>
      <c r="J169" s="19"/>
      <c r="K169" s="19"/>
      <c r="M169" s="20"/>
      <c r="S169" s="18"/>
    </row>
    <row r="170" spans="1:19" hidden="1" x14ac:dyDescent="0.2">
      <c r="B170" s="18"/>
      <c r="C170" s="18"/>
      <c r="F170" s="19"/>
      <c r="H170" s="29">
        <f>+H166+H167+H165+G165+G166+G167</f>
        <v>-3991146.0300000003</v>
      </c>
      <c r="I170" s="19"/>
      <c r="J170" s="19"/>
      <c r="K170" s="19"/>
      <c r="M170" s="20"/>
      <c r="S170" s="18"/>
    </row>
    <row r="171" spans="1:19" hidden="1" x14ac:dyDescent="0.2">
      <c r="B171" s="18"/>
      <c r="C171" s="18"/>
      <c r="F171" s="19"/>
      <c r="G171" s="148"/>
      <c r="H171" s="29">
        <f>+H170-G140-H140</f>
        <v>-20890050.269999996</v>
      </c>
      <c r="I171" s="19"/>
      <c r="J171" s="19"/>
      <c r="K171" s="19"/>
      <c r="M171" s="20"/>
      <c r="S171" s="18"/>
    </row>
    <row r="172" spans="1:19" x14ac:dyDescent="0.2">
      <c r="B172" s="18"/>
      <c r="C172" s="18"/>
      <c r="F172" s="19"/>
      <c r="G172" s="232">
        <v>-13247221.630000001</v>
      </c>
      <c r="H172" s="232">
        <f>G139+G172</f>
        <v>1419065.3699999936</v>
      </c>
      <c r="I172" s="230" t="s">
        <v>270</v>
      </c>
      <c r="J172" s="19"/>
      <c r="K172" s="232">
        <f>SUM(K136:K139)</f>
        <v>1419065.3699999917</v>
      </c>
      <c r="L172" s="230" t="s">
        <v>270</v>
      </c>
      <c r="M172" s="20"/>
      <c r="S172" s="18"/>
    </row>
    <row r="173" spans="1:19" ht="12.75" hidden="1" customHeight="1" x14ac:dyDescent="0.2">
      <c r="B173" s="18"/>
      <c r="C173" s="18"/>
      <c r="F173" s="19"/>
      <c r="G173" s="148"/>
      <c r="H173" s="19"/>
      <c r="I173" s="19"/>
      <c r="J173" s="19"/>
      <c r="K173" s="19"/>
      <c r="M173" s="20"/>
      <c r="S173" s="18"/>
    </row>
    <row r="174" spans="1:19" ht="12.75" hidden="1" customHeight="1" x14ac:dyDescent="0.2">
      <c r="A174" s="101" t="s">
        <v>144</v>
      </c>
      <c r="B174" s="18"/>
      <c r="C174" s="18"/>
      <c r="D174" s="22" t="s">
        <v>144</v>
      </c>
      <c r="E174" s="4" t="s">
        <v>121</v>
      </c>
      <c r="F174" s="19" t="s">
        <v>147</v>
      </c>
      <c r="G174" s="148" t="s">
        <v>148</v>
      </c>
      <c r="H174" s="19"/>
      <c r="I174" s="19"/>
      <c r="J174" s="19"/>
      <c r="K174" s="19"/>
      <c r="M174" s="20"/>
      <c r="S174" s="18"/>
    </row>
    <row r="175" spans="1:19" ht="12.75" hidden="1" customHeight="1" x14ac:dyDescent="0.2">
      <c r="A175" s="101" t="s">
        <v>145</v>
      </c>
      <c r="B175" s="18"/>
      <c r="C175" s="18"/>
      <c r="D175" s="22" t="s">
        <v>145</v>
      </c>
      <c r="E175" s="19">
        <v>19066028.010000002</v>
      </c>
      <c r="F175" s="19">
        <v>62319564.710000008</v>
      </c>
      <c r="G175" s="148">
        <v>-43253536.700000003</v>
      </c>
      <c r="H175" s="19"/>
      <c r="I175" s="19"/>
      <c r="J175" s="19"/>
      <c r="K175" s="19"/>
      <c r="M175" s="20"/>
      <c r="S175" s="18"/>
    </row>
    <row r="176" spans="1:19" ht="12.75" hidden="1" customHeight="1" x14ac:dyDescent="0.2">
      <c r="A176" s="101" t="s">
        <v>146</v>
      </c>
      <c r="B176" s="18"/>
      <c r="C176" s="18"/>
      <c r="D176" s="22" t="s">
        <v>146</v>
      </c>
      <c r="F176" s="19"/>
      <c r="G176" s="148"/>
      <c r="H176" s="19"/>
      <c r="I176" s="19"/>
      <c r="J176" s="19"/>
      <c r="K176" s="19"/>
      <c r="M176" s="20"/>
      <c r="S176" s="18"/>
    </row>
    <row r="177" spans="1:19" ht="12.75" hidden="1" customHeight="1" x14ac:dyDescent="0.2">
      <c r="A177" s="100" t="s">
        <v>149</v>
      </c>
      <c r="B177" s="18"/>
      <c r="C177" s="18"/>
      <c r="D177" s="4" t="s">
        <v>149</v>
      </c>
      <c r="E177" s="29">
        <f>SUM(F177:G177)</f>
        <v>905563</v>
      </c>
      <c r="F177" s="19">
        <v>905563</v>
      </c>
      <c r="G177" s="148"/>
      <c r="H177" s="19"/>
      <c r="I177" s="19"/>
      <c r="J177" s="19"/>
      <c r="K177" s="19"/>
      <c r="M177" s="20"/>
      <c r="S177" s="18"/>
    </row>
    <row r="178" spans="1:19" ht="12.75" hidden="1" customHeight="1" x14ac:dyDescent="0.2">
      <c r="A178" s="100" t="s">
        <v>150</v>
      </c>
      <c r="B178" s="18"/>
      <c r="C178" s="18"/>
      <c r="D178" s="4" t="s">
        <v>150</v>
      </c>
      <c r="E178" s="29">
        <f>SUM(F178:G178)</f>
        <v>-905563</v>
      </c>
      <c r="G178" s="148">
        <v>-905563</v>
      </c>
      <c r="H178" s="19"/>
      <c r="I178" s="19"/>
      <c r="J178" s="19"/>
      <c r="K178" s="19"/>
      <c r="M178" s="20"/>
      <c r="S178" s="18"/>
    </row>
    <row r="179" spans="1:19" ht="12.75" hidden="1" customHeight="1" x14ac:dyDescent="0.2">
      <c r="B179" s="18"/>
      <c r="C179" s="18"/>
      <c r="F179" s="19"/>
      <c r="G179" s="148"/>
      <c r="H179" s="19"/>
      <c r="I179" s="19"/>
      <c r="J179" s="19"/>
      <c r="K179" s="19"/>
      <c r="M179" s="20"/>
      <c r="S179" s="18"/>
    </row>
    <row r="180" spans="1:19" ht="12.75" hidden="1" customHeight="1" x14ac:dyDescent="0.2">
      <c r="B180" s="18"/>
      <c r="C180" s="18"/>
      <c r="E180" s="94"/>
      <c r="F180" s="95"/>
      <c r="G180" s="169"/>
      <c r="H180" s="19"/>
      <c r="I180" s="19"/>
      <c r="J180" s="19"/>
      <c r="K180" s="19"/>
      <c r="M180" s="20"/>
      <c r="S180" s="18"/>
    </row>
    <row r="181" spans="1:19" ht="12.75" hidden="1" customHeight="1" x14ac:dyDescent="0.2">
      <c r="B181" s="18"/>
      <c r="C181" s="18"/>
      <c r="E181" s="29">
        <f>SUM(E175:E180)</f>
        <v>19066028.010000002</v>
      </c>
      <c r="F181" s="29">
        <f>SUM(F175:F180)</f>
        <v>63225127.710000008</v>
      </c>
      <c r="G181" s="151">
        <f>SUM(G175:G180)</f>
        <v>-44159099.700000003</v>
      </c>
      <c r="H181" s="19"/>
      <c r="I181" s="19"/>
      <c r="J181" s="19"/>
      <c r="K181" s="19"/>
      <c r="M181" s="20"/>
      <c r="S181" s="18"/>
    </row>
    <row r="182" spans="1:19" x14ac:dyDescent="0.2">
      <c r="B182" s="18"/>
      <c r="C182" s="18"/>
      <c r="F182" s="19"/>
      <c r="G182" s="232"/>
      <c r="H182" s="19"/>
      <c r="I182" s="19"/>
      <c r="J182" s="19"/>
      <c r="K182" s="19"/>
      <c r="M182" s="20"/>
      <c r="S182" s="18"/>
    </row>
    <row r="183" spans="1:19" hidden="1" x14ac:dyDescent="0.2">
      <c r="B183" s="18"/>
      <c r="C183" s="18"/>
      <c r="F183" s="19"/>
      <c r="G183" s="148"/>
      <c r="H183" s="19"/>
      <c r="I183" s="19"/>
      <c r="J183" s="19"/>
      <c r="K183" s="19"/>
      <c r="M183" s="20"/>
      <c r="S183" s="18"/>
    </row>
    <row r="184" spans="1:19" x14ac:dyDescent="0.2">
      <c r="B184" s="18"/>
      <c r="C184" s="18"/>
      <c r="F184" s="19"/>
      <c r="G184" s="148"/>
      <c r="H184" s="19"/>
      <c r="I184" s="19"/>
      <c r="J184" s="19"/>
      <c r="K184" s="19"/>
      <c r="M184" s="20"/>
      <c r="S184" s="18"/>
    </row>
    <row r="185" spans="1:19" x14ac:dyDescent="0.2">
      <c r="B185" s="18"/>
      <c r="C185" s="18"/>
      <c r="F185" s="19"/>
      <c r="G185" s="165"/>
      <c r="H185" s="19"/>
      <c r="I185" s="19"/>
      <c r="J185" s="19"/>
      <c r="K185" s="19"/>
      <c r="M185" s="20"/>
      <c r="S185" s="18"/>
    </row>
    <row r="186" spans="1:19" x14ac:dyDescent="0.2">
      <c r="B186" s="18"/>
      <c r="C186" s="18"/>
      <c r="F186" s="19"/>
      <c r="G186" s="148"/>
      <c r="H186" s="19"/>
      <c r="I186" s="19"/>
      <c r="J186" s="19"/>
      <c r="K186" s="19"/>
      <c r="M186" s="20"/>
      <c r="S186" s="18"/>
    </row>
    <row r="187" spans="1:19" x14ac:dyDescent="0.2">
      <c r="B187" s="18"/>
      <c r="C187" s="18"/>
      <c r="F187" s="19"/>
      <c r="G187" s="148"/>
      <c r="H187" s="19"/>
      <c r="I187" s="19"/>
      <c r="J187" s="19"/>
      <c r="K187" s="19"/>
      <c r="M187" s="20"/>
      <c r="S187" s="18"/>
    </row>
    <row r="188" spans="1:19" x14ac:dyDescent="0.2">
      <c r="B188" s="18"/>
      <c r="C188" s="18"/>
      <c r="F188" s="19"/>
      <c r="G188" s="148"/>
      <c r="H188" s="19"/>
      <c r="I188" s="19"/>
      <c r="J188" s="19"/>
      <c r="K188" s="19"/>
      <c r="M188" s="20"/>
      <c r="S188" s="18"/>
    </row>
    <row r="189" spans="1:19" x14ac:dyDescent="0.2">
      <c r="B189" s="18"/>
      <c r="C189" s="18"/>
      <c r="F189" s="19"/>
      <c r="G189" s="148"/>
      <c r="H189" s="19"/>
      <c r="I189" s="19"/>
      <c r="J189" s="19"/>
      <c r="K189" s="19"/>
      <c r="M189" s="20"/>
      <c r="S189" s="18"/>
    </row>
    <row r="190" spans="1:19" x14ac:dyDescent="0.2">
      <c r="B190" s="18"/>
      <c r="C190" s="18"/>
      <c r="F190" s="19"/>
      <c r="G190" s="148"/>
      <c r="H190" s="19"/>
      <c r="I190" s="19"/>
      <c r="J190" s="19"/>
      <c r="K190" s="19"/>
      <c r="M190" s="20"/>
      <c r="S190" s="18"/>
    </row>
    <row r="191" spans="1:19" x14ac:dyDescent="0.2">
      <c r="B191" s="18"/>
      <c r="C191" s="18"/>
      <c r="F191" s="19"/>
      <c r="G191" s="148"/>
      <c r="H191" s="19"/>
      <c r="I191" s="19"/>
      <c r="J191" s="19"/>
      <c r="K191" s="19"/>
      <c r="M191" s="20"/>
      <c r="S191" s="18"/>
    </row>
    <row r="192" spans="1:19" x14ac:dyDescent="0.2">
      <c r="B192" s="18"/>
      <c r="C192" s="18"/>
      <c r="F192" s="19"/>
      <c r="G192" s="148"/>
      <c r="H192" s="19"/>
      <c r="I192" s="19"/>
      <c r="J192" s="19"/>
      <c r="K192" s="19"/>
      <c r="M192" s="20"/>
      <c r="S192" s="18"/>
    </row>
    <row r="193" spans="1:19" x14ac:dyDescent="0.2">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22" x14ac:dyDescent="0.2">
      <c r="A241" s="4"/>
      <c r="B241" s="18"/>
      <c r="C241" s="18"/>
      <c r="F241" s="19"/>
      <c r="G241" s="148"/>
      <c r="H241" s="19"/>
      <c r="I241" s="19"/>
      <c r="J241" s="19"/>
      <c r="K241" s="19"/>
      <c r="M241" s="20"/>
      <c r="S241" s="18"/>
    </row>
    <row r="242" spans="1:22" x14ac:dyDescent="0.2">
      <c r="B242" s="18"/>
      <c r="C242" s="18"/>
      <c r="F242" s="19"/>
      <c r="G242" s="148"/>
      <c r="H242" s="19"/>
      <c r="I242" s="19"/>
      <c r="J242" s="19"/>
      <c r="K242" s="19"/>
      <c r="M242" s="20"/>
      <c r="S242" s="18"/>
    </row>
    <row r="243" spans="1:22" x14ac:dyDescent="0.2">
      <c r="B243" s="18"/>
      <c r="C243" s="18"/>
      <c r="F243" s="19"/>
      <c r="G243" s="148"/>
      <c r="H243" s="19"/>
      <c r="I243" s="19"/>
      <c r="J243" s="19"/>
      <c r="K243" s="19"/>
      <c r="M243" s="20"/>
      <c r="S243" s="18"/>
    </row>
    <row r="244" spans="1:22" x14ac:dyDescent="0.2">
      <c r="B244" s="18"/>
      <c r="C244" s="18"/>
      <c r="F244" s="19"/>
      <c r="G244" s="148"/>
      <c r="H244" s="19"/>
      <c r="I244" s="19"/>
      <c r="J244" s="19"/>
      <c r="K244" s="19"/>
      <c r="M244" s="20"/>
      <c r="S244" s="18"/>
    </row>
    <row r="245" spans="1:22" x14ac:dyDescent="0.2">
      <c r="B245" s="18"/>
      <c r="C245" s="18"/>
      <c r="F245" s="19"/>
      <c r="G245" s="148"/>
      <c r="H245" s="19"/>
      <c r="I245" s="19"/>
      <c r="J245" s="19"/>
      <c r="K245" s="19"/>
      <c r="M245" s="20"/>
      <c r="S245" s="18"/>
    </row>
    <row r="246" spans="1:22" x14ac:dyDescent="0.2">
      <c r="B246" s="18"/>
      <c r="C246" s="18"/>
      <c r="F246" s="19"/>
      <c r="G246" s="148"/>
      <c r="H246" s="19"/>
      <c r="I246" s="19"/>
      <c r="J246" s="19"/>
      <c r="K246" s="19"/>
      <c r="M246" s="20"/>
      <c r="S246" s="18"/>
    </row>
    <row r="247" spans="1:22" x14ac:dyDescent="0.2">
      <c r="B247" s="18"/>
      <c r="C247" s="18"/>
      <c r="F247" s="19"/>
      <c r="G247" s="148"/>
      <c r="H247" s="19"/>
      <c r="I247" s="19"/>
      <c r="J247" s="19"/>
      <c r="K247" s="19"/>
      <c r="M247" s="20"/>
      <c r="S247" s="18"/>
    </row>
    <row r="248" spans="1:22" x14ac:dyDescent="0.2">
      <c r="B248" s="18"/>
      <c r="C248" s="18"/>
      <c r="F248" s="19"/>
      <c r="G248" s="148"/>
      <c r="H248" s="19"/>
      <c r="I248" s="19"/>
      <c r="J248" s="19"/>
      <c r="K248" s="19"/>
      <c r="M248" s="20"/>
      <c r="S248" s="18"/>
    </row>
    <row r="249" spans="1:22" x14ac:dyDescent="0.2">
      <c r="B249" s="18"/>
      <c r="C249" s="18"/>
      <c r="F249" s="19"/>
      <c r="G249" s="148"/>
      <c r="H249" s="19"/>
      <c r="I249" s="19"/>
      <c r="J249" s="19"/>
      <c r="K249" s="19"/>
      <c r="M249" s="20"/>
      <c r="S249" s="18"/>
    </row>
    <row r="250" spans="1:22" x14ac:dyDescent="0.2">
      <c r="B250" s="18"/>
      <c r="C250" s="18"/>
      <c r="F250" s="19"/>
      <c r="G250" s="148"/>
      <c r="H250" s="19"/>
      <c r="I250" s="19"/>
      <c r="J250" s="19"/>
      <c r="K250" s="19"/>
      <c r="M250" s="20"/>
      <c r="S250" s="18"/>
    </row>
    <row r="251" spans="1:22" x14ac:dyDescent="0.2">
      <c r="B251" s="18"/>
      <c r="C251" s="18"/>
      <c r="F251" s="19"/>
      <c r="G251" s="148"/>
      <c r="H251" s="19"/>
      <c r="I251" s="19"/>
      <c r="J251" s="19"/>
      <c r="K251" s="19"/>
      <c r="M251" s="20"/>
      <c r="S251" s="18"/>
    </row>
    <row r="252" spans="1:22" x14ac:dyDescent="0.2">
      <c r="C252" s="18"/>
      <c r="F252" s="19"/>
      <c r="G252" s="148"/>
      <c r="H252" s="19"/>
      <c r="I252" s="19"/>
      <c r="J252" s="19"/>
      <c r="K252" s="19"/>
      <c r="M252" s="20"/>
      <c r="S252" s="18"/>
    </row>
    <row r="253" spans="1:22" x14ac:dyDescent="0.2">
      <c r="C253" s="18"/>
      <c r="F253" s="19"/>
      <c r="G253" s="148"/>
      <c r="H253" s="19"/>
      <c r="I253" s="19"/>
      <c r="J253" s="19"/>
      <c r="K253" s="19"/>
      <c r="M253" s="20"/>
      <c r="S253" s="18"/>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x14ac:dyDescent="0.2">
      <c r="H302" s="19"/>
    </row>
  </sheetData>
  <mergeCells count="1">
    <mergeCell ref="Q5:R5"/>
  </mergeCells>
  <conditionalFormatting sqref="H169 G171">
    <cfRule type="cellIs" dxfId="23" priority="1" stopIfTrue="1" operator="notEqual">
      <formula>0</formula>
    </cfRule>
  </conditionalFormatting>
  <pageMargins left="0.5" right="0.35" top="0.5" bottom="0.75" header="0.5" footer="0.25"/>
  <pageSetup scale="60" orientation="landscape" r:id="rId1"/>
  <headerFooter alignWithMargins="0">
    <oddFooter>&amp;L&amp;D&amp;T&amp;R&amp;Z&amp;F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78" zoomScale="80" zoomScaleNormal="80" workbookViewId="0">
      <selection activeCell="I135" sqref="I135"/>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3" t="s">
        <v>66</v>
      </c>
    </row>
    <row r="4" spans="1:22" x14ac:dyDescent="0.2">
      <c r="A4" s="99"/>
      <c r="B4" s="7"/>
      <c r="C4" s="3"/>
      <c r="D4" s="3"/>
      <c r="E4" s="212"/>
      <c r="F4" s="8"/>
      <c r="G4" s="215"/>
      <c r="H4" s="216"/>
      <c r="I4" s="202"/>
      <c r="J4" s="202"/>
      <c r="K4" s="202"/>
      <c r="M4" s="10"/>
      <c r="P4" s="233" t="s">
        <v>1</v>
      </c>
    </row>
    <row r="5" spans="1:22" x14ac:dyDescent="0.2">
      <c r="E5" s="217" t="s">
        <v>208</v>
      </c>
      <c r="F5" s="233" t="s">
        <v>3</v>
      </c>
      <c r="G5" s="233" t="s">
        <v>4</v>
      </c>
      <c r="H5" s="233"/>
      <c r="I5" s="204" t="s">
        <v>208</v>
      </c>
      <c r="J5" s="13" t="s">
        <v>180</v>
      </c>
      <c r="K5" s="204" t="s">
        <v>209</v>
      </c>
      <c r="L5" s="233" t="s">
        <v>5</v>
      </c>
      <c r="M5" s="11" t="s">
        <v>6</v>
      </c>
      <c r="N5" s="11" t="s">
        <v>0</v>
      </c>
      <c r="O5" s="11" t="s">
        <v>8</v>
      </c>
      <c r="P5" s="233" t="s">
        <v>9</v>
      </c>
      <c r="Q5" s="576" t="s">
        <v>10</v>
      </c>
      <c r="R5" s="576"/>
      <c r="U5" s="12" t="s">
        <v>11</v>
      </c>
    </row>
    <row r="6" spans="1:22" x14ac:dyDescent="0.2">
      <c r="E6" s="218">
        <v>42369</v>
      </c>
      <c r="F6" s="13" t="s">
        <v>12</v>
      </c>
      <c r="G6" s="14" t="s">
        <v>13</v>
      </c>
      <c r="H6" s="14" t="s">
        <v>8</v>
      </c>
      <c r="I6" s="205">
        <v>42400</v>
      </c>
      <c r="J6" s="13" t="s">
        <v>210</v>
      </c>
      <c r="K6" s="205">
        <f>I6</f>
        <v>42400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v>-1.1641532182693481E-9</v>
      </c>
      <c r="F9" s="30">
        <v>0</v>
      </c>
      <c r="G9" s="130">
        <v>71609.72</v>
      </c>
      <c r="H9" s="30">
        <v>0</v>
      </c>
      <c r="I9" s="115">
        <f>E9+F9+G9+H9</f>
        <v>71609.719999998837</v>
      </c>
      <c r="J9" s="30">
        <v>0</v>
      </c>
      <c r="K9" s="115">
        <f>I9+J9</f>
        <v>71609.719999998837</v>
      </c>
      <c r="L9" s="210" t="s">
        <v>22</v>
      </c>
      <c r="M9" s="20"/>
      <c r="P9" s="31"/>
      <c r="S9" s="18">
        <v>142982</v>
      </c>
    </row>
    <row r="10" spans="1:22" x14ac:dyDescent="0.2">
      <c r="A10" s="100" t="s">
        <v>109</v>
      </c>
      <c r="B10" s="28"/>
      <c r="C10" s="28" t="s">
        <v>34</v>
      </c>
      <c r="D10" s="4" t="s">
        <v>109</v>
      </c>
      <c r="E10" s="32">
        <v>578872.6</v>
      </c>
      <c r="F10" s="33">
        <v>0</v>
      </c>
      <c r="G10" s="130">
        <v>-578872.6</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578872.59999999881</v>
      </c>
      <c r="F12" s="29">
        <f t="shared" ref="F12:J12" si="0">SUM(F9:F10)</f>
        <v>0</v>
      </c>
      <c r="G12" s="29">
        <f t="shared" si="0"/>
        <v>-507262.88</v>
      </c>
      <c r="H12" s="29">
        <f t="shared" si="0"/>
        <v>0</v>
      </c>
      <c r="I12" s="117">
        <f t="shared" si="0"/>
        <v>71609.719999998837</v>
      </c>
      <c r="J12" s="29">
        <f t="shared" si="0"/>
        <v>0</v>
      </c>
      <c r="K12" s="117">
        <f>SUM(K9:K10)</f>
        <v>71609.719999998837</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v>486010.81000000006</v>
      </c>
      <c r="F15" s="30">
        <v>0</v>
      </c>
      <c r="G15" s="33">
        <v>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5577600.1699999999</v>
      </c>
      <c r="K17" s="115">
        <f t="shared" ref="K17" si="1">I17+J17</f>
        <v>5577600.1699999999</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0</v>
      </c>
      <c r="H19" s="29">
        <f t="shared" si="2"/>
        <v>0</v>
      </c>
      <c r="I19" s="123">
        <f t="shared" si="2"/>
        <v>1926156.81</v>
      </c>
      <c r="J19" s="49">
        <f t="shared" si="2"/>
        <v>5577600.1699999999</v>
      </c>
      <c r="K19" s="123">
        <f t="shared" si="2"/>
        <v>7503756.9800000004</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v>1721379.8300000012</v>
      </c>
      <c r="F22" s="33">
        <v>0</v>
      </c>
      <c r="G22" s="33">
        <v>0</v>
      </c>
      <c r="H22" s="130">
        <v>-22206.18</v>
      </c>
      <c r="I22" s="115">
        <f>E22+F22+G22+H22</f>
        <v>1699173.6500000013</v>
      </c>
      <c r="J22" s="33">
        <v>-266474.15999999997</v>
      </c>
      <c r="K22" s="115">
        <f>I22+J22</f>
        <v>1432699.4900000014</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1721379.8300000012</v>
      </c>
      <c r="F24" s="29">
        <f t="shared" ref="F24:K24" si="3">SUM(F22:F23)</f>
        <v>0</v>
      </c>
      <c r="G24" s="29">
        <f t="shared" si="3"/>
        <v>0</v>
      </c>
      <c r="H24" s="29">
        <f t="shared" si="3"/>
        <v>-22206.18</v>
      </c>
      <c r="I24" s="123">
        <f t="shared" si="3"/>
        <v>1699173.6500000013</v>
      </c>
      <c r="J24" s="49">
        <f t="shared" si="3"/>
        <v>-266474.15999999997</v>
      </c>
      <c r="K24" s="123">
        <f t="shared" si="3"/>
        <v>1432699.4900000014</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v>1965263</v>
      </c>
      <c r="F27" s="33">
        <v>0</v>
      </c>
      <c r="G27" s="33">
        <v>0</v>
      </c>
      <c r="H27" s="29">
        <v>0</v>
      </c>
      <c r="I27" s="115">
        <f>E27+F27+G27+H27</f>
        <v>1965263</v>
      </c>
      <c r="J27" s="33">
        <v>0</v>
      </c>
      <c r="K27" s="115">
        <f>I27+J27</f>
        <v>1965263</v>
      </c>
      <c r="L27" s="210" t="s">
        <v>22</v>
      </c>
      <c r="M27" s="226"/>
      <c r="S27" s="28" t="s">
        <v>23</v>
      </c>
    </row>
    <row r="28" spans="1:21" ht="13.5" customHeight="1" x14ac:dyDescent="0.2">
      <c r="A28" s="100" t="s">
        <v>80</v>
      </c>
      <c r="B28" s="28"/>
      <c r="C28" s="28" t="s">
        <v>24</v>
      </c>
      <c r="D28" s="4" t="s">
        <v>204</v>
      </c>
      <c r="E28" s="32">
        <v>-3791680.8</v>
      </c>
      <c r="F28" s="33">
        <v>0</v>
      </c>
      <c r="G28" s="33">
        <v>0</v>
      </c>
      <c r="H28" s="32">
        <v>0</v>
      </c>
      <c r="I28" s="115">
        <f>E28+F28+G28+H28</f>
        <v>-3791680.8</v>
      </c>
      <c r="J28" s="33">
        <v>0</v>
      </c>
      <c r="K28" s="115">
        <f>I28+J28</f>
        <v>-3791680.8</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0</v>
      </c>
      <c r="H30" s="33">
        <f t="shared" si="4"/>
        <v>0</v>
      </c>
      <c r="I30" s="123">
        <f t="shared" si="4"/>
        <v>-1826417.7999999998</v>
      </c>
      <c r="J30" s="33">
        <f t="shared" si="4"/>
        <v>0</v>
      </c>
      <c r="K30" s="123">
        <f t="shared" si="4"/>
        <v>-1826417.7999999998</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v>6662853.9800000014</v>
      </c>
      <c r="F52" s="33">
        <v>0</v>
      </c>
      <c r="G52" s="130">
        <v>-1351728.19</v>
      </c>
      <c r="H52" s="33">
        <v>0</v>
      </c>
      <c r="I52" s="115">
        <f>E52+F52+G52+H52</f>
        <v>5311125.790000001</v>
      </c>
      <c r="J52" s="33">
        <v>-5311126.01</v>
      </c>
      <c r="K52" s="115">
        <f>I52+J52</f>
        <v>-0.2199999988079071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v>5735787</v>
      </c>
      <c r="F53" s="33">
        <v>0</v>
      </c>
      <c r="G53" s="130">
        <v>0</v>
      </c>
      <c r="H53" s="33">
        <v>0</v>
      </c>
      <c r="I53" s="115">
        <f>E53+F53+G53+H53</f>
        <v>5735787</v>
      </c>
      <c r="J53" s="33">
        <v>0</v>
      </c>
      <c r="K53" s="115">
        <f>I53+J53</f>
        <v>5735787</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v>1400000</v>
      </c>
      <c r="F59" s="33">
        <v>0</v>
      </c>
      <c r="G59" s="33">
        <v>0</v>
      </c>
      <c r="H59" s="33">
        <v>0</v>
      </c>
      <c r="I59" s="115">
        <f>E59+F59+G59+H59</f>
        <v>1400000</v>
      </c>
      <c r="J59" s="33">
        <v>0</v>
      </c>
      <c r="K59" s="115">
        <f>I59+J59</f>
        <v>1400000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v>12182527.709999997</v>
      </c>
      <c r="F67" s="172"/>
      <c r="G67" s="130">
        <v>430536.21</v>
      </c>
      <c r="H67" s="172"/>
      <c r="I67" s="115">
        <f t="shared" si="5"/>
        <v>12613063.919999998</v>
      </c>
      <c r="J67" s="172"/>
      <c r="K67" s="115">
        <f t="shared" si="6"/>
        <v>12613063.919999998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v>3015675.55</v>
      </c>
      <c r="F71" s="172"/>
      <c r="G71" s="130">
        <v>612563.74</v>
      </c>
      <c r="H71" s="33"/>
      <c r="I71" s="115">
        <f t="shared" si="5"/>
        <v>3628239.29</v>
      </c>
      <c r="J71" s="33"/>
      <c r="K71" s="115">
        <f t="shared" si="6"/>
        <v>3628239.29</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v>-9618.8799999999992</v>
      </c>
      <c r="F73" s="172"/>
      <c r="G73" s="130">
        <v>-4074.48</v>
      </c>
      <c r="H73" s="33"/>
      <c r="I73" s="115">
        <f t="shared" si="5"/>
        <v>-13693.359999999999</v>
      </c>
      <c r="J73" s="33"/>
      <c r="K73" s="115">
        <f t="shared" si="6"/>
        <v>-13693.359999999999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v>4282400.5200000005</v>
      </c>
      <c r="F75" s="172"/>
      <c r="G75" s="130">
        <v>369483.92</v>
      </c>
      <c r="H75" s="33"/>
      <c r="I75" s="115">
        <f t="shared" ref="I75" si="7">E75+F75+G75+H75</f>
        <v>4651884.4400000004</v>
      </c>
      <c r="J75" s="33"/>
      <c r="K75" s="115">
        <f t="shared" ref="K75" si="8">I75+J75</f>
        <v>4651884.4400000004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v>0</v>
      </c>
      <c r="F79" s="174"/>
      <c r="G79" s="228">
        <v>0</v>
      </c>
      <c r="H79" s="36">
        <v>0</v>
      </c>
      <c r="I79" s="116">
        <f t="shared" si="9"/>
        <v>0</v>
      </c>
      <c r="J79" s="36"/>
      <c r="K79" s="116">
        <f t="shared" si="10"/>
        <v>0</v>
      </c>
      <c r="M79" s="20"/>
      <c r="S79" s="18"/>
    </row>
    <row r="80" spans="1:19" x14ac:dyDescent="0.2">
      <c r="B80" s="54"/>
      <c r="C80" s="28"/>
      <c r="E80" s="32">
        <f>SUM(E42:E79)</f>
        <v>38182309.879999995</v>
      </c>
      <c r="F80" s="29">
        <f>SUM(F39:F65)+F36</f>
        <v>0</v>
      </c>
      <c r="G80" s="29">
        <f>SUM(G39:G79)+G36</f>
        <v>56781.200000000012</v>
      </c>
      <c r="H80" s="29">
        <f>SUM(H39:H79)+H36</f>
        <v>0</v>
      </c>
      <c r="I80" s="123">
        <f>SUM(I39:I79)+I36</f>
        <v>38239091.079999998</v>
      </c>
      <c r="J80" s="49">
        <f>SUM(J39:J79)+J36</f>
        <v>-5311126.01</v>
      </c>
      <c r="K80" s="123">
        <f>SUM(K39:K79)+K36</f>
        <v>32927965.07</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v>1419065.37</v>
      </c>
      <c r="F82" s="29"/>
      <c r="G82" s="29">
        <v>381219.46</v>
      </c>
      <c r="H82" s="29">
        <v>0</v>
      </c>
      <c r="I82" s="123">
        <f>E82+F82+G82+H82</f>
        <v>1800284.83</v>
      </c>
      <c r="J82" s="49">
        <v>0</v>
      </c>
      <c r="K82" s="123">
        <f t="shared" ref="K82" si="11">I82+J82</f>
        <v>1800284.83</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v>25322652.440000001</v>
      </c>
      <c r="F86" s="30">
        <v>0</v>
      </c>
      <c r="G86" s="33">
        <v>0</v>
      </c>
      <c r="H86" s="30">
        <v>0</v>
      </c>
      <c r="I86" s="115">
        <f>E86+F86+G86+H86</f>
        <v>25322652.440000001</v>
      </c>
      <c r="J86" s="30">
        <v>0</v>
      </c>
      <c r="K86" s="115">
        <f t="shared" ref="K86:K88" si="12">I86+J86</f>
        <v>25322652.440000001</v>
      </c>
      <c r="L86" s="210" t="s">
        <v>22</v>
      </c>
      <c r="M86" s="20"/>
      <c r="P86" s="58"/>
      <c r="S86" s="18">
        <v>186801</v>
      </c>
    </row>
    <row r="87" spans="1:21" x14ac:dyDescent="0.2">
      <c r="A87" s="108" t="s">
        <v>171</v>
      </c>
      <c r="B87" s="28"/>
      <c r="C87" s="28" t="s">
        <v>122</v>
      </c>
      <c r="D87" s="4" t="s">
        <v>225</v>
      </c>
      <c r="E87" s="32">
        <v>2914929.55</v>
      </c>
      <c r="F87" s="30">
        <v>0</v>
      </c>
      <c r="G87" s="33">
        <v>0</v>
      </c>
      <c r="H87" s="30">
        <v>0</v>
      </c>
      <c r="I87" s="115">
        <f>E87+F87+G87+H87</f>
        <v>2914929.55</v>
      </c>
      <c r="J87" s="30">
        <v>0</v>
      </c>
      <c r="K87" s="115">
        <f t="shared" si="12"/>
        <v>2914929.55</v>
      </c>
      <c r="L87" s="210" t="s">
        <v>22</v>
      </c>
      <c r="M87" s="20"/>
      <c r="P87" s="58"/>
      <c r="S87" s="18"/>
    </row>
    <row r="88" spans="1:21" x14ac:dyDescent="0.2">
      <c r="A88" s="108" t="s">
        <v>172</v>
      </c>
      <c r="B88" s="28"/>
      <c r="C88" s="28" t="s">
        <v>123</v>
      </c>
      <c r="D88" s="4" t="s">
        <v>226</v>
      </c>
      <c r="E88" s="32">
        <v>51464.05</v>
      </c>
      <c r="F88" s="30">
        <v>0</v>
      </c>
      <c r="G88" s="33">
        <v>0</v>
      </c>
      <c r="H88" s="30">
        <v>0</v>
      </c>
      <c r="I88" s="115">
        <f>E88+F88+G88+H88</f>
        <v>51464.05</v>
      </c>
      <c r="J88" s="30">
        <v>0</v>
      </c>
      <c r="K88" s="115">
        <f t="shared" si="12"/>
        <v>51464.05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0</v>
      </c>
      <c r="H90" s="29">
        <f t="shared" si="13"/>
        <v>0</v>
      </c>
      <c r="I90" s="123">
        <f t="shared" si="13"/>
        <v>28289046.040000003</v>
      </c>
      <c r="J90" s="29">
        <f t="shared" si="13"/>
        <v>0</v>
      </c>
      <c r="K90" s="123">
        <f t="shared" si="13"/>
        <v>28289046.040000003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70290412.730000004</v>
      </c>
      <c r="F96" s="133">
        <f>+F12+F24+F30+F80+F90+F92+F19+F93</f>
        <v>0</v>
      </c>
      <c r="G96" s="133">
        <f>+G12+G24+G30+G80+G82+G90+G92+G19+G93</f>
        <v>-69262.219999999972</v>
      </c>
      <c r="H96" s="133">
        <f>+H12+H24+H30+H80+H82+H90+H92+H19+H93</f>
        <v>-22206.18</v>
      </c>
      <c r="I96" s="134">
        <f>+I12+I24+I30+I80+I82+I90+I92+I19+I93</f>
        <v>70198944.329999998</v>
      </c>
      <c r="J96" s="133">
        <f>+J12+J24+J30+J80+J82+J90+J92+J19+J93</f>
        <v>0</v>
      </c>
      <c r="K96" s="134">
        <f>+K12+K24+K30+K80+K82+K90+K92+K19+K93</f>
        <v>70198944.330000013</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v>2.9103830456733704E-10</v>
      </c>
      <c r="F99" s="30">
        <v>0</v>
      </c>
      <c r="G99" s="130">
        <v>4310937.4000000004</v>
      </c>
      <c r="H99" s="130">
        <v>-211655.46</v>
      </c>
      <c r="I99" s="115">
        <f t="shared" ref="I99:I104" si="15">E99+F99+G99+H99</f>
        <v>4099281.9400000004</v>
      </c>
      <c r="J99" s="30">
        <v>0</v>
      </c>
      <c r="K99" s="115">
        <f t="shared" ref="K99:K104" si="16">I99+J99</f>
        <v>4099281.9400000004</v>
      </c>
      <c r="L99" s="210" t="s">
        <v>22</v>
      </c>
      <c r="M99" s="33"/>
      <c r="N99" s="42"/>
      <c r="O99" s="42"/>
      <c r="S99" s="18">
        <v>191400</v>
      </c>
      <c r="T99" s="58"/>
    </row>
    <row r="100" spans="1:20" x14ac:dyDescent="0.2">
      <c r="A100" s="100" t="s">
        <v>115</v>
      </c>
      <c r="B100" s="18"/>
      <c r="C100" s="28" t="s">
        <v>53</v>
      </c>
      <c r="D100" s="4" t="s">
        <v>115</v>
      </c>
      <c r="E100" s="32">
        <v>0</v>
      </c>
      <c r="F100" s="30">
        <v>0</v>
      </c>
      <c r="G100" s="130">
        <v>-2958152</v>
      </c>
      <c r="H100" s="33">
        <v>0</v>
      </c>
      <c r="I100" s="115">
        <f t="shared" si="15"/>
        <v>-2958152</v>
      </c>
      <c r="J100" s="30">
        <v>0</v>
      </c>
      <c r="K100" s="115">
        <f t="shared" si="16"/>
        <v>-2958152</v>
      </c>
      <c r="L100" s="210" t="s">
        <v>22</v>
      </c>
      <c r="M100" s="30"/>
      <c r="N100" s="42"/>
      <c r="O100" s="42"/>
      <c r="S100" s="18">
        <v>191800</v>
      </c>
      <c r="T100" s="58"/>
    </row>
    <row r="101" spans="1:20" ht="12.75" customHeight="1" x14ac:dyDescent="0.2">
      <c r="A101" s="100" t="s">
        <v>117</v>
      </c>
      <c r="B101" s="18"/>
      <c r="C101" s="28" t="s">
        <v>77</v>
      </c>
      <c r="D101" s="4" t="s">
        <v>117</v>
      </c>
      <c r="E101" s="32">
        <v>-979018</v>
      </c>
      <c r="F101" s="30">
        <v>0</v>
      </c>
      <c r="G101" s="30">
        <v>0</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v>-716883.78000000049</v>
      </c>
      <c r="F102" s="30">
        <v>0</v>
      </c>
      <c r="G102" s="129">
        <v>716883.78</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v>-468742.74999999977</v>
      </c>
      <c r="F103" s="33">
        <v>0</v>
      </c>
      <c r="G103" s="130">
        <f>-0.45+0.01</f>
        <v>-0.44</v>
      </c>
      <c r="H103" s="130">
        <v>102529.26</v>
      </c>
      <c r="I103" s="115">
        <f t="shared" si="15"/>
        <v>-366213.92999999976</v>
      </c>
      <c r="J103" s="33">
        <v>0</v>
      </c>
      <c r="K103" s="115">
        <f t="shared" si="16"/>
        <v>-366213.92999999976</v>
      </c>
      <c r="L103" s="210" t="s">
        <v>22</v>
      </c>
      <c r="M103" s="42"/>
      <c r="N103" s="42"/>
      <c r="O103" s="42"/>
      <c r="S103" s="18">
        <v>253130</v>
      </c>
      <c r="T103" s="58"/>
    </row>
    <row r="104" spans="1:20" x14ac:dyDescent="0.2">
      <c r="A104" s="100" t="s">
        <v>156</v>
      </c>
      <c r="B104" s="18"/>
      <c r="C104" s="28" t="s">
        <v>116</v>
      </c>
      <c r="D104" s="4" t="s">
        <v>211</v>
      </c>
      <c r="E104" s="32">
        <v>-503666.72</v>
      </c>
      <c r="F104" s="33"/>
      <c r="G104" s="130">
        <v>46884.31</v>
      </c>
      <c r="H104" s="33">
        <v>0</v>
      </c>
      <c r="I104" s="115">
        <f t="shared" si="15"/>
        <v>-456782.41</v>
      </c>
      <c r="J104" s="30">
        <v>0</v>
      </c>
      <c r="K104" s="115">
        <f t="shared" si="16"/>
        <v>-456782.41</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-2668311.25</v>
      </c>
      <c r="F106" s="33">
        <f t="shared" si="17"/>
        <v>0</v>
      </c>
      <c r="G106" s="33">
        <f t="shared" si="17"/>
        <v>2116553.0500000003</v>
      </c>
      <c r="H106" s="33">
        <f t="shared" si="17"/>
        <v>-109126.2</v>
      </c>
      <c r="I106" s="123">
        <f t="shared" si="17"/>
        <v>-660884.39999999979</v>
      </c>
      <c r="J106" s="33">
        <f t="shared" si="17"/>
        <v>0</v>
      </c>
      <c r="K106" s="123">
        <f t="shared" si="17"/>
        <v>-660884.39999999979</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v>-4937507.7300000004</v>
      </c>
      <c r="F114" s="30">
        <v>0</v>
      </c>
      <c r="G114" s="33">
        <v>0</v>
      </c>
      <c r="H114" s="33">
        <v>0</v>
      </c>
      <c r="I114" s="123">
        <f>E114+G114+H114+F114</f>
        <v>-4937507.7300000004</v>
      </c>
      <c r="J114" s="91">
        <v>0</v>
      </c>
      <c r="K114" s="123">
        <f>I114+J114</f>
        <v>-4937507.7300000004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v>-15853.620000000004</v>
      </c>
      <c r="F119" s="30">
        <v>0</v>
      </c>
      <c r="G119" s="33">
        <v>0</v>
      </c>
      <c r="H119" s="33">
        <v>0</v>
      </c>
      <c r="I119" s="117">
        <f>E119+F119+G119+H119</f>
        <v>-15853.620000000004</v>
      </c>
      <c r="J119" s="30">
        <v>0</v>
      </c>
      <c r="K119" s="123">
        <f t="shared" si="19"/>
        <v>-15853.620000000004</v>
      </c>
      <c r="L119" s="230" t="s">
        <v>265</v>
      </c>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0</v>
      </c>
      <c r="H121" s="30">
        <f t="shared" si="21"/>
        <v>0</v>
      </c>
      <c r="I121" s="122">
        <f t="shared" si="21"/>
        <v>-15853.620000000004</v>
      </c>
      <c r="J121" s="30">
        <f t="shared" si="21"/>
        <v>0</v>
      </c>
      <c r="K121" s="115">
        <f t="shared" si="21"/>
        <v>-15853.620000000004</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v>-17488922.300000004</v>
      </c>
      <c r="F123" s="30">
        <v>0</v>
      </c>
      <c r="G123" s="129">
        <v>-57780.6</v>
      </c>
      <c r="H123" s="30">
        <v>0</v>
      </c>
      <c r="I123" s="115">
        <f t="shared" ref="I123:I128" si="22">E123+F123+G123+H123</f>
        <v>-17546702.900000006</v>
      </c>
      <c r="J123" s="30">
        <v>0</v>
      </c>
      <c r="K123" s="115">
        <f t="shared" ref="K123:K128" si="23">I123+J123</f>
        <v>-17546702.900000006</v>
      </c>
      <c r="L123" s="210" t="s">
        <v>241</v>
      </c>
      <c r="M123" s="20"/>
      <c r="N123" s="42"/>
      <c r="O123" s="42"/>
      <c r="Q123" s="233">
        <v>75086</v>
      </c>
      <c r="R123" s="58" t="s">
        <v>44</v>
      </c>
      <c r="S123" s="18">
        <v>108201</v>
      </c>
      <c r="T123" s="58"/>
    </row>
    <row r="124" spans="1:23" x14ac:dyDescent="0.2">
      <c r="A124" s="100" t="s">
        <v>166</v>
      </c>
      <c r="B124" s="18"/>
      <c r="C124" s="28" t="s">
        <v>45</v>
      </c>
      <c r="D124" s="4" t="s">
        <v>198</v>
      </c>
      <c r="E124" s="32">
        <v>-47028297.050000004</v>
      </c>
      <c r="F124" s="30">
        <v>0</v>
      </c>
      <c r="G124" s="129">
        <v>-170927.75</v>
      </c>
      <c r="H124" s="30">
        <v>0</v>
      </c>
      <c r="I124" s="115">
        <f t="shared" si="22"/>
        <v>-47199224.800000004</v>
      </c>
      <c r="J124" s="30">
        <v>0</v>
      </c>
      <c r="K124" s="115">
        <f t="shared" si="23"/>
        <v>-47199224.800000004</v>
      </c>
      <c r="L124" s="210" t="s">
        <v>242</v>
      </c>
      <c r="M124" s="20"/>
      <c r="N124" s="42"/>
      <c r="O124" s="42"/>
      <c r="R124" s="58" t="s">
        <v>44</v>
      </c>
      <c r="S124" s="18">
        <v>108301</v>
      </c>
      <c r="T124" s="58"/>
    </row>
    <row r="125" spans="1:23" x14ac:dyDescent="0.2">
      <c r="A125" s="100" t="s">
        <v>167</v>
      </c>
      <c r="B125" s="18"/>
      <c r="C125" s="28" t="s">
        <v>46</v>
      </c>
      <c r="D125" s="4" t="s">
        <v>199</v>
      </c>
      <c r="E125" s="32">
        <v>10041717.999999998</v>
      </c>
      <c r="F125" s="30">
        <v>0</v>
      </c>
      <c r="G125" s="129">
        <v>-31635.69</v>
      </c>
      <c r="H125" s="30">
        <v>0</v>
      </c>
      <c r="I125" s="115">
        <f t="shared" si="22"/>
        <v>10010082.309999999</v>
      </c>
      <c r="J125" s="30">
        <v>0</v>
      </c>
      <c r="K125" s="115">
        <f>I125+J125</f>
        <v>10010082.309999999</v>
      </c>
      <c r="L125" s="210" t="s">
        <v>242</v>
      </c>
      <c r="M125" s="20"/>
      <c r="N125" s="42"/>
      <c r="O125" s="42"/>
      <c r="S125" s="18">
        <v>108410</v>
      </c>
      <c r="T125" s="58"/>
    </row>
    <row r="126" spans="1:23" x14ac:dyDescent="0.2">
      <c r="A126" s="100" t="s">
        <v>168</v>
      </c>
      <c r="B126" s="18"/>
      <c r="C126" s="28" t="s">
        <v>74</v>
      </c>
      <c r="D126" s="4" t="s">
        <v>217</v>
      </c>
      <c r="E126" s="32">
        <v>2271628.58</v>
      </c>
      <c r="F126" s="30">
        <v>0</v>
      </c>
      <c r="G126" s="129">
        <v>21230.87</v>
      </c>
      <c r="H126" s="30">
        <v>0</v>
      </c>
      <c r="I126" s="115">
        <f t="shared" si="22"/>
        <v>2292859.4500000002</v>
      </c>
      <c r="J126" s="30">
        <v>0</v>
      </c>
      <c r="K126" s="115">
        <f>I126+J126</f>
        <v>2292859.4500000002</v>
      </c>
      <c r="M126" s="20"/>
      <c r="N126" s="42"/>
      <c r="O126" s="42"/>
      <c r="Q126" s="4" t="s">
        <v>50</v>
      </c>
      <c r="R126" s="4" t="s">
        <v>51</v>
      </c>
      <c r="S126" s="18">
        <v>182303</v>
      </c>
      <c r="T126" s="58"/>
    </row>
    <row r="127" spans="1:23" x14ac:dyDescent="0.2">
      <c r="A127" s="100" t="s">
        <v>169</v>
      </c>
      <c r="B127" s="18"/>
      <c r="C127" s="28" t="s">
        <v>49</v>
      </c>
      <c r="D127" s="4" t="s">
        <v>218</v>
      </c>
      <c r="E127" s="32">
        <v>4311315.6900000023</v>
      </c>
      <c r="F127" s="30">
        <v>0</v>
      </c>
      <c r="G127" s="129">
        <v>25358.43</v>
      </c>
      <c r="H127" s="30">
        <v>0</v>
      </c>
      <c r="I127" s="115">
        <f t="shared" si="22"/>
        <v>4336674.120000002</v>
      </c>
      <c r="J127" s="30">
        <v>0</v>
      </c>
      <c r="K127" s="115">
        <f t="shared" si="23"/>
        <v>4336674.120000002</v>
      </c>
      <c r="M127" s="20"/>
      <c r="N127" s="42"/>
      <c r="O127" s="42"/>
      <c r="Q127" s="4" t="s">
        <v>50</v>
      </c>
      <c r="S127" s="18">
        <v>182304</v>
      </c>
      <c r="T127" s="58"/>
    </row>
    <row r="128" spans="1:23" x14ac:dyDescent="0.2">
      <c r="A128" s="100" t="s">
        <v>170</v>
      </c>
      <c r="B128" s="18"/>
      <c r="C128" s="28" t="s">
        <v>42</v>
      </c>
      <c r="D128" s="4" t="s">
        <v>200</v>
      </c>
      <c r="E128" s="32">
        <v>-139814.51000000004</v>
      </c>
      <c r="F128" s="30">
        <v>0</v>
      </c>
      <c r="G128" s="129">
        <v>-6112.76</v>
      </c>
      <c r="H128" s="30">
        <v>0</v>
      </c>
      <c r="I128" s="115">
        <f t="shared" si="22"/>
        <v>-145927.27000000005</v>
      </c>
      <c r="J128" s="30">
        <v>0</v>
      </c>
      <c r="K128" s="115">
        <f t="shared" si="23"/>
        <v>-145927.27000000005</v>
      </c>
      <c r="L128" s="210" t="s">
        <v>241</v>
      </c>
      <c r="M128" s="20"/>
      <c r="N128" s="42"/>
      <c r="O128" s="42"/>
      <c r="R128" s="58" t="s">
        <v>44</v>
      </c>
      <c r="S128" s="18">
        <v>108101</v>
      </c>
      <c r="T128" s="58"/>
    </row>
    <row r="129" spans="1:22" x14ac:dyDescent="0.2">
      <c r="A129" s="100" t="s">
        <v>272</v>
      </c>
      <c r="B129" s="18"/>
      <c r="C129" s="28" t="s">
        <v>271</v>
      </c>
      <c r="D129" s="4" t="s">
        <v>272</v>
      </c>
      <c r="E129" s="32">
        <v>0</v>
      </c>
      <c r="F129" s="30">
        <v>0</v>
      </c>
      <c r="G129" s="129">
        <v>-269684</v>
      </c>
      <c r="H129" s="30">
        <v>0</v>
      </c>
      <c r="I129" s="115">
        <f t="shared" ref="I129" si="24">E129+F129+G129+H129</f>
        <v>-269684</v>
      </c>
      <c r="J129" s="30">
        <v>0</v>
      </c>
      <c r="K129" s="115">
        <f t="shared" ref="K129" si="25">I129+J129</f>
        <v>-269684</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6">SUM(E123:E130)</f>
        <v>-48032371.590000004</v>
      </c>
      <c r="F131" s="33">
        <f t="shared" si="26"/>
        <v>0</v>
      </c>
      <c r="G131" s="33">
        <f t="shared" si="26"/>
        <v>-489551.5</v>
      </c>
      <c r="H131" s="33">
        <f t="shared" si="26"/>
        <v>0</v>
      </c>
      <c r="I131" s="123">
        <f t="shared" si="26"/>
        <v>-48521923.090000011</v>
      </c>
      <c r="J131" s="33">
        <f t="shared" si="26"/>
        <v>0</v>
      </c>
      <c r="K131" s="123">
        <f t="shared" si="26"/>
        <v>-48521923.090000011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-55654044.190000005</v>
      </c>
      <c r="F133" s="133">
        <f t="shared" ref="F133:H133" si="27">+F106+F114+F121+F131+F111</f>
        <v>0</v>
      </c>
      <c r="G133" s="133">
        <f t="shared" si="27"/>
        <v>1627001.5500000003</v>
      </c>
      <c r="H133" s="133">
        <f t="shared" si="27"/>
        <v>-109126.2</v>
      </c>
      <c r="I133" s="134">
        <f>+I106+I114+I121+I131+I111</f>
        <v>-54136168.840000011</v>
      </c>
      <c r="J133" s="133">
        <f>+J106+J114+J121+J131+J111</f>
        <v>0</v>
      </c>
      <c r="K133" s="134">
        <f>+K106+K114+K121+K131+K111</f>
        <v>-54136168.840000011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14636368.539999999</v>
      </c>
      <c r="F135" s="137">
        <f>F133+F96</f>
        <v>0</v>
      </c>
      <c r="G135" s="137">
        <f>G133+G96</f>
        <v>1557739.3300000003</v>
      </c>
      <c r="H135" s="137">
        <f>H133+H96</f>
        <v>-131332.38</v>
      </c>
      <c r="I135" s="138">
        <f>I96+I133</f>
        <v>16062775.489999987</v>
      </c>
      <c r="J135" s="137">
        <f>J133+J96</f>
        <v>0</v>
      </c>
      <c r="K135" s="138">
        <f>K96+K133</f>
        <v>16062775.490000002</v>
      </c>
      <c r="L135" s="50">
        <v>0</v>
      </c>
      <c r="M135" s="70"/>
      <c r="N135" s="70"/>
      <c r="O135" s="70"/>
      <c r="P135" s="50"/>
      <c r="Q135" s="50"/>
      <c r="R135" s="50"/>
      <c r="S135" s="18"/>
      <c r="T135" s="29">
        <f>+G135+H135+F135</f>
        <v>1426406.9500000002</v>
      </c>
      <c r="U135" s="19">
        <v>13111056.41</v>
      </c>
      <c r="V135" s="29">
        <f>+T135-U135</f>
        <v>-11684649.460000001</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1571595.69</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1426406.9500000002</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3020208.8200000003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578872.59999999881</v>
      </c>
      <c r="F163" s="32">
        <f>+F93+F94</f>
        <v>0</v>
      </c>
      <c r="G163" s="165"/>
      <c r="H163" s="83"/>
      <c r="I163" s="84">
        <f>+I12</f>
        <v>71609.719999998837</v>
      </c>
      <c r="J163" s="84">
        <f>+J12</f>
        <v>0</v>
      </c>
      <c r="K163" s="84">
        <f>+K12</f>
        <v>71609.719999998837</v>
      </c>
      <c r="M163" s="20"/>
      <c r="S163" s="18"/>
    </row>
    <row r="164" spans="1:19" hidden="1" x14ac:dyDescent="0.2">
      <c r="A164" s="109" t="s">
        <v>142</v>
      </c>
      <c r="B164" s="18"/>
      <c r="C164" s="18"/>
      <c r="D164" s="82" t="s">
        <v>142</v>
      </c>
      <c r="E164" s="83">
        <f>+E19</f>
        <v>1926156.81</v>
      </c>
      <c r="F164" s="32">
        <f t="shared" ref="F164:F169" si="28">+F94+F95</f>
        <v>0</v>
      </c>
      <c r="G164" s="165"/>
      <c r="H164" s="83"/>
      <c r="I164" s="84">
        <f>+I19</f>
        <v>1926156.81</v>
      </c>
      <c r="J164" s="84">
        <f>+J19</f>
        <v>5577600.1699999999</v>
      </c>
      <c r="K164" s="84">
        <f>+K19</f>
        <v>7503756.9800000004</v>
      </c>
      <c r="M164" s="20"/>
      <c r="S164" s="18"/>
    </row>
    <row r="165" spans="1:19" hidden="1" x14ac:dyDescent="0.2">
      <c r="A165" s="109" t="s">
        <v>141</v>
      </c>
      <c r="B165" s="18"/>
      <c r="C165" s="18"/>
      <c r="D165" s="82" t="s">
        <v>141</v>
      </c>
      <c r="E165" s="83">
        <f>+E24</f>
        <v>1721379.8300000012</v>
      </c>
      <c r="F165" s="32">
        <f t="shared" si="28"/>
        <v>0</v>
      </c>
      <c r="G165" s="165"/>
      <c r="H165" s="83"/>
      <c r="I165" s="84">
        <f>+I24</f>
        <v>1699173.6500000013</v>
      </c>
      <c r="J165" s="84">
        <f>+J24</f>
        <v>-266474.15999999997</v>
      </c>
      <c r="K165" s="84">
        <f>+K24</f>
        <v>1432699.4900000014</v>
      </c>
      <c r="M165" s="20"/>
      <c r="S165" s="18"/>
    </row>
    <row r="166" spans="1:19" hidden="1" x14ac:dyDescent="0.2">
      <c r="A166" s="109" t="s">
        <v>61</v>
      </c>
      <c r="B166" s="18"/>
      <c r="C166" s="18"/>
      <c r="D166" s="82" t="s">
        <v>61</v>
      </c>
      <c r="E166" s="32">
        <f>+E30</f>
        <v>-1826417.7999999998</v>
      </c>
      <c r="F166" s="32">
        <f t="shared" si="28"/>
        <v>0</v>
      </c>
      <c r="G166" s="157"/>
      <c r="H166" s="32"/>
      <c r="I166" s="84">
        <f>+I30</f>
        <v>-1826417.7999999998</v>
      </c>
      <c r="J166" s="84">
        <f>+J30</f>
        <v>0</v>
      </c>
      <c r="K166" s="84">
        <f>+K30</f>
        <v>-1826417.7999999998</v>
      </c>
      <c r="M166" s="20"/>
      <c r="S166" s="18"/>
    </row>
    <row r="167" spans="1:19" hidden="1" x14ac:dyDescent="0.2">
      <c r="A167" s="109" t="s">
        <v>143</v>
      </c>
      <c r="B167" s="18"/>
      <c r="C167" s="18"/>
      <c r="D167" s="82" t="s">
        <v>143</v>
      </c>
      <c r="E167" s="32">
        <f>+E80</f>
        <v>38182309.879999995</v>
      </c>
      <c r="F167" s="32">
        <f t="shared" si="28"/>
        <v>0</v>
      </c>
      <c r="G167" s="157"/>
      <c r="H167" s="32"/>
      <c r="I167" s="84">
        <f>+I80</f>
        <v>38239091.079999998</v>
      </c>
      <c r="J167" s="84">
        <f>+J80</f>
        <v>-5311126.01</v>
      </c>
      <c r="K167" s="84">
        <f>+K80</f>
        <v>32927965.07</v>
      </c>
      <c r="M167" s="20"/>
      <c r="S167" s="18"/>
    </row>
    <row r="168" spans="1:19" hidden="1" x14ac:dyDescent="0.2">
      <c r="A168" s="109" t="s">
        <v>151</v>
      </c>
      <c r="B168" s="18"/>
      <c r="C168" s="18"/>
      <c r="D168" s="82" t="s">
        <v>151</v>
      </c>
      <c r="E168" s="32">
        <f>+E90</f>
        <v>28289046.040000003</v>
      </c>
      <c r="F168" s="32">
        <f t="shared" si="28"/>
        <v>0</v>
      </c>
      <c r="G168" s="157"/>
      <c r="H168" s="32"/>
      <c r="I168" s="84">
        <f>+I90</f>
        <v>28289046.040000003</v>
      </c>
      <c r="J168" s="84">
        <f>+J90</f>
        <v>0</v>
      </c>
      <c r="K168" s="84">
        <f>+K90</f>
        <v>28289046.040000003</v>
      </c>
      <c r="M168" s="20"/>
      <c r="S168" s="18"/>
    </row>
    <row r="169" spans="1:19" hidden="1" x14ac:dyDescent="0.2">
      <c r="A169" s="109" t="s">
        <v>62</v>
      </c>
      <c r="B169" s="18"/>
      <c r="C169" s="18"/>
      <c r="D169" s="82" t="s">
        <v>62</v>
      </c>
      <c r="E169" s="32">
        <v>0</v>
      </c>
      <c r="F169" s="32">
        <f t="shared" si="28"/>
        <v>0</v>
      </c>
      <c r="G169" s="157"/>
      <c r="H169" s="32"/>
      <c r="I169" s="84">
        <v>0</v>
      </c>
      <c r="J169" s="84">
        <v>0</v>
      </c>
      <c r="K169" s="84">
        <v>0</v>
      </c>
      <c r="M169" s="20"/>
      <c r="S169" s="18"/>
    </row>
    <row r="170" spans="1:19" hidden="1" x14ac:dyDescent="0.2">
      <c r="A170" s="109" t="s">
        <v>152</v>
      </c>
      <c r="B170" s="18"/>
      <c r="C170" s="18"/>
      <c r="D170" s="82" t="s">
        <v>152</v>
      </c>
      <c r="E170" s="32">
        <f>+E106</f>
        <v>-2668311.25</v>
      </c>
      <c r="F170" s="32" t="e">
        <f>+F100+#REF!</f>
        <v>#REF!</v>
      </c>
      <c r="G170" s="157"/>
      <c r="H170" s="32"/>
      <c r="I170" s="84">
        <f>+I106</f>
        <v>-660884.39999999979</v>
      </c>
      <c r="J170" s="84">
        <f>+J106</f>
        <v>0</v>
      </c>
      <c r="K170" s="84">
        <f>+K106</f>
        <v>-660884.39999999979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-4937507.7300000004</v>
      </c>
      <c r="J172" s="84">
        <f>+J114</f>
        <v>0</v>
      </c>
      <c r="K172" s="84">
        <f>+K114</f>
        <v>-4937507.7300000004</v>
      </c>
      <c r="M172" s="20"/>
      <c r="S172" s="18"/>
    </row>
    <row r="173" spans="1:19" hidden="1" x14ac:dyDescent="0.2">
      <c r="A173" s="109" t="s">
        <v>153</v>
      </c>
      <c r="B173" s="18"/>
      <c r="C173" s="18"/>
      <c r="D173" s="82" t="s">
        <v>153</v>
      </c>
      <c r="E173" s="32">
        <f>+E121</f>
        <v>-15853.620000000004</v>
      </c>
      <c r="F173" s="32" t="e">
        <f>+#REF!+F101</f>
        <v>#REF!</v>
      </c>
      <c r="G173" s="157"/>
      <c r="H173" s="32"/>
      <c r="I173" s="84">
        <f>+I121</f>
        <v>-15853.620000000004</v>
      </c>
      <c r="J173" s="84">
        <f>+J121</f>
        <v>0</v>
      </c>
      <c r="K173" s="84">
        <f>+K121</f>
        <v>-15853.620000000004</v>
      </c>
      <c r="M173" s="20"/>
      <c r="S173" s="18"/>
    </row>
    <row r="174" spans="1:19" hidden="1" x14ac:dyDescent="0.2">
      <c r="A174" s="109" t="s">
        <v>155</v>
      </c>
      <c r="B174" s="18"/>
      <c r="C174" s="18"/>
      <c r="D174" s="82" t="s">
        <v>155</v>
      </c>
      <c r="E174" s="32">
        <f>+E131</f>
        <v>-48032371.590000004</v>
      </c>
      <c r="F174" s="32">
        <f t="shared" ref="F174" si="29">+F101+F102</f>
        <v>0</v>
      </c>
      <c r="G174" s="157"/>
      <c r="H174" s="32"/>
      <c r="I174" s="84">
        <f>+I131</f>
        <v>-48521923.090000011</v>
      </c>
      <c r="J174" s="84">
        <f>+J131</f>
        <v>0</v>
      </c>
      <c r="K174" s="84">
        <f>+K131</f>
        <v>-48521923.090000011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13217303.169999994</v>
      </c>
      <c r="F176" s="88" t="e">
        <f>SUM(F166:F175)</f>
        <v>#REF!</v>
      </c>
      <c r="G176" s="166"/>
      <c r="H176" s="88"/>
      <c r="I176" s="89">
        <f>SUM(I162:I175)</f>
        <v>14262490.659999982</v>
      </c>
      <c r="J176" s="89">
        <f>SUM(J162:J175)</f>
        <v>0</v>
      </c>
      <c r="K176" s="89">
        <f>SUM(K162:K175)</f>
        <v>14262490.659999982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-1419065.3700000048</v>
      </c>
      <c r="F178" s="19"/>
      <c r="G178" s="148"/>
      <c r="H178" s="19"/>
      <c r="I178" s="19">
        <f>+I176-I135</f>
        <v>-1800284.8300000057</v>
      </c>
      <c r="J178" s="19">
        <f>+J176-J135</f>
        <v>0</v>
      </c>
      <c r="K178" s="19">
        <f>+K176-K135</f>
        <v>-1800284.8300000206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-507262.88</v>
      </c>
      <c r="H183" s="19">
        <f>+H9+H92+H10</f>
        <v>0</v>
      </c>
      <c r="I183" s="19"/>
      <c r="J183" s="19"/>
      <c r="K183" s="19"/>
      <c r="M183" s="20"/>
      <c r="S183" s="18"/>
    </row>
    <row r="184" spans="1:19" hidden="1" x14ac:dyDescent="0.2">
      <c r="A184" s="100" t="s">
        <v>65</v>
      </c>
      <c r="B184" s="18"/>
      <c r="C184" s="18"/>
      <c r="D184" s="34" t="s">
        <v>65</v>
      </c>
      <c r="F184" s="19"/>
      <c r="G184" s="148">
        <f>+G100+G101+G102+G103+G99+G104</f>
        <v>2116553.0500000007</v>
      </c>
      <c r="H184" s="19">
        <f>+H100+H101+H102+H103+H99</f>
        <v>-109126.2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1609290.1700000009</v>
      </c>
      <c r="H186" s="110">
        <f>+H182+H183+H184-H139</f>
        <v>-109126.2</v>
      </c>
      <c r="I186" s="19"/>
      <c r="J186" s="19"/>
      <c r="K186" s="19"/>
      <c r="M186" s="20"/>
      <c r="S186" s="18"/>
    </row>
    <row r="187" spans="1:19" hidden="1" x14ac:dyDescent="0.2">
      <c r="B187" s="18"/>
      <c r="C187" s="18"/>
      <c r="F187" s="19"/>
      <c r="H187" s="29">
        <f>+H183+H184+H182+G182+G183+G184</f>
        <v>1500163.9700000007</v>
      </c>
      <c r="I187" s="19"/>
      <c r="J187" s="19"/>
      <c r="K187" s="19"/>
      <c r="M187" s="20"/>
      <c r="S187" s="18"/>
    </row>
    <row r="188" spans="1:19" hidden="1" x14ac:dyDescent="0.2">
      <c r="B188" s="18"/>
      <c r="C188" s="18"/>
      <c r="F188" s="19"/>
      <c r="G188" s="148"/>
      <c r="H188" s="29">
        <f>+H187-G139-H139</f>
        <v>1500163.9700000007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116" zoomScale="80" zoomScaleNormal="80" workbookViewId="0">
      <selection activeCell="E9" sqref="E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5" t="s">
        <v>66</v>
      </c>
    </row>
    <row r="4" spans="1:22" x14ac:dyDescent="0.2">
      <c r="A4" s="99"/>
      <c r="B4" s="7"/>
      <c r="C4" s="3"/>
      <c r="D4" s="3"/>
      <c r="E4" s="212"/>
      <c r="F4" s="8"/>
      <c r="G4" s="215"/>
      <c r="H4" s="216"/>
      <c r="I4" s="202"/>
      <c r="J4" s="202"/>
      <c r="K4" s="202"/>
      <c r="M4" s="10"/>
      <c r="P4" s="235" t="s">
        <v>1</v>
      </c>
    </row>
    <row r="5" spans="1:22" x14ac:dyDescent="0.2">
      <c r="E5" s="217" t="s">
        <v>208</v>
      </c>
      <c r="F5" s="235" t="s">
        <v>3</v>
      </c>
      <c r="G5" s="235" t="s">
        <v>4</v>
      </c>
      <c r="H5" s="235"/>
      <c r="I5" s="204" t="s">
        <v>208</v>
      </c>
      <c r="J5" s="13" t="s">
        <v>180</v>
      </c>
      <c r="K5" s="204" t="s">
        <v>209</v>
      </c>
      <c r="L5" s="235" t="s">
        <v>5</v>
      </c>
      <c r="M5" s="11" t="s">
        <v>6</v>
      </c>
      <c r="N5" s="11" t="s">
        <v>0</v>
      </c>
      <c r="O5" s="11" t="s">
        <v>8</v>
      </c>
      <c r="P5" s="235" t="s">
        <v>9</v>
      </c>
      <c r="Q5" s="576" t="s">
        <v>10</v>
      </c>
      <c r="R5" s="576"/>
      <c r="U5" s="12" t="s">
        <v>11</v>
      </c>
    </row>
    <row r="6" spans="1:22" x14ac:dyDescent="0.2">
      <c r="E6" s="218">
        <v>42400</v>
      </c>
      <c r="F6" s="13" t="s">
        <v>12</v>
      </c>
      <c r="G6" s="14" t="s">
        <v>13</v>
      </c>
      <c r="H6" s="14" t="s">
        <v>8</v>
      </c>
      <c r="I6" s="205">
        <v>42429</v>
      </c>
      <c r="J6" s="13" t="s">
        <v>210</v>
      </c>
      <c r="K6" s="205">
        <f>I6</f>
        <v>42429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Jan 2016'!$A$1:$I$252,9,FALSE)</f>
        <v>71609.719999998837</v>
      </c>
      <c r="F9" s="30">
        <v>0</v>
      </c>
      <c r="G9" s="130">
        <v>36344.51</v>
      </c>
      <c r="H9" s="30">
        <v>0</v>
      </c>
      <c r="I9" s="115">
        <f>E9+F9+G9+H9</f>
        <v>107954.22999999885</v>
      </c>
      <c r="J9" s="30">
        <v>0</v>
      </c>
      <c r="K9" s="115">
        <f>I9+J9</f>
        <v>107954.22999999885</v>
      </c>
      <c r="L9" s="210" t="s">
        <v>274</v>
      </c>
      <c r="M9" s="20"/>
      <c r="P9" s="31"/>
      <c r="S9" s="18">
        <v>142982</v>
      </c>
    </row>
    <row r="10" spans="1:22" x14ac:dyDescent="0.2">
      <c r="A10" s="100" t="s">
        <v>109</v>
      </c>
      <c r="B10" s="28"/>
      <c r="C10" s="28" t="s">
        <v>34</v>
      </c>
      <c r="D10" s="4" t="s">
        <v>109</v>
      </c>
      <c r="E10" s="32">
        <f>VLOOKUP(A10,'DEK Jan 2016'!$A$1:$I$252,9,FALSE)</f>
        <v>0</v>
      </c>
      <c r="F10" s="33">
        <v>0</v>
      </c>
      <c r="G10" s="130">
        <v>0</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71609.719999998837</v>
      </c>
      <c r="F12" s="29">
        <f t="shared" ref="F12:J12" si="0">SUM(F9:F10)</f>
        <v>0</v>
      </c>
      <c r="G12" s="29">
        <f t="shared" si="0"/>
        <v>36344.51</v>
      </c>
      <c r="H12" s="29">
        <f t="shared" si="0"/>
        <v>0</v>
      </c>
      <c r="I12" s="117">
        <f t="shared" si="0"/>
        <v>107954.22999999885</v>
      </c>
      <c r="J12" s="29">
        <f t="shared" si="0"/>
        <v>0</v>
      </c>
      <c r="K12" s="117">
        <f>SUM(K9:K10)</f>
        <v>107954.22999999885</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Jan 2016'!$A$1:$I$252,9,FALSE)</f>
        <v>486010.81000000006</v>
      </c>
      <c r="F15" s="30">
        <v>0</v>
      </c>
      <c r="G15" s="33">
        <v>0</v>
      </c>
      <c r="H15" s="30">
        <v>0</v>
      </c>
      <c r="I15" s="115">
        <f>E15+F15+G15+H15</f>
        <v>486010.81000000006</v>
      </c>
      <c r="J15" s="30">
        <v>0</v>
      </c>
      <c r="K15" s="115">
        <f>I15+J15</f>
        <v>486010.81000000006</v>
      </c>
      <c r="L15" s="210" t="s">
        <v>22</v>
      </c>
      <c r="M15" s="20"/>
      <c r="S15" s="18"/>
    </row>
    <row r="16" spans="1:22" x14ac:dyDescent="0.2">
      <c r="A16" s="100" t="s">
        <v>157</v>
      </c>
      <c r="B16" s="28"/>
      <c r="C16" s="28" t="s">
        <v>37</v>
      </c>
      <c r="D16" s="4" t="s">
        <v>192</v>
      </c>
      <c r="E16" s="32">
        <f>VLOOKUP(A16,'DEK Jan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3174082.61</v>
      </c>
      <c r="K17" s="115">
        <f t="shared" ref="K17" si="1">I17+J17</f>
        <v>3174082.61</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0</v>
      </c>
      <c r="H19" s="29">
        <f t="shared" si="2"/>
        <v>0</v>
      </c>
      <c r="I19" s="123">
        <f t="shared" si="2"/>
        <v>1926156.81</v>
      </c>
      <c r="J19" s="49">
        <f t="shared" si="2"/>
        <v>3174082.61</v>
      </c>
      <c r="K19" s="123">
        <f t="shared" si="2"/>
        <v>5100239.42</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Jan 2016'!$A$1:$I$252,9,FALSE)</f>
        <v>1699173.6500000013</v>
      </c>
      <c r="F22" s="33">
        <v>0</v>
      </c>
      <c r="G22" s="33">
        <v>0</v>
      </c>
      <c r="H22" s="130">
        <v>-22206.18</v>
      </c>
      <c r="I22" s="115">
        <f>E22+F22+G22+H22</f>
        <v>1676967.4700000014</v>
      </c>
      <c r="J22" s="33">
        <v>-266474.15999999997</v>
      </c>
      <c r="K22" s="115">
        <f>I22+J22</f>
        <v>1410493.3100000015</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1699173.6500000013</v>
      </c>
      <c r="F24" s="29">
        <f t="shared" ref="F24:K24" si="3">SUM(F22:F23)</f>
        <v>0</v>
      </c>
      <c r="G24" s="29">
        <f t="shared" si="3"/>
        <v>0</v>
      </c>
      <c r="H24" s="29">
        <f t="shared" si="3"/>
        <v>-22206.18</v>
      </c>
      <c r="I24" s="123">
        <f t="shared" si="3"/>
        <v>1676967.4700000014</v>
      </c>
      <c r="J24" s="49">
        <f t="shared" si="3"/>
        <v>-266474.15999999997</v>
      </c>
      <c r="K24" s="123">
        <f t="shared" si="3"/>
        <v>1410493.3100000015</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Jan 2016'!$A$1:$I$252,9,FALSE)</f>
        <v>1965263</v>
      </c>
      <c r="F27" s="33">
        <v>0</v>
      </c>
      <c r="G27" s="33">
        <v>47741</v>
      </c>
      <c r="H27" s="29">
        <v>0</v>
      </c>
      <c r="I27" s="115">
        <f>E27+F27+G27+H27</f>
        <v>2013004</v>
      </c>
      <c r="J27" s="33">
        <v>0</v>
      </c>
      <c r="K27" s="115">
        <f>I27+J27</f>
        <v>2013004</v>
      </c>
      <c r="L27" s="210" t="s">
        <v>22</v>
      </c>
      <c r="M27" s="226"/>
      <c r="S27" s="28" t="s">
        <v>23</v>
      </c>
    </row>
    <row r="28" spans="1:21" ht="13.5" customHeight="1" x14ac:dyDescent="0.2">
      <c r="A28" s="100" t="s">
        <v>80</v>
      </c>
      <c r="B28" s="28"/>
      <c r="C28" s="28" t="s">
        <v>24</v>
      </c>
      <c r="D28" s="4" t="s">
        <v>204</v>
      </c>
      <c r="E28" s="32">
        <f>VLOOKUP(A28,'DEK Jan 2016'!$A$1:$I$252,9,FALSE)</f>
        <v>-3791680.8</v>
      </c>
      <c r="F28" s="33">
        <v>0</v>
      </c>
      <c r="G28" s="33">
        <v>3791681</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3839422</v>
      </c>
      <c r="H30" s="33">
        <f t="shared" si="4"/>
        <v>0</v>
      </c>
      <c r="I30" s="123">
        <f t="shared" si="4"/>
        <v>2013004.2000000002</v>
      </c>
      <c r="J30" s="33">
        <f t="shared" si="4"/>
        <v>0</v>
      </c>
      <c r="K30" s="123">
        <f t="shared" si="4"/>
        <v>2013004.2000000002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Jan 2016'!$A$1:$I$252,9,FALSE)</f>
        <v>5311125.790000001</v>
      </c>
      <c r="F52" s="33">
        <v>0</v>
      </c>
      <c r="G52" s="130">
        <v>-918549.63</v>
      </c>
      <c r="H52" s="33">
        <v>0</v>
      </c>
      <c r="I52" s="115">
        <f>E52+F52+G52+H52</f>
        <v>4392576.1600000011</v>
      </c>
      <c r="J52" s="33">
        <v>-2907608.45</v>
      </c>
      <c r="K52" s="115">
        <f>I52+J52</f>
        <v>1484967.7100000009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Jan 2016'!$A$1:$I$252,9,FALSE)</f>
        <v>5735787</v>
      </c>
      <c r="F53" s="33">
        <v>0</v>
      </c>
      <c r="G53" s="33">
        <v>0</v>
      </c>
      <c r="H53" s="33">
        <v>0</v>
      </c>
      <c r="I53" s="115">
        <f>E53+F53+G53+H53</f>
        <v>5735787</v>
      </c>
      <c r="J53" s="33">
        <v>0</v>
      </c>
      <c r="K53" s="115">
        <f>I53+J53</f>
        <v>5735787</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Jan 2016'!$A$1:$I$252,9,FALSE)</f>
        <v>1400000</v>
      </c>
      <c r="F59" s="33">
        <v>0</v>
      </c>
      <c r="G59" s="33">
        <v>0</v>
      </c>
      <c r="H59" s="33">
        <v>0</v>
      </c>
      <c r="I59" s="115">
        <f>E59+F59+G59+H59</f>
        <v>1400000</v>
      </c>
      <c r="J59" s="33">
        <v>0</v>
      </c>
      <c r="K59" s="115">
        <f>I59+J59</f>
        <v>1400000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Jan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Jan 2016'!$A$1:$I$252,9,FALSE)</f>
        <v>12613063.919999998</v>
      </c>
      <c r="F67" s="172"/>
      <c r="G67" s="130">
        <v>884559.93</v>
      </c>
      <c r="H67" s="172"/>
      <c r="I67" s="115">
        <f t="shared" si="5"/>
        <v>13497623.849999998</v>
      </c>
      <c r="J67" s="172"/>
      <c r="K67" s="115">
        <f t="shared" si="6"/>
        <v>13497623.849999998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Jan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Jan 2016'!$A$1:$I$252,9,FALSE)</f>
        <v>3628239.29</v>
      </c>
      <c r="F71" s="172"/>
      <c r="G71" s="130">
        <v>443813.88</v>
      </c>
      <c r="H71" s="33"/>
      <c r="I71" s="115">
        <f t="shared" si="5"/>
        <v>4072053.17</v>
      </c>
      <c r="J71" s="33"/>
      <c r="K71" s="115">
        <f t="shared" si="6"/>
        <v>4072053.17</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Jan 2016'!$A$1:$I$252,9,FALSE)</f>
        <v>-13693.359999999999</v>
      </c>
      <c r="F73" s="172"/>
      <c r="G73" s="130">
        <v>0</v>
      </c>
      <c r="H73" s="33"/>
      <c r="I73" s="115">
        <f t="shared" si="5"/>
        <v>-13693.359999999999</v>
      </c>
      <c r="J73" s="33"/>
      <c r="K73" s="115">
        <f t="shared" si="6"/>
        <v>-13693.359999999999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Jan 2016'!$A$1:$I$252,9,FALSE)</f>
        <v>4651884.4400000004</v>
      </c>
      <c r="F75" s="172"/>
      <c r="G75" s="130">
        <v>369334.25</v>
      </c>
      <c r="H75" s="33"/>
      <c r="I75" s="115">
        <f t="shared" ref="I75" si="7">E75+F75+G75+H75</f>
        <v>5021218.6900000004</v>
      </c>
      <c r="J75" s="33"/>
      <c r="K75" s="115">
        <f t="shared" ref="K75" si="8">I75+J75</f>
        <v>5021218.6900000004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Jan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Jan 2016'!$A$1:$I$252,9,FALSE)</f>
        <v>0</v>
      </c>
      <c r="F79" s="174"/>
      <c r="G79" s="36">
        <v>0</v>
      </c>
      <c r="H79" s="36">
        <v>0</v>
      </c>
      <c r="I79" s="116">
        <f t="shared" si="9"/>
        <v>0</v>
      </c>
      <c r="J79" s="36"/>
      <c r="K79" s="116">
        <f t="shared" si="10"/>
        <v>0</v>
      </c>
      <c r="M79" s="20"/>
      <c r="S79" s="18"/>
    </row>
    <row r="80" spans="1:19" x14ac:dyDescent="0.2">
      <c r="B80" s="54"/>
      <c r="C80" s="28"/>
      <c r="E80" s="32">
        <f>SUM(E42:E79)</f>
        <v>38239091.079999998</v>
      </c>
      <c r="F80" s="29">
        <f>SUM(F39:F65)+F36</f>
        <v>0</v>
      </c>
      <c r="G80" s="29">
        <f>SUM(G39:G79)+G36</f>
        <v>779158.43</v>
      </c>
      <c r="H80" s="29">
        <f>SUM(H39:H79)+H36</f>
        <v>0</v>
      </c>
      <c r="I80" s="123">
        <f>SUM(I39:I79)+I36</f>
        <v>39018249.509999998</v>
      </c>
      <c r="J80" s="49">
        <f>SUM(J39:J79)+J36</f>
        <v>-2907608.45</v>
      </c>
      <c r="K80" s="123">
        <f>SUM(K39:K79)+K36</f>
        <v>36110641.059999995</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Jan 2016'!$A$1:$I$252,9,FALSE)</f>
        <v>1800284.83</v>
      </c>
      <c r="F82" s="29"/>
      <c r="G82" s="237">
        <v>181171.68</v>
      </c>
      <c r="H82" s="29">
        <v>0</v>
      </c>
      <c r="I82" s="123">
        <f>E82+F82+G82+H82</f>
        <v>1981456.51</v>
      </c>
      <c r="J82" s="49">
        <v>0</v>
      </c>
      <c r="K82" s="123">
        <f t="shared" ref="K82" si="11">I82+J82</f>
        <v>1981456.51</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Jan 2016'!$A$1:$I$252,9,FALSE)</f>
        <v>25322652.440000001</v>
      </c>
      <c r="F86" s="30">
        <v>0</v>
      </c>
      <c r="G86" s="33">
        <v>-280062</v>
      </c>
      <c r="H86" s="30">
        <v>0</v>
      </c>
      <c r="I86" s="115">
        <f>E86+F86+G86+H86</f>
        <v>25042590.440000001</v>
      </c>
      <c r="J86" s="30">
        <v>0</v>
      </c>
      <c r="K86" s="115">
        <f t="shared" ref="K86:K88" si="12">I86+J86</f>
        <v>25042590.440000001</v>
      </c>
      <c r="L86" s="210" t="s">
        <v>22</v>
      </c>
      <c r="M86" s="20"/>
      <c r="P86" s="58"/>
      <c r="S86" s="18">
        <v>186801</v>
      </c>
    </row>
    <row r="87" spans="1:21" x14ac:dyDescent="0.2">
      <c r="A87" s="108" t="s">
        <v>171</v>
      </c>
      <c r="B87" s="28"/>
      <c r="C87" s="28" t="s">
        <v>122</v>
      </c>
      <c r="D87" s="4" t="s">
        <v>225</v>
      </c>
      <c r="E87" s="32">
        <f>VLOOKUP(A87,'DEK Jan 2016'!$A$1:$I$252,9,FALSE)</f>
        <v>2914929.55</v>
      </c>
      <c r="F87" s="30">
        <v>0</v>
      </c>
      <c r="G87" s="33">
        <v>-50796</v>
      </c>
      <c r="H87" s="30">
        <v>0</v>
      </c>
      <c r="I87" s="115">
        <f>E87+F87+G87+H87</f>
        <v>2864133.55</v>
      </c>
      <c r="J87" s="30">
        <v>0</v>
      </c>
      <c r="K87" s="115">
        <f t="shared" si="12"/>
        <v>2864133.55</v>
      </c>
      <c r="L87" s="210" t="s">
        <v>22</v>
      </c>
      <c r="M87" s="20"/>
      <c r="P87" s="58"/>
      <c r="S87" s="18"/>
    </row>
    <row r="88" spans="1:21" x14ac:dyDescent="0.2">
      <c r="A88" s="108" t="s">
        <v>172</v>
      </c>
      <c r="B88" s="28"/>
      <c r="C88" s="28" t="s">
        <v>123</v>
      </c>
      <c r="D88" s="4" t="s">
        <v>226</v>
      </c>
      <c r="E88" s="32">
        <f>VLOOKUP(A88,'DEK Jan 2016'!$A$1:$I$252,9,FALSE)</f>
        <v>51464.05</v>
      </c>
      <c r="F88" s="30">
        <v>0</v>
      </c>
      <c r="G88" s="33">
        <v>-784</v>
      </c>
      <c r="H88" s="30">
        <v>0</v>
      </c>
      <c r="I88" s="115">
        <f>E88+F88+G88+H88</f>
        <v>50680.05</v>
      </c>
      <c r="J88" s="30">
        <v>0</v>
      </c>
      <c r="K88" s="115">
        <f t="shared" si="12"/>
        <v>50680.05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-331642</v>
      </c>
      <c r="H90" s="29">
        <f t="shared" si="13"/>
        <v>0</v>
      </c>
      <c r="I90" s="123">
        <f t="shared" si="13"/>
        <v>27957404.040000003</v>
      </c>
      <c r="J90" s="29">
        <f t="shared" si="13"/>
        <v>0</v>
      </c>
      <c r="K90" s="123">
        <f t="shared" si="13"/>
        <v>27957404.040000003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70198944.329999998</v>
      </c>
      <c r="F96" s="133">
        <f>+F12+F24+F30+F80+F90+F92+F19+F93</f>
        <v>0</v>
      </c>
      <c r="G96" s="133">
        <f>+G12+G24+G30+G80+G82+G90+G92+G19+G93</f>
        <v>4504454.6199999992</v>
      </c>
      <c r="H96" s="133">
        <f>+H12+H24+H30+H80+H82+H90+H92+H19+H93</f>
        <v>-22206.18</v>
      </c>
      <c r="I96" s="134">
        <f>+I12+I24+I30+I80+I82+I90+I92+I19+I93</f>
        <v>74681192.769999996</v>
      </c>
      <c r="J96" s="133">
        <f>+J12+J24+J30+J80+J82+J90+J92+J19+J93</f>
        <v>-4.6566128730773926E-10</v>
      </c>
      <c r="K96" s="134">
        <f>+K12+K24+K30+K80+K82+K90+K92+K19+K93</f>
        <v>74681192.769999996</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Jan 2016'!$A$1:$I$252,9,FALSE)</f>
        <v>4099281.9400000004</v>
      </c>
      <c r="F99" s="30">
        <v>0</v>
      </c>
      <c r="G99" s="130">
        <v>-665740.76</v>
      </c>
      <c r="H99" s="130">
        <v>-231482.95</v>
      </c>
      <c r="I99" s="115">
        <f t="shared" ref="I99:I104" si="15">E99+F99+G99+H99</f>
        <v>3202058.2300000004</v>
      </c>
      <c r="J99" s="30">
        <v>0</v>
      </c>
      <c r="K99" s="115">
        <f t="shared" ref="K99:K104" si="16">I99+J99</f>
        <v>3202058.2300000004</v>
      </c>
      <c r="L99" s="210" t="s">
        <v>22</v>
      </c>
      <c r="M99" s="33"/>
      <c r="N99" s="42"/>
      <c r="O99" s="42"/>
      <c r="S99" s="18">
        <v>191400</v>
      </c>
      <c r="T99" s="58"/>
    </row>
    <row r="100" spans="1:20" x14ac:dyDescent="0.2">
      <c r="A100" s="100" t="s">
        <v>115</v>
      </c>
      <c r="B100" s="18"/>
      <c r="C100" s="28" t="s">
        <v>53</v>
      </c>
      <c r="D100" s="4" t="s">
        <v>115</v>
      </c>
      <c r="E100" s="32">
        <f>VLOOKUP(A100,'DEK Jan 2016'!$A$1:$I$252,9,FALSE)</f>
        <v>-2958152</v>
      </c>
      <c r="F100" s="30">
        <v>0</v>
      </c>
      <c r="G100" s="130">
        <v>355541</v>
      </c>
      <c r="H100" s="33">
        <v>0</v>
      </c>
      <c r="I100" s="115">
        <f t="shared" si="15"/>
        <v>-2602611</v>
      </c>
      <c r="J100" s="30">
        <v>0</v>
      </c>
      <c r="K100" s="115">
        <f t="shared" si="16"/>
        <v>-2602611</v>
      </c>
      <c r="L100" s="210" t="s">
        <v>22</v>
      </c>
      <c r="M100" s="30"/>
      <c r="N100" s="42"/>
      <c r="O100" s="42"/>
      <c r="S100" s="18">
        <v>191800</v>
      </c>
      <c r="T100" s="58"/>
    </row>
    <row r="101" spans="1:20" ht="12.75" customHeight="1" x14ac:dyDescent="0.2">
      <c r="A101" s="100" t="s">
        <v>117</v>
      </c>
      <c r="B101" s="18"/>
      <c r="C101" s="28" t="s">
        <v>77</v>
      </c>
      <c r="D101" s="4" t="s">
        <v>117</v>
      </c>
      <c r="E101" s="32">
        <f>VLOOKUP(A101,'DEK Jan 2016'!$A$1:$I$252,9,FALSE)</f>
        <v>-979018</v>
      </c>
      <c r="F101" s="30">
        <v>0</v>
      </c>
      <c r="G101" s="30">
        <v>0</v>
      </c>
      <c r="H101" s="33">
        <v>0</v>
      </c>
      <c r="I101" s="115">
        <f t="shared" si="15"/>
        <v>-979018</v>
      </c>
      <c r="J101" s="30">
        <v>0</v>
      </c>
      <c r="K101" s="115">
        <f t="shared" si="16"/>
        <v>-979018</v>
      </c>
      <c r="L101" s="210" t="s">
        <v>22</v>
      </c>
      <c r="M101" s="20"/>
      <c r="N101" s="42"/>
      <c r="O101" s="42"/>
      <c r="S101" s="18">
        <v>242995</v>
      </c>
      <c r="T101" s="58"/>
    </row>
    <row r="102" spans="1:20" x14ac:dyDescent="0.2">
      <c r="A102" s="100" t="s">
        <v>119</v>
      </c>
      <c r="B102" s="18"/>
      <c r="C102" s="28" t="s">
        <v>118</v>
      </c>
      <c r="D102" s="4" t="s">
        <v>119</v>
      </c>
      <c r="E102" s="32">
        <f>VLOOKUP(A102,'DEK Jan 2016'!$A$1:$I$252,9,FALSE)</f>
        <v>-4.6566128730773926E-10</v>
      </c>
      <c r="F102" s="30">
        <v>0</v>
      </c>
      <c r="G102" s="129">
        <v>0</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Jan 2016'!$A$1:$I$252,9,FALSE)</f>
        <v>-366213.92999999976</v>
      </c>
      <c r="F103" s="33">
        <v>0</v>
      </c>
      <c r="G103" s="130">
        <v>305.45999999999998</v>
      </c>
      <c r="H103" s="130">
        <v>112231.75</v>
      </c>
      <c r="I103" s="115">
        <f t="shared" si="15"/>
        <v>-253676.71999999974</v>
      </c>
      <c r="J103" s="33">
        <v>0</v>
      </c>
      <c r="K103" s="115">
        <f t="shared" si="16"/>
        <v>-253676.71999999974</v>
      </c>
      <c r="L103" s="210" t="s">
        <v>22</v>
      </c>
      <c r="M103" s="42"/>
      <c r="N103" s="42"/>
      <c r="O103" s="42"/>
      <c r="S103" s="18">
        <v>253130</v>
      </c>
      <c r="T103" s="58"/>
    </row>
    <row r="104" spans="1:20" x14ac:dyDescent="0.2">
      <c r="A104" s="100" t="s">
        <v>156</v>
      </c>
      <c r="B104" s="18"/>
      <c r="C104" s="28" t="s">
        <v>116</v>
      </c>
      <c r="D104" s="4" t="s">
        <v>211</v>
      </c>
      <c r="E104" s="32">
        <f>VLOOKUP(A104,'DEK Jan 2016'!$A$1:$I$252,9,FALSE)</f>
        <v>-456782.41</v>
      </c>
      <c r="F104" s="33"/>
      <c r="G104" s="130">
        <v>-1223375.82</v>
      </c>
      <c r="H104" s="33">
        <v>0</v>
      </c>
      <c r="I104" s="115">
        <f t="shared" si="15"/>
        <v>-1680158.23</v>
      </c>
      <c r="J104" s="30">
        <v>0</v>
      </c>
      <c r="K104" s="115">
        <f t="shared" si="16"/>
        <v>-1680158.23</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-660884.39999999979</v>
      </c>
      <c r="F106" s="33">
        <f t="shared" si="17"/>
        <v>0</v>
      </c>
      <c r="G106" s="33">
        <f t="shared" si="17"/>
        <v>-1533270.12</v>
      </c>
      <c r="H106" s="33">
        <f t="shared" si="17"/>
        <v>-119251.20000000001</v>
      </c>
      <c r="I106" s="123">
        <f t="shared" si="17"/>
        <v>-2313405.7199999997</v>
      </c>
      <c r="J106" s="33">
        <f t="shared" si="17"/>
        <v>0</v>
      </c>
      <c r="K106" s="123">
        <f t="shared" si="17"/>
        <v>-2313405.7199999997</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Jan 2016'!$A$1:$I$252,9,FALSE)</f>
        <v>-4937507.7300000004</v>
      </c>
      <c r="F114" s="30">
        <v>0</v>
      </c>
      <c r="G114" s="33">
        <v>91718</v>
      </c>
      <c r="H114" s="33">
        <v>0</v>
      </c>
      <c r="I114" s="123">
        <f>E114+G114+H114+F114</f>
        <v>-4845789.7300000004</v>
      </c>
      <c r="J114" s="91">
        <v>0</v>
      </c>
      <c r="K114" s="123">
        <f>I114+J114</f>
        <v>-4845789.7300000004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Jan 2016'!$A$1:$I$252,9,FALSE)</f>
        <v>0</v>
      </c>
      <c r="F117" s="30">
        <v>0</v>
      </c>
      <c r="G117" s="33">
        <v>-3782274</v>
      </c>
      <c r="H117" s="33">
        <v>0</v>
      </c>
      <c r="I117" s="115">
        <f>E117+F117+G117+H117</f>
        <v>-3782274</v>
      </c>
      <c r="J117" s="30">
        <v>0</v>
      </c>
      <c r="K117" s="115">
        <f t="shared" ref="K117:K119" si="19">I117+J117</f>
        <v>-3782274</v>
      </c>
      <c r="M117" s="62"/>
      <c r="P117" s="51"/>
      <c r="Q117" s="18"/>
      <c r="R117" s="58"/>
      <c r="S117" s="18">
        <v>254998</v>
      </c>
    </row>
    <row r="118" spans="1:23" x14ac:dyDescent="0.2">
      <c r="A118" s="100" t="s">
        <v>179</v>
      </c>
      <c r="B118" s="18"/>
      <c r="C118" s="28" t="s">
        <v>47</v>
      </c>
      <c r="D118" s="4" t="s">
        <v>196</v>
      </c>
      <c r="E118" s="32">
        <f>VLOOKUP(A118,'DEK Jan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Jan 2016'!$A$1:$I$252,9,FALSE)</f>
        <v>-15853.620000000004</v>
      </c>
      <c r="F119" s="30">
        <v>0</v>
      </c>
      <c r="G119" s="33">
        <v>67.16</v>
      </c>
      <c r="H119" s="33">
        <v>0</v>
      </c>
      <c r="I119" s="117">
        <f>E119+F119+G119+H119</f>
        <v>-15786.460000000005</v>
      </c>
      <c r="J119" s="30">
        <v>0</v>
      </c>
      <c r="K119" s="117">
        <f t="shared" si="19"/>
        <v>-15786.460000000005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-3782206.84</v>
      </c>
      <c r="H121" s="30">
        <f t="shared" si="21"/>
        <v>0</v>
      </c>
      <c r="I121" s="122">
        <f t="shared" si="21"/>
        <v>-3798060.46</v>
      </c>
      <c r="J121" s="30">
        <f t="shared" si="21"/>
        <v>0</v>
      </c>
      <c r="K121" s="122">
        <f t="shared" si="21"/>
        <v>-3798060.46</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Jan 2016'!$A$1:$I$252,9,FALSE)</f>
        <v>-17546702.900000006</v>
      </c>
      <c r="F123" s="30">
        <v>0</v>
      </c>
      <c r="G123" s="129">
        <v>-57646.45</v>
      </c>
      <c r="H123" s="30">
        <v>0</v>
      </c>
      <c r="I123" s="115">
        <f t="shared" ref="I123:I129" si="22">E123+F123+G123+H123</f>
        <v>-17604349.350000005</v>
      </c>
      <c r="J123" s="30">
        <v>0</v>
      </c>
      <c r="K123" s="115">
        <f t="shared" ref="K123:K129" si="23">I123+J123</f>
        <v>-17604349.350000005</v>
      </c>
      <c r="L123" s="210" t="s">
        <v>241</v>
      </c>
      <c r="M123" s="20"/>
      <c r="N123" s="42"/>
      <c r="O123" s="42"/>
      <c r="Q123" s="235">
        <v>75086</v>
      </c>
      <c r="R123" s="58" t="s">
        <v>44</v>
      </c>
      <c r="S123" s="18">
        <v>108201</v>
      </c>
      <c r="T123" s="58"/>
    </row>
    <row r="124" spans="1:23" x14ac:dyDescent="0.2">
      <c r="A124" s="100" t="s">
        <v>166</v>
      </c>
      <c r="B124" s="18"/>
      <c r="C124" s="28" t="s">
        <v>45</v>
      </c>
      <c r="D124" s="4" t="s">
        <v>198</v>
      </c>
      <c r="E124" s="32">
        <f>VLOOKUP(A124,'DEK Jan 2016'!$A$1:$I$252,9,FALSE)</f>
        <v>-47199224.800000004</v>
      </c>
      <c r="F124" s="30">
        <v>0</v>
      </c>
      <c r="G124" s="129">
        <v>-357537.43</v>
      </c>
      <c r="H124" s="30">
        <v>0</v>
      </c>
      <c r="I124" s="115">
        <f t="shared" si="22"/>
        <v>-47556762.230000004</v>
      </c>
      <c r="J124" s="30">
        <v>0</v>
      </c>
      <c r="K124" s="115">
        <f t="shared" si="23"/>
        <v>-47556762.230000004</v>
      </c>
      <c r="L124" s="210" t="s">
        <v>242</v>
      </c>
      <c r="M124" s="20"/>
      <c r="N124" s="42"/>
      <c r="O124" s="42"/>
      <c r="R124" s="58" t="s">
        <v>44</v>
      </c>
      <c r="S124" s="18">
        <v>108301</v>
      </c>
      <c r="T124" s="58"/>
    </row>
    <row r="125" spans="1:23" x14ac:dyDescent="0.2">
      <c r="A125" s="100" t="s">
        <v>167</v>
      </c>
      <c r="B125" s="18"/>
      <c r="C125" s="28" t="s">
        <v>46</v>
      </c>
      <c r="D125" s="4" t="s">
        <v>199</v>
      </c>
      <c r="E125" s="32">
        <f>VLOOKUP(A125,'DEK Jan 2016'!$A$1:$I$252,9,FALSE)</f>
        <v>10010082.309999999</v>
      </c>
      <c r="F125" s="30">
        <v>0</v>
      </c>
      <c r="G125" s="129">
        <v>233963.79</v>
      </c>
      <c r="H125" s="30">
        <v>0</v>
      </c>
      <c r="I125" s="115">
        <f t="shared" si="22"/>
        <v>10244046.099999998</v>
      </c>
      <c r="J125" s="30">
        <v>0</v>
      </c>
      <c r="K125" s="115">
        <f>I125+J125</f>
        <v>10244046.099999998</v>
      </c>
      <c r="L125" s="210" t="s">
        <v>242</v>
      </c>
      <c r="M125" s="20"/>
      <c r="N125" s="42"/>
      <c r="O125" s="42"/>
      <c r="S125" s="18">
        <v>108410</v>
      </c>
      <c r="T125" s="58"/>
    </row>
    <row r="126" spans="1:23" x14ac:dyDescent="0.2">
      <c r="A126" s="100" t="s">
        <v>168</v>
      </c>
      <c r="B126" s="18"/>
      <c r="C126" s="28" t="s">
        <v>74</v>
      </c>
      <c r="D126" s="4" t="s">
        <v>217</v>
      </c>
      <c r="E126" s="32">
        <f>VLOOKUP(A126,'DEK Jan 2016'!$A$1:$I$252,9,FALSE)</f>
        <v>2292859.4500000002</v>
      </c>
      <c r="F126" s="30">
        <v>0</v>
      </c>
      <c r="G126" s="129">
        <v>21312.27</v>
      </c>
      <c r="H126" s="30">
        <v>0</v>
      </c>
      <c r="I126" s="115">
        <f t="shared" si="22"/>
        <v>2314171.7200000002</v>
      </c>
      <c r="J126" s="30">
        <v>0</v>
      </c>
      <c r="K126" s="115">
        <f>I126+J126</f>
        <v>2314171.7200000002</v>
      </c>
      <c r="M126" s="20"/>
      <c r="N126" s="42"/>
      <c r="O126" s="42"/>
      <c r="Q126" s="4" t="s">
        <v>50</v>
      </c>
      <c r="R126" s="4" t="s">
        <v>51</v>
      </c>
      <c r="S126" s="18">
        <v>182303</v>
      </c>
      <c r="T126" s="58"/>
    </row>
    <row r="127" spans="1:23" x14ac:dyDescent="0.2">
      <c r="A127" s="100" t="s">
        <v>169</v>
      </c>
      <c r="B127" s="18"/>
      <c r="C127" s="28" t="s">
        <v>49</v>
      </c>
      <c r="D127" s="4" t="s">
        <v>218</v>
      </c>
      <c r="E127" s="32">
        <f>VLOOKUP(A127,'DEK Jan 2016'!$A$1:$I$252,9,FALSE)</f>
        <v>4336674.120000002</v>
      </c>
      <c r="F127" s="30">
        <v>0</v>
      </c>
      <c r="G127" s="129">
        <v>25470.55</v>
      </c>
      <c r="H127" s="30">
        <v>0</v>
      </c>
      <c r="I127" s="115">
        <f t="shared" si="22"/>
        <v>4362144.6700000018</v>
      </c>
      <c r="J127" s="30">
        <v>0</v>
      </c>
      <c r="K127" s="115">
        <f t="shared" si="23"/>
        <v>4362144.6700000018</v>
      </c>
      <c r="M127" s="20"/>
      <c r="N127" s="42"/>
      <c r="O127" s="42"/>
      <c r="Q127" s="4" t="s">
        <v>50</v>
      </c>
      <c r="S127" s="18">
        <v>182304</v>
      </c>
      <c r="T127" s="58"/>
    </row>
    <row r="128" spans="1:23" x14ac:dyDescent="0.2">
      <c r="A128" s="100" t="s">
        <v>170</v>
      </c>
      <c r="B128" s="18"/>
      <c r="C128" s="28" t="s">
        <v>42</v>
      </c>
      <c r="D128" s="4" t="s">
        <v>200</v>
      </c>
      <c r="E128" s="32">
        <f>VLOOKUP(A128,'DEK Jan 2016'!$A$1:$I$252,9,FALSE)</f>
        <v>-145927.27000000005</v>
      </c>
      <c r="F128" s="30">
        <v>0</v>
      </c>
      <c r="G128" s="129">
        <v>-6112.76</v>
      </c>
      <c r="H128" s="30">
        <v>0</v>
      </c>
      <c r="I128" s="115">
        <f t="shared" si="22"/>
        <v>-152040.03000000006</v>
      </c>
      <c r="J128" s="30">
        <v>0</v>
      </c>
      <c r="K128" s="115">
        <f t="shared" si="23"/>
        <v>-152040.03000000006</v>
      </c>
      <c r="L128" s="210" t="s">
        <v>241</v>
      </c>
      <c r="M128" s="20"/>
      <c r="N128" s="42"/>
      <c r="O128" s="42"/>
      <c r="R128" s="58" t="s">
        <v>44</v>
      </c>
      <c r="S128" s="18">
        <v>108101</v>
      </c>
      <c r="T128" s="58"/>
    </row>
    <row r="129" spans="1:22" x14ac:dyDescent="0.2">
      <c r="A129" s="100" t="s">
        <v>272</v>
      </c>
      <c r="B129" s="18"/>
      <c r="C129" s="28" t="s">
        <v>271</v>
      </c>
      <c r="D129" s="4" t="s">
        <v>272</v>
      </c>
      <c r="E129" s="32">
        <f>VLOOKUP(A129,'DEK Jan 2016'!$A$1:$I$252,9,FALSE)</f>
        <v>-269684</v>
      </c>
      <c r="F129" s="30">
        <v>0</v>
      </c>
      <c r="G129" s="129">
        <v>602228.94999999995</v>
      </c>
      <c r="H129" s="30">
        <v>0</v>
      </c>
      <c r="I129" s="115">
        <f t="shared" si="22"/>
        <v>332544.94999999995</v>
      </c>
      <c r="J129" s="30">
        <v>0</v>
      </c>
      <c r="K129" s="115">
        <f t="shared" si="23"/>
        <v>332544.94999999995</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-48521923.090000011</v>
      </c>
      <c r="F131" s="33">
        <f t="shared" si="24"/>
        <v>0</v>
      </c>
      <c r="G131" s="33">
        <f t="shared" si="24"/>
        <v>461678.91999999993</v>
      </c>
      <c r="H131" s="33">
        <f t="shared" si="24"/>
        <v>0</v>
      </c>
      <c r="I131" s="123">
        <f t="shared" si="24"/>
        <v>-48060244.170000017</v>
      </c>
      <c r="J131" s="33">
        <f t="shared" si="24"/>
        <v>0</v>
      </c>
      <c r="K131" s="123">
        <f t="shared" si="24"/>
        <v>-48060244.170000017</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-54136168.840000011</v>
      </c>
      <c r="F133" s="133">
        <f t="shared" ref="F133:H133" si="25">+F106+F114+F121+F131+F111</f>
        <v>0</v>
      </c>
      <c r="G133" s="133">
        <f t="shared" si="25"/>
        <v>-4762080.04</v>
      </c>
      <c r="H133" s="133">
        <f t="shared" si="25"/>
        <v>-119251.20000000001</v>
      </c>
      <c r="I133" s="134">
        <f>+I106+I114+I121+I131+I111</f>
        <v>-59017500.080000013</v>
      </c>
      <c r="J133" s="133">
        <f>+J106+J114+J121+J131+J111</f>
        <v>0</v>
      </c>
      <c r="K133" s="134">
        <f>+K106+K114+K121+K131+K111</f>
        <v>-59017500.080000013</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16062775.489999987</v>
      </c>
      <c r="F135" s="137">
        <f>F133+F96</f>
        <v>0</v>
      </c>
      <c r="G135" s="137">
        <f>G133+G96</f>
        <v>-257625.42000000086</v>
      </c>
      <c r="H135" s="137">
        <f>H133+H96</f>
        <v>-141457.38</v>
      </c>
      <c r="I135" s="138">
        <f>I96+I133</f>
        <v>15663692.689999983</v>
      </c>
      <c r="J135" s="137">
        <f>J133+J96</f>
        <v>-4.6566128730773926E-10</v>
      </c>
      <c r="K135" s="138">
        <f>K96+K133</f>
        <v>15663692.689999983</v>
      </c>
      <c r="L135" s="50">
        <v>0</v>
      </c>
      <c r="M135" s="70"/>
      <c r="N135" s="70"/>
      <c r="O135" s="70"/>
      <c r="P135" s="50"/>
      <c r="Q135" s="50"/>
      <c r="R135" s="50"/>
      <c r="S135" s="18"/>
      <c r="T135" s="29">
        <f>+G135+H135+F135</f>
        <v>-399082.80000000086</v>
      </c>
      <c r="U135" s="19">
        <v>13111056.41</v>
      </c>
      <c r="V135" s="29">
        <f>+T135-U135</f>
        <v>-13510139.210000001</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1241808.5000000002</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-399082.80000000086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864931.87999999942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71609.719999998837</v>
      </c>
      <c r="F163" s="32">
        <f>+F93+F94</f>
        <v>0</v>
      </c>
      <c r="G163" s="165"/>
      <c r="H163" s="83"/>
      <c r="I163" s="84">
        <f>+I12</f>
        <v>107954.22999999885</v>
      </c>
      <c r="J163" s="84">
        <f>+J12</f>
        <v>0</v>
      </c>
      <c r="K163" s="84">
        <f>+K12</f>
        <v>107954.22999999885</v>
      </c>
      <c r="M163" s="20"/>
      <c r="S163" s="18"/>
    </row>
    <row r="164" spans="1:19" hidden="1" x14ac:dyDescent="0.2">
      <c r="A164" s="109" t="s">
        <v>142</v>
      </c>
      <c r="B164" s="18"/>
      <c r="C164" s="18"/>
      <c r="D164" s="82" t="s">
        <v>142</v>
      </c>
      <c r="E164" s="83">
        <f>+E19</f>
        <v>1926156.81</v>
      </c>
      <c r="F164" s="32">
        <f t="shared" ref="F164:F169" si="26">+F94+F95</f>
        <v>0</v>
      </c>
      <c r="G164" s="165"/>
      <c r="H164" s="83"/>
      <c r="I164" s="84">
        <f>+I19</f>
        <v>1926156.81</v>
      </c>
      <c r="J164" s="84">
        <f>+J19</f>
        <v>3174082.61</v>
      </c>
      <c r="K164" s="84">
        <f>+K19</f>
        <v>5100239.42</v>
      </c>
      <c r="M164" s="20"/>
      <c r="S164" s="18"/>
    </row>
    <row r="165" spans="1:19" hidden="1" x14ac:dyDescent="0.2">
      <c r="A165" s="109" t="s">
        <v>141</v>
      </c>
      <c r="B165" s="18"/>
      <c r="C165" s="18"/>
      <c r="D165" s="82" t="s">
        <v>141</v>
      </c>
      <c r="E165" s="83">
        <f>+E24</f>
        <v>1699173.6500000013</v>
      </c>
      <c r="F165" s="32">
        <f t="shared" si="26"/>
        <v>0</v>
      </c>
      <c r="G165" s="165"/>
      <c r="H165" s="83"/>
      <c r="I165" s="84">
        <f>+I24</f>
        <v>1676967.4700000014</v>
      </c>
      <c r="J165" s="84">
        <f>+J24</f>
        <v>-266474.15999999997</v>
      </c>
      <c r="K165" s="84">
        <f>+K24</f>
        <v>1410493.3100000015</v>
      </c>
      <c r="M165" s="20"/>
      <c r="S165" s="18"/>
    </row>
    <row r="166" spans="1:19" hidden="1" x14ac:dyDescent="0.2">
      <c r="A166" s="109" t="s">
        <v>61</v>
      </c>
      <c r="B166" s="18"/>
      <c r="C166" s="18"/>
      <c r="D166" s="82" t="s">
        <v>61</v>
      </c>
      <c r="E166" s="32">
        <f>+E30</f>
        <v>-1826417.7999999998</v>
      </c>
      <c r="F166" s="32">
        <f t="shared" si="26"/>
        <v>0</v>
      </c>
      <c r="G166" s="157"/>
      <c r="H166" s="32"/>
      <c r="I166" s="84">
        <f>+I30</f>
        <v>2013004.2000000002</v>
      </c>
      <c r="J166" s="84">
        <f>+J30</f>
        <v>0</v>
      </c>
      <c r="K166" s="84">
        <f>+K30</f>
        <v>2013004.2000000002</v>
      </c>
      <c r="M166" s="20"/>
      <c r="S166" s="18"/>
    </row>
    <row r="167" spans="1:19" hidden="1" x14ac:dyDescent="0.2">
      <c r="A167" s="109" t="s">
        <v>143</v>
      </c>
      <c r="B167" s="18"/>
      <c r="C167" s="18"/>
      <c r="D167" s="82" t="s">
        <v>143</v>
      </c>
      <c r="E167" s="32">
        <f>+E80</f>
        <v>38239091.079999998</v>
      </c>
      <c r="F167" s="32">
        <f t="shared" si="26"/>
        <v>0</v>
      </c>
      <c r="G167" s="157"/>
      <c r="H167" s="32"/>
      <c r="I167" s="84">
        <f>+I80</f>
        <v>39018249.509999998</v>
      </c>
      <c r="J167" s="84">
        <f>+J80</f>
        <v>-2907608.45</v>
      </c>
      <c r="K167" s="84">
        <f>+K80</f>
        <v>36110641.059999995</v>
      </c>
      <c r="M167" s="20"/>
      <c r="S167" s="18"/>
    </row>
    <row r="168" spans="1:19" hidden="1" x14ac:dyDescent="0.2">
      <c r="A168" s="109" t="s">
        <v>151</v>
      </c>
      <c r="B168" s="18"/>
      <c r="C168" s="18"/>
      <c r="D168" s="82" t="s">
        <v>151</v>
      </c>
      <c r="E168" s="32">
        <f>+E90</f>
        <v>28289046.040000003</v>
      </c>
      <c r="F168" s="32">
        <f t="shared" si="26"/>
        <v>0</v>
      </c>
      <c r="G168" s="157"/>
      <c r="H168" s="32"/>
      <c r="I168" s="84">
        <f>+I90</f>
        <v>27957404.040000003</v>
      </c>
      <c r="J168" s="84">
        <f>+J90</f>
        <v>0</v>
      </c>
      <c r="K168" s="84">
        <f>+K90</f>
        <v>27957404.040000003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-660884.39999999979</v>
      </c>
      <c r="F170" s="32" t="e">
        <f>+F100+#REF!</f>
        <v>#REF!</v>
      </c>
      <c r="G170" s="157"/>
      <c r="H170" s="32"/>
      <c r="I170" s="84">
        <f>+I106</f>
        <v>-2313405.7199999997</v>
      </c>
      <c r="J170" s="84">
        <f>+J106</f>
        <v>0</v>
      </c>
      <c r="K170" s="84">
        <f>+K106</f>
        <v>-2313405.7199999997</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-4845789.7300000004</v>
      </c>
      <c r="J172" s="84">
        <f>+J114</f>
        <v>0</v>
      </c>
      <c r="K172" s="84">
        <f>+K114</f>
        <v>-4845789.7300000004</v>
      </c>
      <c r="M172" s="20"/>
      <c r="S172" s="18"/>
    </row>
    <row r="173" spans="1:19" hidden="1" x14ac:dyDescent="0.2">
      <c r="A173" s="109" t="s">
        <v>153</v>
      </c>
      <c r="B173" s="18"/>
      <c r="C173" s="18"/>
      <c r="D173" s="82" t="s">
        <v>153</v>
      </c>
      <c r="E173" s="32">
        <f>+E121</f>
        <v>-15853.620000000004</v>
      </c>
      <c r="F173" s="32" t="e">
        <f>+#REF!+F101</f>
        <v>#REF!</v>
      </c>
      <c r="G173" s="157"/>
      <c r="H173" s="32"/>
      <c r="I173" s="84">
        <f>+I121</f>
        <v>-3798060.46</v>
      </c>
      <c r="J173" s="84">
        <f>+J121</f>
        <v>0</v>
      </c>
      <c r="K173" s="84">
        <f>+K121</f>
        <v>-3798060.46</v>
      </c>
      <c r="M173" s="20"/>
      <c r="S173" s="18"/>
    </row>
    <row r="174" spans="1:19" hidden="1" x14ac:dyDescent="0.2">
      <c r="A174" s="109" t="s">
        <v>155</v>
      </c>
      <c r="B174" s="18"/>
      <c r="C174" s="18"/>
      <c r="D174" s="82" t="s">
        <v>155</v>
      </c>
      <c r="E174" s="32">
        <f>+E131</f>
        <v>-48521923.090000011</v>
      </c>
      <c r="F174" s="32">
        <f t="shared" ref="F174" si="27">+F101+F102</f>
        <v>0</v>
      </c>
      <c r="G174" s="157"/>
      <c r="H174" s="32"/>
      <c r="I174" s="84">
        <f>+I131</f>
        <v>-48060244.170000017</v>
      </c>
      <c r="J174" s="84">
        <f>+J131</f>
        <v>0</v>
      </c>
      <c r="K174" s="84">
        <f>+K131</f>
        <v>-48060244.170000017</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14262490.659999982</v>
      </c>
      <c r="F176" s="88" t="e">
        <f>SUM(F166:F175)</f>
        <v>#REF!</v>
      </c>
      <c r="G176" s="166"/>
      <c r="H176" s="88"/>
      <c r="I176" s="89">
        <f>SUM(I162:I175)</f>
        <v>13682236.179999985</v>
      </c>
      <c r="J176" s="89">
        <f>SUM(J162:J175)</f>
        <v>-4.6566128730773926E-10</v>
      </c>
      <c r="K176" s="89">
        <f>SUM(K162:K175)</f>
        <v>13682236.179999985</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-1800284.8300000057</v>
      </c>
      <c r="F178" s="19"/>
      <c r="G178" s="148"/>
      <c r="H178" s="19"/>
      <c r="I178" s="19">
        <f>+I176-I135</f>
        <v>-1981456.5099999979</v>
      </c>
      <c r="J178" s="19">
        <f>+J176-J135</f>
        <v>0</v>
      </c>
      <c r="K178" s="19">
        <f>+K176-K135</f>
        <v>-1981456.5099999979</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36344.51</v>
      </c>
      <c r="H183" s="19">
        <f>+H9+H92+H10</f>
        <v>0</v>
      </c>
      <c r="I183" s="19"/>
      <c r="J183" s="19"/>
      <c r="K183" s="19"/>
      <c r="M183" s="20"/>
      <c r="S183" s="18"/>
    </row>
    <row r="184" spans="1:19" hidden="1" x14ac:dyDescent="0.2">
      <c r="A184" s="100" t="s">
        <v>65</v>
      </c>
      <c r="B184" s="18"/>
      <c r="C184" s="18"/>
      <c r="D184" s="34" t="s">
        <v>65</v>
      </c>
      <c r="F184" s="19"/>
      <c r="G184" s="148">
        <f>+G100+G101+G102+G103+G99+G104</f>
        <v>-1533270.12</v>
      </c>
      <c r="H184" s="19">
        <f>+H100+H101+H102+H103+H99</f>
        <v>-119251.20000000001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-1496925.61</v>
      </c>
      <c r="H186" s="110">
        <f>+H182+H183+H184-H139</f>
        <v>-119251.20000000001</v>
      </c>
      <c r="I186" s="19"/>
      <c r="J186" s="19"/>
      <c r="K186" s="19"/>
      <c r="M186" s="20"/>
      <c r="S186" s="18"/>
    </row>
    <row r="187" spans="1:19" hidden="1" x14ac:dyDescent="0.2">
      <c r="B187" s="18"/>
      <c r="C187" s="18"/>
      <c r="F187" s="19"/>
      <c r="H187" s="29">
        <f>+H183+H184+H182+G182+G183+G184</f>
        <v>-1616176.81</v>
      </c>
      <c r="I187" s="19"/>
      <c r="J187" s="19"/>
      <c r="K187" s="19"/>
      <c r="M187" s="20"/>
      <c r="S187" s="18"/>
    </row>
    <row r="188" spans="1:19" hidden="1" x14ac:dyDescent="0.2">
      <c r="B188" s="18"/>
      <c r="C188" s="18"/>
      <c r="F188" s="19"/>
      <c r="G188" s="148"/>
      <c r="H188" s="29">
        <f>+H187-G139-H139</f>
        <v>-1616176.81</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8"/>
  <sheetViews>
    <sheetView topLeftCell="A73" zoomScale="80" zoomScaleNormal="80" workbookViewId="0">
      <selection activeCell="H103" sqref="H103"/>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5" t="s">
        <v>66</v>
      </c>
    </row>
    <row r="4" spans="1:22" x14ac:dyDescent="0.2">
      <c r="A4" s="99"/>
      <c r="B4" s="7"/>
      <c r="C4" s="3"/>
      <c r="D4" s="3"/>
      <c r="E4" s="3"/>
      <c r="F4" s="8"/>
      <c r="G4" s="147"/>
      <c r="H4" s="8"/>
      <c r="I4" s="9"/>
      <c r="J4" s="9"/>
      <c r="K4" s="9"/>
      <c r="M4" s="10"/>
      <c r="P4" s="175" t="s">
        <v>1</v>
      </c>
    </row>
    <row r="5" spans="1:22" x14ac:dyDescent="0.2">
      <c r="E5" s="175" t="s">
        <v>2</v>
      </c>
      <c r="F5" s="175" t="s">
        <v>3</v>
      </c>
      <c r="G5" s="175" t="s">
        <v>4</v>
      </c>
      <c r="H5" s="175"/>
      <c r="I5" s="111" t="s">
        <v>208</v>
      </c>
      <c r="J5" s="13" t="s">
        <v>180</v>
      </c>
      <c r="K5" s="111" t="s">
        <v>209</v>
      </c>
      <c r="L5" s="175" t="s">
        <v>5</v>
      </c>
      <c r="M5" s="11" t="s">
        <v>6</v>
      </c>
      <c r="N5" s="11" t="s">
        <v>0</v>
      </c>
      <c r="O5" s="11" t="s">
        <v>8</v>
      </c>
      <c r="P5" s="175" t="s">
        <v>9</v>
      </c>
      <c r="Q5" s="576" t="s">
        <v>10</v>
      </c>
      <c r="R5" s="576"/>
      <c r="U5" s="12" t="s">
        <v>11</v>
      </c>
    </row>
    <row r="6" spans="1:22" x14ac:dyDescent="0.2">
      <c r="E6" s="13">
        <v>42035</v>
      </c>
      <c r="F6" s="13" t="s">
        <v>12</v>
      </c>
      <c r="G6" s="14" t="s">
        <v>13</v>
      </c>
      <c r="H6" s="14" t="s">
        <v>8</v>
      </c>
      <c r="I6" s="112">
        <v>42063</v>
      </c>
      <c r="J6" s="13" t="s">
        <v>210</v>
      </c>
      <c r="K6" s="112">
        <f>I6</f>
        <v>42063</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Jan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Jan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Jan 2015'!$A$1:$I$252,9,FALSE)</f>
        <v>559677.81000000006</v>
      </c>
      <c r="F15" s="30">
        <v>0</v>
      </c>
      <c r="G15" s="33">
        <v>0</v>
      </c>
      <c r="H15" s="30">
        <v>0</v>
      </c>
      <c r="I15" s="115">
        <f>E15+F15+G15+H15</f>
        <v>559677.81000000006</v>
      </c>
      <c r="J15" s="30">
        <v>0</v>
      </c>
      <c r="K15" s="115">
        <f>I15+J15</f>
        <v>559677.81000000006</v>
      </c>
      <c r="M15" s="20"/>
      <c r="S15" s="18"/>
    </row>
    <row r="16" spans="1:22" x14ac:dyDescent="0.2">
      <c r="A16" s="100" t="s">
        <v>157</v>
      </c>
      <c r="B16" s="28"/>
      <c r="C16" s="28" t="s">
        <v>37</v>
      </c>
      <c r="D16" s="4" t="s">
        <v>192</v>
      </c>
      <c r="E16" s="29">
        <f>VLOOKUP(A16,'DEK Jan 2015'!$A$1:$I$252,9,FALSE)</f>
        <v>1590647</v>
      </c>
      <c r="F16" s="30">
        <v>0</v>
      </c>
      <c r="G16" s="129">
        <v>0</v>
      </c>
      <c r="H16" s="129">
        <v>0</v>
      </c>
      <c r="I16" s="115">
        <f>E16+F16+G16+H16</f>
        <v>1590647</v>
      </c>
      <c r="J16" s="30">
        <v>0</v>
      </c>
      <c r="K16" s="115">
        <f>I16+J16</f>
        <v>1590647</v>
      </c>
      <c r="L16" s="4" t="s">
        <v>88</v>
      </c>
      <c r="M16" s="20"/>
      <c r="P16" s="58"/>
      <c r="R16" s="4" t="s">
        <v>96</v>
      </c>
      <c r="S16" s="18">
        <v>186342</v>
      </c>
    </row>
    <row r="17" spans="1:21" x14ac:dyDescent="0.2">
      <c r="A17" s="100" t="s">
        <v>183</v>
      </c>
      <c r="B17" s="28"/>
      <c r="C17" s="28" t="s">
        <v>184</v>
      </c>
      <c r="D17" s="4" t="s">
        <v>202</v>
      </c>
      <c r="E17" s="29">
        <f>VLOOKUP(A17,'DEK Jan 2015'!$A$1:$I$252,9,FALSE)</f>
        <v>0</v>
      </c>
      <c r="F17" s="30">
        <v>0</v>
      </c>
      <c r="G17" s="144">
        <v>0</v>
      </c>
      <c r="H17" s="33">
        <v>0</v>
      </c>
      <c r="I17" s="115">
        <f>E17+F17+G17+H17</f>
        <v>0</v>
      </c>
      <c r="J17" s="30">
        <v>3189617.21</v>
      </c>
      <c r="K17" s="115">
        <f t="shared" ref="K17" si="1">I17+J17</f>
        <v>3189617.21</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0</v>
      </c>
      <c r="H19" s="29">
        <f t="shared" si="2"/>
        <v>0</v>
      </c>
      <c r="I19" s="117">
        <f t="shared" si="2"/>
        <v>2150324.81</v>
      </c>
      <c r="J19" s="29">
        <f t="shared" si="2"/>
        <v>3189617.21</v>
      </c>
      <c r="K19" s="117">
        <f t="shared" si="2"/>
        <v>5339942.0199999996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Jan 2015'!$A$1:$I$252,9,FALSE)</f>
        <v>1965647.6700000004</v>
      </c>
      <c r="F22" s="33">
        <v>0</v>
      </c>
      <c r="G22" s="130"/>
      <c r="H22" s="130">
        <v>-22206.17</v>
      </c>
      <c r="I22" s="115">
        <f>E22+F22+G22+H22</f>
        <v>1943441.5000000005</v>
      </c>
      <c r="J22" s="33">
        <v>-266474.03999999998</v>
      </c>
      <c r="K22" s="115">
        <f>I22+J22</f>
        <v>1676967.4600000004</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1965647.6700000004</v>
      </c>
      <c r="F24" s="29">
        <f t="shared" ref="F24:K24" si="3">SUM(F22:F23)</f>
        <v>0</v>
      </c>
      <c r="G24" s="29">
        <f t="shared" si="3"/>
        <v>0</v>
      </c>
      <c r="H24" s="29">
        <f t="shared" si="3"/>
        <v>-22206.17</v>
      </c>
      <c r="I24" s="117">
        <f t="shared" si="3"/>
        <v>1943441.5000000005</v>
      </c>
      <c r="J24" s="29">
        <f t="shared" si="3"/>
        <v>-266474.03999999998</v>
      </c>
      <c r="K24" s="117">
        <f t="shared" si="3"/>
        <v>1676967.4600000004</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Jan 2015'!$A$1:$I$252,9,FALSE)</f>
        <v>1509623</v>
      </c>
      <c r="F27" s="33">
        <v>0</v>
      </c>
      <c r="G27" s="33">
        <v>19543</v>
      </c>
      <c r="H27" s="29">
        <v>0</v>
      </c>
      <c r="I27" s="115">
        <f>E27+F27+G27+H27</f>
        <v>1529166</v>
      </c>
      <c r="J27" s="33">
        <v>0</v>
      </c>
      <c r="K27" s="115">
        <f>I27+J27</f>
        <v>1529166</v>
      </c>
      <c r="L27" s="4" t="s">
        <v>22</v>
      </c>
      <c r="M27" s="20"/>
      <c r="S27" s="28" t="s">
        <v>23</v>
      </c>
    </row>
    <row r="28" spans="1:21" ht="13.5" customHeight="1" x14ac:dyDescent="0.2">
      <c r="A28" s="100" t="s">
        <v>80</v>
      </c>
      <c r="B28" s="28"/>
      <c r="C28" s="28" t="s">
        <v>24</v>
      </c>
      <c r="D28" s="4" t="s">
        <v>204</v>
      </c>
      <c r="E28" s="29">
        <f>VLOOKUP(A28,'DEK Jan 2015'!$A$1:$I$252,9,FALSE)</f>
        <v>-557987.80000000005</v>
      </c>
      <c r="F28" s="33">
        <v>0</v>
      </c>
      <c r="G28" s="33">
        <v>10133</v>
      </c>
      <c r="H28" s="32">
        <v>0</v>
      </c>
      <c r="I28" s="115">
        <f>E28+F28+G28+H28</f>
        <v>-547854.80000000005</v>
      </c>
      <c r="J28" s="33">
        <v>0</v>
      </c>
      <c r="K28" s="115">
        <f>I28+J28</f>
        <v>-547854.80000000005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29676</v>
      </c>
      <c r="H30" s="130">
        <f t="shared" si="4"/>
        <v>0</v>
      </c>
      <c r="I30" s="115">
        <f t="shared" si="4"/>
        <v>981311.2</v>
      </c>
      <c r="J30" s="33">
        <f t="shared" si="4"/>
        <v>0</v>
      </c>
      <c r="K30" s="115">
        <f t="shared" si="4"/>
        <v>981311.2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Jan 2015'!$A$1:$I$252,9,FALSE)</f>
        <v>8863875.6500000004</v>
      </c>
      <c r="F52" s="33">
        <v>0</v>
      </c>
      <c r="G52" s="33">
        <v>-1041104.27</v>
      </c>
      <c r="H52" s="33">
        <v>0</v>
      </c>
      <c r="I52" s="115">
        <f>E52+F52+G52+H52</f>
        <v>7822771.3800000008</v>
      </c>
      <c r="J52" s="33">
        <v>-2923143.17</v>
      </c>
      <c r="K52" s="115">
        <f>I52+J52</f>
        <v>4899628.2100000009</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Jan 2015'!$A$1:$I$252,9,FALSE)</f>
        <v>5690225</v>
      </c>
      <c r="F53" s="33">
        <v>0</v>
      </c>
      <c r="G53" s="130">
        <v>0</v>
      </c>
      <c r="H53" s="130">
        <v>0</v>
      </c>
      <c r="I53" s="115">
        <f>E53+F53+G53+H53</f>
        <v>5690225</v>
      </c>
      <c r="J53" s="33">
        <v>0</v>
      </c>
      <c r="K53" s="115">
        <f>I53+J53</f>
        <v>5690225</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Jan 2015'!$A$1:$I$252,9,FALSE)</f>
        <v>1200000</v>
      </c>
      <c r="F59" s="33">
        <v>0</v>
      </c>
      <c r="G59" s="33">
        <v>0</v>
      </c>
      <c r="H59" s="33">
        <v>0</v>
      </c>
      <c r="I59" s="115">
        <f>E59+F59+G59+H59</f>
        <v>1200000</v>
      </c>
      <c r="J59" s="33">
        <v>0</v>
      </c>
      <c r="K59" s="115">
        <f>I59+J59</f>
        <v>1200000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Jan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Jan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Jan 2015'!$A$1:$I$252,9,FALSE)</f>
        <v>1200459.8400000001</v>
      </c>
      <c r="F67" s="172"/>
      <c r="G67" s="33">
        <v>1381631.33</v>
      </c>
      <c r="H67" s="172"/>
      <c r="I67" s="115">
        <f t="shared" si="5"/>
        <v>2582091.17</v>
      </c>
      <c r="J67" s="172"/>
      <c r="K67" s="115">
        <f t="shared" si="6"/>
        <v>2582091.17</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Jan 2015'!$A$1:$I$252,9,FALSE)</f>
        <v>228.93</v>
      </c>
      <c r="F69" s="174"/>
      <c r="G69" s="36">
        <v>0</v>
      </c>
      <c r="H69" s="36"/>
      <c r="I69" s="116">
        <f t="shared" si="5"/>
        <v>228.93</v>
      </c>
      <c r="J69" s="36"/>
      <c r="K69" s="116">
        <f t="shared" si="6"/>
        <v>228.93</v>
      </c>
      <c r="M69" s="20"/>
      <c r="S69" s="18"/>
    </row>
    <row r="70" spans="1:21" x14ac:dyDescent="0.2">
      <c r="B70" s="54"/>
      <c r="C70" s="28"/>
      <c r="E70" s="29">
        <f>SUM(E42:E69)</f>
        <v>21867473.419999998</v>
      </c>
      <c r="F70" s="29">
        <f>SUM(F39:F65)+F36</f>
        <v>0</v>
      </c>
      <c r="G70" s="29">
        <f>SUM(G39:G69)+G36</f>
        <v>340527.06000000006</v>
      </c>
      <c r="H70" s="29">
        <f>SUM(H39:H65)+H36</f>
        <v>0</v>
      </c>
      <c r="I70" s="117">
        <f>SUM(I39:I69)+I36</f>
        <v>22208000.480000004</v>
      </c>
      <c r="J70" s="29">
        <f>SUM(J39:J69)+J36</f>
        <v>-2923143.17</v>
      </c>
      <c r="K70" s="117">
        <f>SUM(K39:K69)+K36</f>
        <v>19284857.310000002</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Jan 2015'!$A$1:$I$252,9,FALSE)</f>
        <v>21496048.440000001</v>
      </c>
      <c r="F74" s="30">
        <v>0</v>
      </c>
      <c r="G74" s="130">
        <v>-333426</v>
      </c>
      <c r="H74" s="129">
        <v>0</v>
      </c>
      <c r="I74" s="115">
        <f>E74+F74+G74+H74</f>
        <v>21162622.440000001</v>
      </c>
      <c r="J74" s="30">
        <v>0</v>
      </c>
      <c r="K74" s="115">
        <f t="shared" ref="K74:K76" si="7">I74+J74</f>
        <v>21162622.440000001</v>
      </c>
      <c r="M74" s="20"/>
      <c r="P74" s="58"/>
      <c r="S74" s="18">
        <v>186801</v>
      </c>
    </row>
    <row r="75" spans="1:21" x14ac:dyDescent="0.2">
      <c r="A75" s="108" t="s">
        <v>171</v>
      </c>
      <c r="B75" s="28"/>
      <c r="C75" s="28" t="s">
        <v>122</v>
      </c>
      <c r="D75" s="4" t="s">
        <v>225</v>
      </c>
      <c r="E75" s="29">
        <f>VLOOKUP(A75,'DEK Jan 2015'!$A$1:$I$252,9,FALSE)</f>
        <v>3245961.55</v>
      </c>
      <c r="F75" s="30">
        <v>0</v>
      </c>
      <c r="G75" s="130">
        <v>-55172</v>
      </c>
      <c r="H75" s="129">
        <v>0</v>
      </c>
      <c r="I75" s="115">
        <f>E75+F75+G75+H75</f>
        <v>3190789.55</v>
      </c>
      <c r="J75" s="30">
        <v>0</v>
      </c>
      <c r="K75" s="115">
        <f t="shared" si="7"/>
        <v>3190789.55</v>
      </c>
      <c r="M75" s="20"/>
      <c r="P75" s="58"/>
      <c r="S75" s="18"/>
    </row>
    <row r="76" spans="1:21" x14ac:dyDescent="0.2">
      <c r="A76" s="108" t="s">
        <v>172</v>
      </c>
      <c r="B76" s="28"/>
      <c r="C76" s="28" t="s">
        <v>123</v>
      </c>
      <c r="D76" s="4" t="s">
        <v>226</v>
      </c>
      <c r="E76" s="29">
        <f>VLOOKUP(A76,'DEK Jan 2015'!$A$1:$I$252,9,FALSE)</f>
        <v>64035.05</v>
      </c>
      <c r="F76" s="30">
        <v>0</v>
      </c>
      <c r="G76" s="130">
        <v>-1588</v>
      </c>
      <c r="H76" s="129">
        <v>0</v>
      </c>
      <c r="I76" s="115">
        <f>E76+F76+G76+H76</f>
        <v>62447.05</v>
      </c>
      <c r="J76" s="30">
        <v>0</v>
      </c>
      <c r="K76" s="115">
        <f t="shared" si="7"/>
        <v>62447.05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-390186</v>
      </c>
      <c r="H78" s="29">
        <f t="shared" si="8"/>
        <v>0</v>
      </c>
      <c r="I78" s="117">
        <f t="shared" si="8"/>
        <v>24415859.040000003</v>
      </c>
      <c r="J78" s="29">
        <f t="shared" si="8"/>
        <v>0</v>
      </c>
      <c r="K78" s="117">
        <f t="shared" si="8"/>
        <v>24415859.040000003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51741126.140000001</v>
      </c>
      <c r="F84" s="133">
        <f t="shared" si="10"/>
        <v>0</v>
      </c>
      <c r="G84" s="133">
        <f t="shared" si="10"/>
        <v>-19982.939999999944</v>
      </c>
      <c r="H84" s="133">
        <f t="shared" si="10"/>
        <v>-22206.17</v>
      </c>
      <c r="I84" s="134">
        <f t="shared" si="10"/>
        <v>51698937.030000009</v>
      </c>
      <c r="J84" s="133">
        <f t="shared" si="10"/>
        <v>0</v>
      </c>
      <c r="K84" s="134">
        <f t="shared" si="10"/>
        <v>51698937.030000001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Jan 2015'!$A$1:$I$252,9,FALSE)</f>
        <v>4365025.1500000004</v>
      </c>
      <c r="F87" s="30">
        <v>0</v>
      </c>
      <c r="G87" s="33">
        <f>727334.84+39626.6</f>
        <v>766961.44</v>
      </c>
      <c r="H87" s="33">
        <v>-873033.92</v>
      </c>
      <c r="I87" s="115">
        <f t="shared" ref="I87:I92" si="11">E87+F87+G87+H87</f>
        <v>4258952.67</v>
      </c>
      <c r="J87" s="30">
        <v>0</v>
      </c>
      <c r="K87" s="115">
        <f t="shared" ref="K87:K92" si="12">I87+J87</f>
        <v>4258952.67</v>
      </c>
      <c r="L87" s="4" t="s">
        <v>22</v>
      </c>
      <c r="M87" s="33"/>
      <c r="N87" s="42"/>
      <c r="O87" s="42"/>
      <c r="S87" s="18">
        <v>191400</v>
      </c>
      <c r="T87" s="58"/>
    </row>
    <row r="88" spans="1:20" x14ac:dyDescent="0.2">
      <c r="A88" s="100" t="s">
        <v>115</v>
      </c>
      <c r="B88" s="18"/>
      <c r="C88" s="28" t="s">
        <v>53</v>
      </c>
      <c r="D88" s="4" t="s">
        <v>115</v>
      </c>
      <c r="E88" s="29">
        <f>VLOOKUP(A88,'DEK Jan 2015'!$A$1:$I$252,9,FALSE)</f>
        <v>-3518040</v>
      </c>
      <c r="F88" s="30">
        <v>0</v>
      </c>
      <c r="G88" s="33">
        <v>-1514743</v>
      </c>
      <c r="H88" s="33">
        <v>0</v>
      </c>
      <c r="I88" s="115">
        <f t="shared" si="11"/>
        <v>-5032783</v>
      </c>
      <c r="J88" s="30">
        <v>0</v>
      </c>
      <c r="K88" s="115">
        <f t="shared" si="12"/>
        <v>-5032783</v>
      </c>
      <c r="L88" s="4" t="s">
        <v>22</v>
      </c>
      <c r="M88" s="30"/>
      <c r="N88" s="42"/>
      <c r="O88" s="42"/>
      <c r="S88" s="18">
        <v>191800</v>
      </c>
      <c r="T88" s="58"/>
    </row>
    <row r="89" spans="1:20" ht="12.75" customHeight="1" x14ac:dyDescent="0.2">
      <c r="A89" s="100" t="s">
        <v>117</v>
      </c>
      <c r="B89" s="18"/>
      <c r="C89" s="28" t="s">
        <v>77</v>
      </c>
      <c r="D89" s="4" t="s">
        <v>117</v>
      </c>
      <c r="E89" s="29">
        <f>VLOOKUP(A89,'DEK Jan 2015'!$A$1:$I$252,9,FALSE)</f>
        <v>-611022</v>
      </c>
      <c r="F89" s="30">
        <v>0</v>
      </c>
      <c r="G89" s="30">
        <v>0</v>
      </c>
      <c r="H89" s="33">
        <v>0</v>
      </c>
      <c r="I89" s="115">
        <f t="shared" si="11"/>
        <v>-611022</v>
      </c>
      <c r="J89" s="30">
        <v>0</v>
      </c>
      <c r="K89" s="115">
        <f t="shared" si="12"/>
        <v>-611022</v>
      </c>
      <c r="M89" s="20"/>
      <c r="N89" s="42"/>
      <c r="O89" s="42"/>
      <c r="S89" s="18">
        <v>242995</v>
      </c>
      <c r="T89" s="58"/>
    </row>
    <row r="90" spans="1:20" x14ac:dyDescent="0.2">
      <c r="A90" s="100" t="s">
        <v>119</v>
      </c>
      <c r="B90" s="18"/>
      <c r="C90" s="28" t="s">
        <v>118</v>
      </c>
      <c r="D90" s="4" t="s">
        <v>119</v>
      </c>
      <c r="E90" s="29">
        <f>VLOOKUP(A90,'DEK Jan 2015'!$A$1:$I$252,9,FALSE)</f>
        <v>-592321.47000000032</v>
      </c>
      <c r="F90" s="30">
        <v>0</v>
      </c>
      <c r="G90" s="30">
        <v>-1487366.59</v>
      </c>
      <c r="H90" s="33">
        <v>0</v>
      </c>
      <c r="I90" s="115">
        <f t="shared" si="11"/>
        <v>-2079688.0600000005</v>
      </c>
      <c r="J90" s="30">
        <v>0</v>
      </c>
      <c r="K90" s="115">
        <f t="shared" si="12"/>
        <v>-2079688.0600000005</v>
      </c>
      <c r="M90" s="20"/>
      <c r="N90" s="42"/>
      <c r="O90" s="42"/>
      <c r="S90" s="18">
        <v>242997</v>
      </c>
      <c r="T90" s="58"/>
    </row>
    <row r="91" spans="1:20" x14ac:dyDescent="0.2">
      <c r="A91" s="100" t="s">
        <v>120</v>
      </c>
      <c r="B91" s="18"/>
      <c r="C91" s="28" t="s">
        <v>54</v>
      </c>
      <c r="D91" s="4" t="s">
        <v>120</v>
      </c>
      <c r="E91" s="29">
        <f>VLOOKUP(A91,'DEK Jan 2015'!$A$1:$I$252,9,FALSE)</f>
        <v>54375.11000000003</v>
      </c>
      <c r="F91" s="33">
        <v>0</v>
      </c>
      <c r="G91" s="33">
        <v>-39626.6</v>
      </c>
      <c r="H91" s="33">
        <v>-2071.1</v>
      </c>
      <c r="I91" s="115">
        <f t="shared" si="11"/>
        <v>12677.410000000031</v>
      </c>
      <c r="J91" s="33">
        <v>0</v>
      </c>
      <c r="K91" s="115">
        <f t="shared" si="12"/>
        <v>12677.410000000031</v>
      </c>
      <c r="L91" s="4" t="s">
        <v>22</v>
      </c>
      <c r="M91" s="42"/>
      <c r="N91" s="42"/>
      <c r="O91" s="42"/>
      <c r="S91" s="18">
        <v>253130</v>
      </c>
      <c r="T91" s="58"/>
    </row>
    <row r="92" spans="1:20" x14ac:dyDescent="0.2">
      <c r="A92" s="100" t="s">
        <v>156</v>
      </c>
      <c r="B92" s="18"/>
      <c r="C92" s="28" t="s">
        <v>116</v>
      </c>
      <c r="D92" s="4" t="s">
        <v>211</v>
      </c>
      <c r="E92" s="29">
        <f>VLOOKUP(A92,'DEK Jan 2015'!$A$1:$I$252,9,FALSE)</f>
        <v>-657726.6100000001</v>
      </c>
      <c r="F92" s="33"/>
      <c r="G92" s="33">
        <v>-70240.83</v>
      </c>
      <c r="H92" s="33">
        <v>0</v>
      </c>
      <c r="I92" s="115">
        <f t="shared" si="11"/>
        <v>-727967.44000000006</v>
      </c>
      <c r="J92" s="30">
        <v>0</v>
      </c>
      <c r="K92" s="115">
        <f t="shared" si="12"/>
        <v>-727967.44000000006</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-959709.82000000007</v>
      </c>
      <c r="F94" s="33">
        <f t="shared" si="13"/>
        <v>0</v>
      </c>
      <c r="G94" s="33">
        <f t="shared" si="13"/>
        <v>-2345015.5800000005</v>
      </c>
      <c r="H94" s="33">
        <f t="shared" si="13"/>
        <v>-875105.02</v>
      </c>
      <c r="I94" s="115">
        <f t="shared" si="13"/>
        <v>-4179830.4200000004</v>
      </c>
      <c r="J94" s="33">
        <f t="shared" si="13"/>
        <v>0</v>
      </c>
      <c r="K94" s="115">
        <f t="shared" si="13"/>
        <v>-4179830.4200000004</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Jan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Jan 2015'!$A$1:$I$252,9,FALSE)</f>
        <v>-3835078.63</v>
      </c>
      <c r="F102" s="30">
        <v>0</v>
      </c>
      <c r="G102" s="130">
        <v>66056</v>
      </c>
      <c r="H102" s="130">
        <v>0</v>
      </c>
      <c r="I102" s="125">
        <f>E102+G102+H102+F102</f>
        <v>-3769022.63</v>
      </c>
      <c r="J102" s="91">
        <v>0</v>
      </c>
      <c r="K102" s="115">
        <f>I102+J102</f>
        <v>-3769022.63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Jan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Jan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Jan 2015'!$A$1:$I$252,9,FALSE)</f>
        <v>-18417.900000000005</v>
      </c>
      <c r="F107" s="30">
        <v>0</v>
      </c>
      <c r="G107" s="130">
        <v>0</v>
      </c>
      <c r="H107" s="130">
        <v>0</v>
      </c>
      <c r="I107" s="115">
        <f>E107+F107+G107+H107</f>
        <v>-18417.900000000005</v>
      </c>
      <c r="J107" s="30">
        <v>0</v>
      </c>
      <c r="K107" s="115">
        <f t="shared" si="15"/>
        <v>-18417.900000000005</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-18417.900000000005</v>
      </c>
      <c r="F109" s="30">
        <f t="shared" ref="F109:K109" si="17">SUM(F105:F108)</f>
        <v>0</v>
      </c>
      <c r="G109" s="30">
        <f t="shared" si="17"/>
        <v>0</v>
      </c>
      <c r="H109" s="30">
        <f t="shared" si="17"/>
        <v>0</v>
      </c>
      <c r="I109" s="115">
        <f t="shared" si="17"/>
        <v>-18417.900000000005</v>
      </c>
      <c r="J109" s="30">
        <f t="shared" si="17"/>
        <v>0</v>
      </c>
      <c r="K109" s="115">
        <f t="shared" si="17"/>
        <v>-18417.900000000005</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Jan 2015'!$A$1:$I$252,9,FALSE)</f>
        <v>-16561079.290000003</v>
      </c>
      <c r="F111" s="30">
        <v>0</v>
      </c>
      <c r="G111" s="129">
        <v>-429271.91</v>
      </c>
      <c r="H111" s="129">
        <v>0</v>
      </c>
      <c r="I111" s="115">
        <f t="shared" ref="I111:I116" si="18">E111+F111+G111+H111</f>
        <v>-16990351.200000003</v>
      </c>
      <c r="J111" s="30">
        <v>0</v>
      </c>
      <c r="K111" s="115">
        <f t="shared" ref="K111:K116" si="19">I111+J111</f>
        <v>-16990351.200000003</v>
      </c>
      <c r="L111" s="4" t="s">
        <v>43</v>
      </c>
      <c r="M111" s="20"/>
      <c r="N111" s="42"/>
      <c r="O111" s="42"/>
      <c r="Q111" s="175">
        <v>75086</v>
      </c>
      <c r="R111" s="58" t="s">
        <v>44</v>
      </c>
      <c r="S111" s="18">
        <v>108201</v>
      </c>
      <c r="T111" s="58"/>
    </row>
    <row r="112" spans="1:23" x14ac:dyDescent="0.2">
      <c r="A112" s="100" t="s">
        <v>166</v>
      </c>
      <c r="B112" s="18"/>
      <c r="C112" s="28" t="s">
        <v>45</v>
      </c>
      <c r="D112" s="4" t="s">
        <v>198</v>
      </c>
      <c r="E112" s="29">
        <f>VLOOKUP(A112,'DEK Jan 2015'!$A$1:$I$252,9,FALSE)</f>
        <v>-48513426.840000004</v>
      </c>
      <c r="F112" s="30">
        <v>0</v>
      </c>
      <c r="G112" s="129">
        <v>-49773.39</v>
      </c>
      <c r="H112" s="129">
        <v>0</v>
      </c>
      <c r="I112" s="115">
        <f t="shared" si="18"/>
        <v>-48563200.230000004</v>
      </c>
      <c r="J112" s="30">
        <v>0</v>
      </c>
      <c r="K112" s="115">
        <f t="shared" si="19"/>
        <v>-48563200.230000004</v>
      </c>
      <c r="L112" s="4" t="s">
        <v>43</v>
      </c>
      <c r="M112" s="20"/>
      <c r="N112" s="42"/>
      <c r="O112" s="42"/>
      <c r="R112" s="58" t="s">
        <v>44</v>
      </c>
      <c r="S112" s="18">
        <v>108301</v>
      </c>
      <c r="T112" s="58"/>
    </row>
    <row r="113" spans="1:22" x14ac:dyDescent="0.2">
      <c r="A113" s="100" t="s">
        <v>167</v>
      </c>
      <c r="B113" s="18"/>
      <c r="C113" s="28" t="s">
        <v>46</v>
      </c>
      <c r="D113" s="4" t="s">
        <v>199</v>
      </c>
      <c r="E113" s="29">
        <f>VLOOKUP(A113,'DEK Jan 2015'!$A$1:$I$252,9,FALSE)</f>
        <v>11322535.469999999</v>
      </c>
      <c r="F113" s="30">
        <v>0</v>
      </c>
      <c r="G113" s="129">
        <v>102262</v>
      </c>
      <c r="H113" s="129">
        <v>0</v>
      </c>
      <c r="I113" s="115">
        <f t="shared" si="18"/>
        <v>11424797.469999999</v>
      </c>
      <c r="J113" s="30">
        <v>0</v>
      </c>
      <c r="K113" s="115">
        <f>I113+J113</f>
        <v>11424797.469999999</v>
      </c>
      <c r="L113" s="4" t="s">
        <v>43</v>
      </c>
      <c r="M113" s="20"/>
      <c r="N113" s="42"/>
      <c r="O113" s="42"/>
      <c r="S113" s="18">
        <v>108410</v>
      </c>
      <c r="T113" s="58"/>
    </row>
    <row r="114" spans="1:22" x14ac:dyDescent="0.2">
      <c r="A114" s="100" t="s">
        <v>168</v>
      </c>
      <c r="B114" s="18"/>
      <c r="C114" s="28" t="s">
        <v>74</v>
      </c>
      <c r="D114" s="4" t="s">
        <v>217</v>
      </c>
      <c r="E114" s="29">
        <f>VLOOKUP(A114,'DEK Jan 2015'!$A$1:$I$252,9,FALSE)</f>
        <v>1203963.69</v>
      </c>
      <c r="F114" s="30">
        <v>0</v>
      </c>
      <c r="G114" s="129">
        <v>234956.5</v>
      </c>
      <c r="H114" s="129">
        <v>0</v>
      </c>
      <c r="I114" s="115">
        <f t="shared" si="18"/>
        <v>1438920.19</v>
      </c>
      <c r="J114" s="30">
        <v>0</v>
      </c>
      <c r="K114" s="115">
        <f>I114+J114</f>
        <v>1438920.19</v>
      </c>
      <c r="M114" s="20"/>
      <c r="N114" s="42"/>
      <c r="O114" s="42"/>
      <c r="Q114" s="4" t="s">
        <v>50</v>
      </c>
      <c r="R114" s="4" t="s">
        <v>51</v>
      </c>
      <c r="S114" s="18">
        <v>182303</v>
      </c>
      <c r="T114" s="58"/>
    </row>
    <row r="115" spans="1:22" x14ac:dyDescent="0.2">
      <c r="A115" s="100" t="s">
        <v>169</v>
      </c>
      <c r="B115" s="18"/>
      <c r="C115" s="28" t="s">
        <v>49</v>
      </c>
      <c r="D115" s="4" t="s">
        <v>218</v>
      </c>
      <c r="E115" s="29">
        <f>VLOOKUP(A115,'DEK Jan 2015'!$A$1:$I$252,9,FALSE)</f>
        <v>4075953.9100000015</v>
      </c>
      <c r="F115" s="30">
        <v>0</v>
      </c>
      <c r="G115" s="129">
        <v>20296.66</v>
      </c>
      <c r="H115" s="129">
        <v>0</v>
      </c>
      <c r="I115" s="115">
        <f t="shared" si="18"/>
        <v>4096250.5700000017</v>
      </c>
      <c r="J115" s="30">
        <v>0</v>
      </c>
      <c r="K115" s="115">
        <f t="shared" si="19"/>
        <v>4096250.5700000017</v>
      </c>
      <c r="M115" s="20"/>
      <c r="N115" s="42"/>
      <c r="O115" s="42"/>
      <c r="Q115" s="4" t="s">
        <v>50</v>
      </c>
      <c r="S115" s="18">
        <v>182304</v>
      </c>
      <c r="T115" s="58"/>
    </row>
    <row r="116" spans="1:22" x14ac:dyDescent="0.2">
      <c r="A116" s="100" t="s">
        <v>170</v>
      </c>
      <c r="B116" s="18"/>
      <c r="C116" s="28" t="s">
        <v>42</v>
      </c>
      <c r="D116" s="4" t="s">
        <v>200</v>
      </c>
      <c r="E116" s="29">
        <f>VLOOKUP(A116,'DEK Jan 2015'!$A$1:$I$252,9,FALSE)</f>
        <v>-82787.320000000007</v>
      </c>
      <c r="F116" s="30">
        <v>0</v>
      </c>
      <c r="G116" s="129">
        <v>-5888.56</v>
      </c>
      <c r="H116" s="129">
        <v>0</v>
      </c>
      <c r="I116" s="115">
        <f t="shared" si="18"/>
        <v>-88675.88</v>
      </c>
      <c r="J116" s="30">
        <v>0</v>
      </c>
      <c r="K116" s="115">
        <f t="shared" si="19"/>
        <v>-88675.88</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-48554840.38000001</v>
      </c>
      <c r="F118" s="33">
        <f t="shared" si="20"/>
        <v>0</v>
      </c>
      <c r="G118" s="33">
        <f t="shared" si="20"/>
        <v>-127418.69999999998</v>
      </c>
      <c r="H118" s="33">
        <f t="shared" si="20"/>
        <v>0</v>
      </c>
      <c r="I118" s="115">
        <f t="shared" si="20"/>
        <v>-48682259.080000013</v>
      </c>
      <c r="J118" s="33">
        <f t="shared" si="20"/>
        <v>0</v>
      </c>
      <c r="K118" s="115">
        <f t="shared" si="20"/>
        <v>-48682259.080000013</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-53368046.730000012</v>
      </c>
      <c r="F120" s="133">
        <f t="shared" ref="F120:H120" si="21">+F94+F102+F109+F118+F99</f>
        <v>0</v>
      </c>
      <c r="G120" s="133">
        <f t="shared" si="21"/>
        <v>-2406378.2800000007</v>
      </c>
      <c r="H120" s="133">
        <f t="shared" si="21"/>
        <v>-875105.02</v>
      </c>
      <c r="I120" s="134">
        <f>+I94+I102+I109+I118+I99</f>
        <v>-56649530.030000016</v>
      </c>
      <c r="J120" s="133">
        <f>+J94+J102+J109+J118+J99</f>
        <v>0</v>
      </c>
      <c r="K120" s="134">
        <f>+K94+K102+K109+K118+K99</f>
        <v>-56649530.030000016</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-1626920.590000011</v>
      </c>
      <c r="F122" s="137">
        <f>F120+F84</f>
        <v>0</v>
      </c>
      <c r="G122" s="137">
        <f>G120+G84</f>
        <v>-2426361.2200000007</v>
      </c>
      <c r="H122" s="137">
        <f>H120+H84</f>
        <v>-897311.19000000006</v>
      </c>
      <c r="I122" s="138">
        <f>I84+I120</f>
        <v>-4950593.0000000075</v>
      </c>
      <c r="J122" s="137">
        <f>J120+J84</f>
        <v>0</v>
      </c>
      <c r="K122" s="138">
        <f>K84+K120</f>
        <v>-4950593.0000000149</v>
      </c>
      <c r="L122" s="50">
        <v>0</v>
      </c>
      <c r="M122" s="70"/>
      <c r="N122" s="70"/>
      <c r="O122" s="70"/>
      <c r="P122" s="50"/>
      <c r="Q122" s="50"/>
      <c r="R122" s="50"/>
      <c r="S122" s="18"/>
      <c r="T122" s="29">
        <f>+G122+H122+F122</f>
        <v>-3323672.4100000006</v>
      </c>
      <c r="U122" s="19">
        <v>13111056.41</v>
      </c>
      <c r="V122" s="29">
        <f>+T122-U122</f>
        <v>-16434728.82</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1462976.97</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-3323672.4100000006</v>
      </c>
      <c r="H125" s="50"/>
      <c r="I125" s="50"/>
      <c r="J125" s="50"/>
      <c r="K125" s="50"/>
      <c r="M125" s="20"/>
      <c r="S125" s="18"/>
    </row>
    <row r="126" spans="1:22" ht="12.75" hidden="1" customHeight="1" x14ac:dyDescent="0.2">
      <c r="A126" s="107" t="s">
        <v>58</v>
      </c>
      <c r="B126" s="18"/>
      <c r="C126" s="71"/>
      <c r="D126" s="72" t="s">
        <v>58</v>
      </c>
      <c r="E126" s="73"/>
      <c r="F126" s="50"/>
      <c r="G126" s="145">
        <f>G122+G124</f>
        <v>-963384.2500000007</v>
      </c>
      <c r="H126" s="50">
        <f>H122+H124</f>
        <v>-875105.02</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-1838489.2700000007</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2150324.81</v>
      </c>
      <c r="J133" s="84">
        <f>+J19</f>
        <v>3189617.21</v>
      </c>
      <c r="K133" s="84">
        <f>+K19</f>
        <v>5339942.0199999996</v>
      </c>
      <c r="M133" s="20"/>
      <c r="S133" s="18"/>
    </row>
    <row r="134" spans="1:19" hidden="1" x14ac:dyDescent="0.2">
      <c r="A134" s="109" t="s">
        <v>141</v>
      </c>
      <c r="B134" s="18"/>
      <c r="C134" s="18"/>
      <c r="D134" s="82" t="s">
        <v>141</v>
      </c>
      <c r="E134" s="83">
        <f>+E24</f>
        <v>1965647.6700000004</v>
      </c>
      <c r="F134" s="32">
        <f t="shared" si="22"/>
        <v>0</v>
      </c>
      <c r="G134" s="165"/>
      <c r="H134" s="83"/>
      <c r="I134" s="84">
        <f>+I24</f>
        <v>1943441.5000000005</v>
      </c>
      <c r="J134" s="84">
        <f>+J24</f>
        <v>-266474.03999999998</v>
      </c>
      <c r="K134" s="84">
        <f>+K24</f>
        <v>1676967.4600000004</v>
      </c>
      <c r="M134" s="20"/>
      <c r="S134" s="18"/>
    </row>
    <row r="135" spans="1:19" hidden="1" x14ac:dyDescent="0.2">
      <c r="A135" s="109" t="s">
        <v>61</v>
      </c>
      <c r="B135" s="18"/>
      <c r="C135" s="18"/>
      <c r="D135" s="82" t="s">
        <v>61</v>
      </c>
      <c r="E135" s="32">
        <f>+E30</f>
        <v>951635.2</v>
      </c>
      <c r="F135" s="32">
        <f t="shared" si="22"/>
        <v>0</v>
      </c>
      <c r="G135" s="157"/>
      <c r="H135" s="32"/>
      <c r="I135" s="84">
        <f>+I30</f>
        <v>981311.2</v>
      </c>
      <c r="J135" s="84">
        <f>+J30</f>
        <v>0</v>
      </c>
      <c r="K135" s="84">
        <f>+K30</f>
        <v>981311.2</v>
      </c>
      <c r="M135" s="20"/>
      <c r="S135" s="18"/>
    </row>
    <row r="136" spans="1:19" hidden="1" x14ac:dyDescent="0.2">
      <c r="A136" s="109" t="s">
        <v>143</v>
      </c>
      <c r="B136" s="18"/>
      <c r="C136" s="18"/>
      <c r="D136" s="82" t="s">
        <v>143</v>
      </c>
      <c r="E136" s="32">
        <f>+E70</f>
        <v>21867473.419999998</v>
      </c>
      <c r="F136" s="32">
        <f t="shared" si="22"/>
        <v>0</v>
      </c>
      <c r="G136" s="157"/>
      <c r="H136" s="32"/>
      <c r="I136" s="84">
        <f>+I70</f>
        <v>22208000.480000004</v>
      </c>
      <c r="J136" s="84">
        <f>+J70</f>
        <v>-2923143.17</v>
      </c>
      <c r="K136" s="84">
        <f>+K70</f>
        <v>19284857.310000002</v>
      </c>
      <c r="M136" s="20"/>
      <c r="S136" s="18"/>
    </row>
    <row r="137" spans="1:19" hidden="1" x14ac:dyDescent="0.2">
      <c r="A137" s="109" t="s">
        <v>151</v>
      </c>
      <c r="B137" s="18"/>
      <c r="C137" s="18"/>
      <c r="D137" s="82" t="s">
        <v>151</v>
      </c>
      <c r="E137" s="32">
        <f>+E78</f>
        <v>24806045.040000003</v>
      </c>
      <c r="F137" s="32">
        <f t="shared" si="22"/>
        <v>0</v>
      </c>
      <c r="G137" s="157"/>
      <c r="H137" s="32"/>
      <c r="I137" s="84">
        <f>+I78</f>
        <v>24415859.040000003</v>
      </c>
      <c r="J137" s="84">
        <f>+J78</f>
        <v>0</v>
      </c>
      <c r="K137" s="84">
        <f>+K78</f>
        <v>24415859.040000003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-959709.82000000007</v>
      </c>
      <c r="F139" s="32" t="e">
        <f>+F88+#REF!</f>
        <v>#REF!</v>
      </c>
      <c r="G139" s="157"/>
      <c r="H139" s="32"/>
      <c r="I139" s="84">
        <f>+I94</f>
        <v>-4179830.4200000004</v>
      </c>
      <c r="J139" s="84">
        <f>+J94</f>
        <v>0</v>
      </c>
      <c r="K139" s="84">
        <f>+K94</f>
        <v>-4179830.4200000004</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-3769022.63</v>
      </c>
      <c r="J141" s="84">
        <f>+J102</f>
        <v>0</v>
      </c>
      <c r="K141" s="84">
        <f>+K102</f>
        <v>-3769022.63</v>
      </c>
      <c r="M141" s="20"/>
      <c r="S141" s="18"/>
    </row>
    <row r="142" spans="1:19" hidden="1" x14ac:dyDescent="0.2">
      <c r="A142" s="109" t="s">
        <v>153</v>
      </c>
      <c r="B142" s="18"/>
      <c r="C142" s="18"/>
      <c r="D142" s="82" t="s">
        <v>153</v>
      </c>
      <c r="E142" s="32">
        <f>+E109</f>
        <v>-18417.900000000005</v>
      </c>
      <c r="F142" s="32" t="e">
        <f>+#REF!+F89</f>
        <v>#REF!</v>
      </c>
      <c r="G142" s="157"/>
      <c r="H142" s="32"/>
      <c r="I142" s="84">
        <f>+I109</f>
        <v>-18417.900000000005</v>
      </c>
      <c r="J142" s="84">
        <f>+J109</f>
        <v>0</v>
      </c>
      <c r="K142" s="84">
        <f>+K109</f>
        <v>-18417.900000000005</v>
      </c>
      <c r="M142" s="20"/>
      <c r="S142" s="18"/>
    </row>
    <row r="143" spans="1:19" hidden="1" x14ac:dyDescent="0.2">
      <c r="A143" s="109" t="s">
        <v>155</v>
      </c>
      <c r="B143" s="18"/>
      <c r="C143" s="18"/>
      <c r="D143" s="82" t="s">
        <v>155</v>
      </c>
      <c r="E143" s="32">
        <f>+E118</f>
        <v>-48554840.38000001</v>
      </c>
      <c r="F143" s="32">
        <f t="shared" ref="F143" si="23">+F89+F90</f>
        <v>0</v>
      </c>
      <c r="G143" s="157"/>
      <c r="H143" s="32"/>
      <c r="I143" s="84">
        <f>+I118</f>
        <v>-48682259.080000013</v>
      </c>
      <c r="J143" s="84">
        <f>+J118</f>
        <v>0</v>
      </c>
      <c r="K143" s="84">
        <f>+K118</f>
        <v>-48682259.080000013</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-1626920.590000011</v>
      </c>
      <c r="F145" s="88" t="e">
        <f>SUM(F135:F144)</f>
        <v>#REF!</v>
      </c>
      <c r="G145" s="166"/>
      <c r="H145" s="88"/>
      <c r="I145" s="89">
        <f>SUM(I131:I144)</f>
        <v>-4950593.0000000149</v>
      </c>
      <c r="J145" s="89">
        <f>SUM(J131:J144)</f>
        <v>0</v>
      </c>
      <c r="K145" s="89">
        <f>SUM(K131:K144)</f>
        <v>-4950593.0000000149</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-7.4505805969238281E-9</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-2345015.58</v>
      </c>
      <c r="H153" s="19">
        <f>+H88+H89+H90+H91+H87</f>
        <v>-875105.02</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-1381631.3299999994</v>
      </c>
      <c r="H155" s="110">
        <f>+H151+H152+H153-H126</f>
        <v>0</v>
      </c>
      <c r="I155" s="19"/>
      <c r="J155" s="19"/>
      <c r="K155" s="19"/>
      <c r="M155" s="20"/>
      <c r="S155" s="18"/>
    </row>
    <row r="156" spans="1:19" hidden="1" x14ac:dyDescent="0.2">
      <c r="B156" s="18"/>
      <c r="C156" s="18"/>
      <c r="F156" s="19"/>
      <c r="H156" s="29">
        <f>+H152+H153+H151+G151+G152+G153</f>
        <v>-3220120.6</v>
      </c>
      <c r="I156" s="19"/>
      <c r="J156" s="19"/>
      <c r="K156" s="19"/>
      <c r="M156" s="20"/>
      <c r="S156" s="18"/>
    </row>
    <row r="157" spans="1:19" hidden="1" x14ac:dyDescent="0.2">
      <c r="B157" s="18"/>
      <c r="C157" s="18"/>
      <c r="F157" s="19"/>
      <c r="G157" s="148"/>
      <c r="H157" s="29">
        <f>+H156-G126-H126</f>
        <v>-1381631.3299999996</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8"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82" zoomScale="80" zoomScaleNormal="80" workbookViewId="0">
      <selection activeCell="K90" sqref="K9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8" t="s">
        <v>66</v>
      </c>
    </row>
    <row r="4" spans="1:22" x14ac:dyDescent="0.2">
      <c r="A4" s="99"/>
      <c r="B4" s="7"/>
      <c r="C4" s="3"/>
      <c r="D4" s="3"/>
      <c r="E4" s="212"/>
      <c r="F4" s="8"/>
      <c r="G4" s="215"/>
      <c r="H4" s="216"/>
      <c r="I4" s="202"/>
      <c r="J4" s="202"/>
      <c r="K4" s="202"/>
      <c r="M4" s="10"/>
      <c r="P4" s="238" t="s">
        <v>1</v>
      </c>
    </row>
    <row r="5" spans="1:22" x14ac:dyDescent="0.2">
      <c r="E5" s="217" t="s">
        <v>208</v>
      </c>
      <c r="F5" s="238" t="s">
        <v>3</v>
      </c>
      <c r="G5" s="238" t="s">
        <v>4</v>
      </c>
      <c r="H5" s="238"/>
      <c r="I5" s="204" t="s">
        <v>208</v>
      </c>
      <c r="J5" s="13" t="s">
        <v>180</v>
      </c>
      <c r="K5" s="204" t="s">
        <v>209</v>
      </c>
      <c r="L5" s="238" t="s">
        <v>5</v>
      </c>
      <c r="M5" s="11" t="s">
        <v>6</v>
      </c>
      <c r="N5" s="11" t="s">
        <v>0</v>
      </c>
      <c r="O5" s="11" t="s">
        <v>8</v>
      </c>
      <c r="P5" s="238" t="s">
        <v>9</v>
      </c>
      <c r="Q5" s="576" t="s">
        <v>10</v>
      </c>
      <c r="R5" s="576"/>
      <c r="U5" s="12" t="s">
        <v>11</v>
      </c>
    </row>
    <row r="6" spans="1:22" x14ac:dyDescent="0.2">
      <c r="E6" s="218">
        <v>42429</v>
      </c>
      <c r="F6" s="13" t="s">
        <v>12</v>
      </c>
      <c r="G6" s="14" t="s">
        <v>13</v>
      </c>
      <c r="H6" s="14" t="s">
        <v>8</v>
      </c>
      <c r="I6" s="205">
        <v>42460</v>
      </c>
      <c r="J6" s="13" t="s">
        <v>210</v>
      </c>
      <c r="K6" s="205">
        <f>I6</f>
        <v>42460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Feb 2016'!$A$1:$I$252,9,FALSE)</f>
        <v>107954.22999999885</v>
      </c>
      <c r="F9" s="30">
        <v>0</v>
      </c>
      <c r="G9" s="33">
        <v>-44610.31</v>
      </c>
      <c r="H9" s="30">
        <v>0</v>
      </c>
      <c r="I9" s="115">
        <f>E9+F9+G9+H9</f>
        <v>63343.919999998849</v>
      </c>
      <c r="J9" s="30">
        <v>0</v>
      </c>
      <c r="K9" s="115">
        <f>I9+J9</f>
        <v>63343.919999998849</v>
      </c>
      <c r="L9" s="210" t="s">
        <v>274</v>
      </c>
      <c r="M9" s="20"/>
      <c r="P9" s="31"/>
      <c r="S9" s="18">
        <v>142982</v>
      </c>
    </row>
    <row r="10" spans="1:22" x14ac:dyDescent="0.2">
      <c r="A10" s="100" t="s">
        <v>109</v>
      </c>
      <c r="B10" s="28"/>
      <c r="C10" s="28" t="s">
        <v>34</v>
      </c>
      <c r="D10" s="4" t="s">
        <v>109</v>
      </c>
      <c r="E10" s="32">
        <f>VLOOKUP(A10,'DEK Feb 2016'!$A$1:$I$252,9,FALSE)</f>
        <v>0</v>
      </c>
      <c r="F10" s="33">
        <v>0</v>
      </c>
      <c r="G10" s="33">
        <v>1768279.02</v>
      </c>
      <c r="H10" s="33">
        <v>0</v>
      </c>
      <c r="I10" s="115">
        <f>E10+F10+G10+H10</f>
        <v>1768279.02</v>
      </c>
      <c r="J10" s="30">
        <v>0</v>
      </c>
      <c r="K10" s="115">
        <f>I10+J10</f>
        <v>1768279.02</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107954.22999999885</v>
      </c>
      <c r="F12" s="29">
        <f t="shared" ref="F12:J12" si="0">SUM(F9:F10)</f>
        <v>0</v>
      </c>
      <c r="G12" s="29">
        <f t="shared" si="0"/>
        <v>1723668.71</v>
      </c>
      <c r="H12" s="29">
        <f t="shared" si="0"/>
        <v>0</v>
      </c>
      <c r="I12" s="117">
        <f t="shared" si="0"/>
        <v>1831622.9399999988</v>
      </c>
      <c r="J12" s="29">
        <f t="shared" si="0"/>
        <v>0</v>
      </c>
      <c r="K12" s="117">
        <f>SUM(K9:K10)</f>
        <v>1831622.9399999988</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Feb 2016'!$A$1:$I$252,9,FALSE)</f>
        <v>486010.81000000006</v>
      </c>
      <c r="F15" s="30">
        <v>0</v>
      </c>
      <c r="G15" s="33">
        <v>269549</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Feb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2702334.82</v>
      </c>
      <c r="K17" s="115">
        <f t="shared" ref="K17" si="1">I17+J17</f>
        <v>2702334.82</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269549</v>
      </c>
      <c r="H19" s="29">
        <f t="shared" si="2"/>
        <v>0</v>
      </c>
      <c r="I19" s="123">
        <f t="shared" si="2"/>
        <v>2195705.81</v>
      </c>
      <c r="J19" s="49">
        <f t="shared" si="2"/>
        <v>2702334.82</v>
      </c>
      <c r="K19" s="123">
        <f t="shared" si="2"/>
        <v>4898040.63</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Feb 2016'!$A$1:$I$252,9,FALSE)</f>
        <v>1676967.4700000014</v>
      </c>
      <c r="F22" s="33">
        <v>0</v>
      </c>
      <c r="G22" s="33">
        <v>0</v>
      </c>
      <c r="H22" s="33">
        <v>-22206.15</v>
      </c>
      <c r="I22" s="115">
        <f>E22+F22+G22+H22</f>
        <v>1654761.3200000015</v>
      </c>
      <c r="J22" s="33">
        <v>-266473.8</v>
      </c>
      <c r="K22" s="115">
        <f>I22+J22</f>
        <v>1388287.5200000014</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1676967.4700000014</v>
      </c>
      <c r="F24" s="29">
        <f t="shared" ref="F24:K24" si="3">SUM(F22:F23)</f>
        <v>0</v>
      </c>
      <c r="G24" s="29">
        <f t="shared" si="3"/>
        <v>0</v>
      </c>
      <c r="H24" s="29">
        <f t="shared" si="3"/>
        <v>-22206.15</v>
      </c>
      <c r="I24" s="123">
        <f t="shared" si="3"/>
        <v>1654761.3200000015</v>
      </c>
      <c r="J24" s="49">
        <f t="shared" si="3"/>
        <v>-266473.8</v>
      </c>
      <c r="K24" s="123">
        <f t="shared" si="3"/>
        <v>1388287.5200000014</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Feb 2016'!$A$1:$I$252,9,FALSE)</f>
        <v>2013004</v>
      </c>
      <c r="F27" s="33">
        <v>0</v>
      </c>
      <c r="G27" s="33">
        <v>23872</v>
      </c>
      <c r="H27" s="29">
        <v>0</v>
      </c>
      <c r="I27" s="115">
        <f>E27+F27+G27+H27</f>
        <v>2036876</v>
      </c>
      <c r="J27" s="33">
        <v>0</v>
      </c>
      <c r="K27" s="115">
        <f>I27+J27</f>
        <v>2036876</v>
      </c>
      <c r="L27" s="210" t="s">
        <v>22</v>
      </c>
      <c r="M27" s="226"/>
      <c r="S27" s="28" t="s">
        <v>23</v>
      </c>
    </row>
    <row r="28" spans="1:21" ht="13.5" customHeight="1" x14ac:dyDescent="0.2">
      <c r="A28" s="100" t="s">
        <v>80</v>
      </c>
      <c r="B28" s="28"/>
      <c r="C28" s="28" t="s">
        <v>24</v>
      </c>
      <c r="D28" s="4" t="s">
        <v>204</v>
      </c>
      <c r="E28" s="32">
        <f>VLOOKUP(A28,'DEK Feb 2016'!$A$1:$I$252,9,FALSE)</f>
        <v>0.20000000018626451</v>
      </c>
      <c r="F28" s="33">
        <v>0</v>
      </c>
      <c r="G28" s="33">
        <v>-483085</v>
      </c>
      <c r="H28" s="32">
        <v>0</v>
      </c>
      <c r="I28" s="115">
        <f>E28+F28+G28+H28</f>
        <v>-483084.79999999981</v>
      </c>
      <c r="J28" s="33">
        <v>0</v>
      </c>
      <c r="K28" s="115">
        <f>I28+J28</f>
        <v>-483084.79999999981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2013004.2000000002</v>
      </c>
      <c r="F30" s="44">
        <f t="shared" ref="F30:K30" si="4">SUM(F27:F28)</f>
        <v>0</v>
      </c>
      <c r="G30" s="33">
        <f t="shared" si="4"/>
        <v>-459213</v>
      </c>
      <c r="H30" s="33">
        <f t="shared" si="4"/>
        <v>0</v>
      </c>
      <c r="I30" s="123">
        <f t="shared" si="4"/>
        <v>1553791.2000000002</v>
      </c>
      <c r="J30" s="33">
        <f t="shared" si="4"/>
        <v>0</v>
      </c>
      <c r="K30" s="123">
        <f t="shared" si="4"/>
        <v>1553791.2000000002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Feb 2016'!$A$1:$I$252,9,FALSE)</f>
        <v>4392576.1600000011</v>
      </c>
      <c r="F52" s="33">
        <v>0</v>
      </c>
      <c r="G52" s="33">
        <v>-498394.89</v>
      </c>
      <c r="H52" s="33">
        <v>0</v>
      </c>
      <c r="I52" s="115">
        <f>E52+F52+G52+H52</f>
        <v>3894181.2700000009</v>
      </c>
      <c r="J52" s="33">
        <v>-2435861.02</v>
      </c>
      <c r="K52" s="115">
        <f>I52+J52</f>
        <v>1458320.2500000009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Feb 2016'!$A$1:$I$252,9,FALSE)</f>
        <v>5735787</v>
      </c>
      <c r="F53" s="33">
        <v>0</v>
      </c>
      <c r="G53" s="33">
        <v>681751</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Feb 2016'!$A$1:$I$252,9,FALSE)</f>
        <v>1400000</v>
      </c>
      <c r="F59" s="33">
        <v>0</v>
      </c>
      <c r="G59" s="33">
        <v>50000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Feb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Feb 2016'!$A$1:$I$252,9,FALSE)</f>
        <v>13497623.849999998</v>
      </c>
      <c r="F67" s="172"/>
      <c r="G67" s="33">
        <v>1314873.01</v>
      </c>
      <c r="H67" s="172"/>
      <c r="I67" s="115">
        <f t="shared" si="5"/>
        <v>14812496.859999998</v>
      </c>
      <c r="J67" s="172"/>
      <c r="K67" s="115">
        <f t="shared" si="6"/>
        <v>14812496.859999998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Feb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Feb 2016'!$A$1:$I$252,9,FALSE)</f>
        <v>4072053.17</v>
      </c>
      <c r="F71" s="172"/>
      <c r="G71" s="33">
        <v>432159.44</v>
      </c>
      <c r="H71" s="33"/>
      <c r="I71" s="115">
        <f t="shared" si="5"/>
        <v>4504212.6100000003</v>
      </c>
      <c r="J71" s="33"/>
      <c r="K71" s="115">
        <f t="shared" si="6"/>
        <v>4504212.6100000003</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Feb 2016'!$A$1:$I$252,9,FALSE)</f>
        <v>-13693.359999999999</v>
      </c>
      <c r="F73" s="172"/>
      <c r="G73" s="33">
        <v>-13244.35</v>
      </c>
      <c r="H73" s="33"/>
      <c r="I73" s="115">
        <f t="shared" si="5"/>
        <v>-26937.71</v>
      </c>
      <c r="J73" s="33"/>
      <c r="K73" s="115">
        <f t="shared" si="6"/>
        <v>-26937.71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Feb 2016'!$A$1:$I$252,9,FALSE)</f>
        <v>5021218.6900000004</v>
      </c>
      <c r="F75" s="172"/>
      <c r="G75" s="33">
        <v>369479.81</v>
      </c>
      <c r="H75" s="33"/>
      <c r="I75" s="115">
        <f t="shared" ref="I75" si="7">E75+F75+G75+H75</f>
        <v>5390698.5</v>
      </c>
      <c r="J75" s="33"/>
      <c r="K75" s="115">
        <f t="shared" ref="K75" si="8">I75+J75</f>
        <v>5390698.5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Feb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Feb 2016'!$A$1:$I$252,9,FALSE)</f>
        <v>0</v>
      </c>
      <c r="F79" s="174"/>
      <c r="G79" s="36">
        <v>0</v>
      </c>
      <c r="H79" s="36">
        <v>0</v>
      </c>
      <c r="I79" s="116">
        <f t="shared" si="9"/>
        <v>0</v>
      </c>
      <c r="J79" s="36"/>
      <c r="K79" s="116">
        <f t="shared" si="10"/>
        <v>0</v>
      </c>
      <c r="M79" s="20"/>
      <c r="S79" s="18"/>
    </row>
    <row r="80" spans="1:19" x14ac:dyDescent="0.2">
      <c r="B80" s="54"/>
      <c r="C80" s="28"/>
      <c r="E80" s="32">
        <f>SUM(E42:E79)</f>
        <v>39018249.509999998</v>
      </c>
      <c r="F80" s="29">
        <f>SUM(F39:F65)+F36</f>
        <v>0</v>
      </c>
      <c r="G80" s="29">
        <f>SUM(G39:G79)+G36</f>
        <v>2336624.02</v>
      </c>
      <c r="H80" s="29">
        <f>SUM(H39:H79)+H36</f>
        <v>0</v>
      </c>
      <c r="I80" s="123">
        <f>SUM(I39:I79)+I36</f>
        <v>41354873.530000001</v>
      </c>
      <c r="J80" s="49">
        <f>SUM(J39:J79)+J36</f>
        <v>-2435861.02</v>
      </c>
      <c r="K80" s="123">
        <f>SUM(K39:K79)+K36</f>
        <v>38919012.509999998</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Feb 2016'!$A$1:$I$252,9,FALSE)</f>
        <v>1981456.51</v>
      </c>
      <c r="F82" s="29"/>
      <c r="G82" s="29">
        <v>-194077.75</v>
      </c>
      <c r="H82" s="29">
        <v>0</v>
      </c>
      <c r="I82" s="123">
        <f>E82+F82+G82+H82</f>
        <v>1787378.76</v>
      </c>
      <c r="J82" s="49">
        <v>0</v>
      </c>
      <c r="K82" s="123">
        <f t="shared" ref="K82" si="11">I82+J82</f>
        <v>1787378.76</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Feb 2016'!$A$1:$I$252,9,FALSE)</f>
        <v>25042590.440000001</v>
      </c>
      <c r="F86" s="30">
        <v>0</v>
      </c>
      <c r="G86" s="33">
        <v>-140031</v>
      </c>
      <c r="H86" s="30">
        <v>0</v>
      </c>
      <c r="I86" s="115">
        <f>E86+F86+G86+H86</f>
        <v>24902559.440000001</v>
      </c>
      <c r="J86" s="30">
        <v>0</v>
      </c>
      <c r="K86" s="115">
        <f t="shared" ref="K86:K88" si="12">I86+J86</f>
        <v>24902559.440000001</v>
      </c>
      <c r="L86" s="210" t="s">
        <v>22</v>
      </c>
      <c r="M86" s="20"/>
      <c r="P86" s="58"/>
      <c r="S86" s="18">
        <v>186801</v>
      </c>
    </row>
    <row r="87" spans="1:21" x14ac:dyDescent="0.2">
      <c r="A87" s="108" t="s">
        <v>171</v>
      </c>
      <c r="B87" s="28"/>
      <c r="C87" s="28" t="s">
        <v>122</v>
      </c>
      <c r="D87" s="4" t="s">
        <v>225</v>
      </c>
      <c r="E87" s="32">
        <f>VLOOKUP(A87,'DEK Feb 2016'!$A$1:$I$252,9,FALSE)</f>
        <v>2864133.55</v>
      </c>
      <c r="F87" s="30">
        <v>0</v>
      </c>
      <c r="G87" s="33">
        <v>-25398</v>
      </c>
      <c r="H87" s="30">
        <v>0</v>
      </c>
      <c r="I87" s="115">
        <f>E87+F87+G87+H87</f>
        <v>2838735.55</v>
      </c>
      <c r="J87" s="30">
        <v>0</v>
      </c>
      <c r="K87" s="115">
        <f t="shared" si="12"/>
        <v>2838735.55</v>
      </c>
      <c r="L87" s="210" t="s">
        <v>22</v>
      </c>
      <c r="M87" s="20"/>
      <c r="P87" s="58"/>
      <c r="S87" s="18"/>
    </row>
    <row r="88" spans="1:21" x14ac:dyDescent="0.2">
      <c r="A88" s="108" t="s">
        <v>172</v>
      </c>
      <c r="B88" s="28"/>
      <c r="C88" s="28" t="s">
        <v>123</v>
      </c>
      <c r="D88" s="4" t="s">
        <v>226</v>
      </c>
      <c r="E88" s="32">
        <f>VLOOKUP(A88,'DEK Feb 2016'!$A$1:$I$252,9,FALSE)</f>
        <v>50680.05</v>
      </c>
      <c r="F88" s="30">
        <v>0</v>
      </c>
      <c r="G88" s="33">
        <v>-392</v>
      </c>
      <c r="H88" s="30">
        <v>0</v>
      </c>
      <c r="I88" s="115">
        <f>E88+F88+G88+H88</f>
        <v>50288.05</v>
      </c>
      <c r="J88" s="30">
        <v>0</v>
      </c>
      <c r="K88" s="115">
        <f t="shared" si="12"/>
        <v>50288.05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27957404.040000003</v>
      </c>
      <c r="F90" s="29">
        <f t="shared" ref="F90:K90" si="13">SUM(F85:F89)</f>
        <v>0</v>
      </c>
      <c r="G90" s="29">
        <f>SUM(G85:G89)</f>
        <v>-165821</v>
      </c>
      <c r="H90" s="29">
        <f t="shared" si="13"/>
        <v>0</v>
      </c>
      <c r="I90" s="123">
        <f t="shared" si="13"/>
        <v>27791583.040000003</v>
      </c>
      <c r="J90" s="29">
        <f t="shared" si="13"/>
        <v>0</v>
      </c>
      <c r="K90" s="123">
        <f t="shared" si="13"/>
        <v>27791583.040000003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74681192.769999996</v>
      </c>
      <c r="F96" s="133">
        <f>+F12+F24+F30+F80+F90+F92+F19+F93</f>
        <v>0</v>
      </c>
      <c r="G96" s="133">
        <f>+G12+G24+G30+G80+G82+G90+G92+G19+G93</f>
        <v>3510729.98</v>
      </c>
      <c r="H96" s="133">
        <f>+H12+H24+H30+H80+H82+H90+H92+H19+H93</f>
        <v>-22206.15</v>
      </c>
      <c r="I96" s="134">
        <f>+I12+I24+I30+I80+I82+I90+I92+I19+I93</f>
        <v>78169716.600000009</v>
      </c>
      <c r="J96" s="133">
        <f>+J12+J24+J30+J80+J82+J90+J92+J19+J93</f>
        <v>0</v>
      </c>
      <c r="K96" s="134">
        <f>+K12+K24+K30+K80+K82+K90+K92+K19+K93</f>
        <v>78169716.599999994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Feb 2016'!$A$1:$I$252,9,FALSE)</f>
        <v>3202058.2300000004</v>
      </c>
      <c r="F99" s="30">
        <v>0</v>
      </c>
      <c r="G99" s="33">
        <f>-295799.04+-3032535.02</f>
        <v>-3328334.06</v>
      </c>
      <c r="H99" s="33">
        <v>126275.83</v>
      </c>
      <c r="I99" s="115">
        <f t="shared" ref="I99:I104" si="15">E99+F99+G99+H99</f>
        <v>3.92901711165905E-10</v>
      </c>
      <c r="J99" s="30">
        <v>0</v>
      </c>
      <c r="K99" s="115">
        <f t="shared" ref="K99:K104" si="16">I99+J99</f>
        <v>3.92901711165905E-10</v>
      </c>
      <c r="L99" s="210" t="s">
        <v>22</v>
      </c>
      <c r="M99" s="33"/>
      <c r="N99" s="42"/>
      <c r="O99" s="42"/>
      <c r="S99" s="18">
        <v>191400</v>
      </c>
      <c r="T99" s="58"/>
    </row>
    <row r="100" spans="1:20" x14ac:dyDescent="0.2">
      <c r="A100" s="100" t="s">
        <v>115</v>
      </c>
      <c r="B100" s="18"/>
      <c r="C100" s="28" t="s">
        <v>53</v>
      </c>
      <c r="D100" s="4" t="s">
        <v>115</v>
      </c>
      <c r="E100" s="32">
        <f>VLOOKUP(A100,'DEK Feb 2016'!$A$1:$I$252,9,FALSE)</f>
        <v>-2602611</v>
      </c>
      <c r="F100" s="30">
        <v>0</v>
      </c>
      <c r="G100" s="33">
        <v>2602611</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Feb 2016'!$A$1:$I$252,9,FALSE)</f>
        <v>-979018</v>
      </c>
      <c r="F101" s="30">
        <v>0</v>
      </c>
      <c r="G101" s="30">
        <v>979018</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Feb 2016'!$A$1:$I$252,9,FALSE)</f>
        <v>-4.6566128730773926E-10</v>
      </c>
      <c r="F102" s="30">
        <v>0</v>
      </c>
      <c r="G102" s="30">
        <v>0</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Feb 2016'!$A$1:$I$252,9,FALSE)</f>
        <v>-253676.71999999974</v>
      </c>
      <c r="F103" s="33">
        <v>0</v>
      </c>
      <c r="G103" s="44">
        <v>0</v>
      </c>
      <c r="H103" s="33">
        <v>70966.17</v>
      </c>
      <c r="I103" s="115">
        <f t="shared" si="15"/>
        <v>-182710.54999999976</v>
      </c>
      <c r="J103" s="33">
        <v>0</v>
      </c>
      <c r="K103" s="115">
        <f t="shared" si="16"/>
        <v>-182710.54999999976</v>
      </c>
      <c r="L103" s="210" t="s">
        <v>22</v>
      </c>
      <c r="M103" s="42"/>
      <c r="N103" s="42"/>
      <c r="O103" s="42"/>
      <c r="S103" s="18">
        <v>253130</v>
      </c>
      <c r="T103" s="58"/>
    </row>
    <row r="104" spans="1:20" x14ac:dyDescent="0.2">
      <c r="A104" s="100" t="s">
        <v>156</v>
      </c>
      <c r="B104" s="18"/>
      <c r="C104" s="28" t="s">
        <v>116</v>
      </c>
      <c r="D104" s="4" t="s">
        <v>211</v>
      </c>
      <c r="E104" s="32">
        <f>VLOOKUP(A104,'DEK Feb 2016'!$A$1:$I$252,9,FALSE)</f>
        <v>-1680158.23</v>
      </c>
      <c r="F104" s="33"/>
      <c r="G104" s="33">
        <v>-664479.53</v>
      </c>
      <c r="H104" s="33">
        <v>0</v>
      </c>
      <c r="I104" s="115">
        <f t="shared" si="15"/>
        <v>-2344637.7599999998</v>
      </c>
      <c r="J104" s="30">
        <v>0</v>
      </c>
      <c r="K104" s="115">
        <f t="shared" si="16"/>
        <v>-2344637.7599999998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-2313405.7199999997</v>
      </c>
      <c r="F106" s="33">
        <f t="shared" si="17"/>
        <v>0</v>
      </c>
      <c r="G106" s="33">
        <f t="shared" si="17"/>
        <v>-411184.59000000008</v>
      </c>
      <c r="H106" s="33">
        <f t="shared" si="17"/>
        <v>197242</v>
      </c>
      <c r="I106" s="123">
        <f t="shared" si="17"/>
        <v>-2527348.3099999996</v>
      </c>
      <c r="J106" s="33">
        <f t="shared" si="17"/>
        <v>0</v>
      </c>
      <c r="K106" s="123">
        <f t="shared" si="17"/>
        <v>-2527348.3099999996</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Feb 2016'!$A$1:$I$252,9,FALSE)</f>
        <v>-4845789.7300000004</v>
      </c>
      <c r="F114" s="30">
        <v>0</v>
      </c>
      <c r="G114" s="33">
        <v>45859</v>
      </c>
      <c r="H114" s="33">
        <v>0</v>
      </c>
      <c r="I114" s="123">
        <f>E114+G114+H114+F114</f>
        <v>-4799930.7300000004</v>
      </c>
      <c r="J114" s="91">
        <v>0</v>
      </c>
      <c r="K114" s="123">
        <f>I114+J114</f>
        <v>-4799930.7300000004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Feb 2016'!$A$1:$I$252,9,FALSE)</f>
        <v>-3782274</v>
      </c>
      <c r="F117" s="30">
        <v>0</v>
      </c>
      <c r="G117" s="33">
        <v>3782274</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Feb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Feb 2016'!$A$1:$I$252,9,FALSE)</f>
        <v>-15786.460000000005</v>
      </c>
      <c r="F119" s="30">
        <v>0</v>
      </c>
      <c r="G119" s="33">
        <v>64.25</v>
      </c>
      <c r="H119" s="33">
        <v>0</v>
      </c>
      <c r="I119" s="117">
        <f>E119+F119+G119+H119</f>
        <v>-15722.210000000005</v>
      </c>
      <c r="J119" s="30">
        <v>0</v>
      </c>
      <c r="K119" s="117">
        <f t="shared" si="19"/>
        <v>-15722.210000000005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-3798060.46</v>
      </c>
      <c r="F121" s="30">
        <f t="shared" ref="F121:K121" si="21">SUM(F117:F120)</f>
        <v>0</v>
      </c>
      <c r="G121" s="30">
        <f t="shared" si="21"/>
        <v>3782338.25</v>
      </c>
      <c r="H121" s="30">
        <f t="shared" si="21"/>
        <v>0</v>
      </c>
      <c r="I121" s="122">
        <f t="shared" si="21"/>
        <v>-15722.210000000005</v>
      </c>
      <c r="J121" s="30">
        <f t="shared" si="21"/>
        <v>0</v>
      </c>
      <c r="K121" s="122">
        <f t="shared" si="21"/>
        <v>-15722.210000000005</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Feb 2016'!$A$1:$I$252,9,FALSE)</f>
        <v>-17604349.350000005</v>
      </c>
      <c r="F123" s="30">
        <v>0</v>
      </c>
      <c r="G123" s="30">
        <v>-58156.52</v>
      </c>
      <c r="H123" s="30">
        <v>0</v>
      </c>
      <c r="I123" s="115">
        <f t="shared" ref="I123:I129" si="22">E123+F123+G123+H123</f>
        <v>-17662505.870000005</v>
      </c>
      <c r="J123" s="30">
        <v>0</v>
      </c>
      <c r="K123" s="115">
        <f t="shared" ref="K123:K129" si="23">I123+J123</f>
        <v>-17662505.870000005</v>
      </c>
      <c r="L123" s="210" t="s">
        <v>241</v>
      </c>
      <c r="M123" s="20"/>
      <c r="N123" s="42"/>
      <c r="O123" s="42"/>
      <c r="Q123" s="238">
        <v>75086</v>
      </c>
      <c r="R123" s="58" t="s">
        <v>44</v>
      </c>
      <c r="S123" s="18">
        <v>108201</v>
      </c>
      <c r="T123" s="58"/>
    </row>
    <row r="124" spans="1:23" x14ac:dyDescent="0.2">
      <c r="A124" s="100" t="s">
        <v>166</v>
      </c>
      <c r="B124" s="18"/>
      <c r="C124" s="28" t="s">
        <v>45</v>
      </c>
      <c r="D124" s="4" t="s">
        <v>198</v>
      </c>
      <c r="E124" s="32">
        <f>VLOOKUP(A124,'DEK Feb 2016'!$A$1:$I$252,9,FALSE)</f>
        <v>-47556762.230000004</v>
      </c>
      <c r="F124" s="30">
        <v>0</v>
      </c>
      <c r="G124" s="30">
        <v>-323125.58</v>
      </c>
      <c r="H124" s="30">
        <v>0</v>
      </c>
      <c r="I124" s="115">
        <f t="shared" si="22"/>
        <v>-47879887.810000002</v>
      </c>
      <c r="J124" s="30">
        <v>0</v>
      </c>
      <c r="K124" s="115">
        <f t="shared" si="23"/>
        <v>-47879887.810000002</v>
      </c>
      <c r="L124" s="210" t="s">
        <v>242</v>
      </c>
      <c r="M124" s="20"/>
      <c r="N124" s="42"/>
      <c r="O124" s="42"/>
      <c r="R124" s="58" t="s">
        <v>44</v>
      </c>
      <c r="S124" s="18">
        <v>108301</v>
      </c>
      <c r="T124" s="58"/>
    </row>
    <row r="125" spans="1:23" x14ac:dyDescent="0.2">
      <c r="A125" s="100" t="s">
        <v>167</v>
      </c>
      <c r="B125" s="18"/>
      <c r="C125" s="28" t="s">
        <v>46</v>
      </c>
      <c r="D125" s="4" t="s">
        <v>199</v>
      </c>
      <c r="E125" s="32">
        <f>VLOOKUP(A125,'DEK Feb 2016'!$A$1:$I$252,9,FALSE)</f>
        <v>10244046.099999998</v>
      </c>
      <c r="F125" s="30">
        <v>0</v>
      </c>
      <c r="G125" s="30">
        <v>420450.98</v>
      </c>
      <c r="H125" s="30">
        <v>0</v>
      </c>
      <c r="I125" s="115">
        <f t="shared" si="22"/>
        <v>10664497.079999998</v>
      </c>
      <c r="J125" s="30">
        <v>0</v>
      </c>
      <c r="K125" s="115">
        <f>I125+J125</f>
        <v>10664497.079999998</v>
      </c>
      <c r="L125" s="210" t="s">
        <v>242</v>
      </c>
      <c r="M125" s="20"/>
      <c r="N125" s="42"/>
      <c r="O125" s="42"/>
      <c r="S125" s="18">
        <v>108410</v>
      </c>
      <c r="T125" s="58"/>
    </row>
    <row r="126" spans="1:23" x14ac:dyDescent="0.2">
      <c r="A126" s="100" t="s">
        <v>168</v>
      </c>
      <c r="B126" s="18"/>
      <c r="C126" s="28" t="s">
        <v>74</v>
      </c>
      <c r="D126" s="4" t="s">
        <v>217</v>
      </c>
      <c r="E126" s="32">
        <f>VLOOKUP(A126,'DEK Feb 2016'!$A$1:$I$252,9,FALSE)</f>
        <v>2314171.7200000002</v>
      </c>
      <c r="F126" s="30">
        <v>0</v>
      </c>
      <c r="G126" s="30">
        <v>21394.03</v>
      </c>
      <c r="H126" s="30">
        <v>0</v>
      </c>
      <c r="I126" s="115">
        <f t="shared" si="22"/>
        <v>2335565.75</v>
      </c>
      <c r="J126" s="30">
        <v>0</v>
      </c>
      <c r="K126" s="115">
        <f>I126+J126</f>
        <v>2335565.75</v>
      </c>
      <c r="M126" s="20"/>
      <c r="N126" s="42"/>
      <c r="O126" s="42"/>
      <c r="Q126" s="4" t="s">
        <v>50</v>
      </c>
      <c r="R126" s="4" t="s">
        <v>51</v>
      </c>
      <c r="S126" s="18">
        <v>182303</v>
      </c>
      <c r="T126" s="58"/>
    </row>
    <row r="127" spans="1:23" x14ac:dyDescent="0.2">
      <c r="A127" s="100" t="s">
        <v>169</v>
      </c>
      <c r="B127" s="18"/>
      <c r="C127" s="28" t="s">
        <v>49</v>
      </c>
      <c r="D127" s="4" t="s">
        <v>218</v>
      </c>
      <c r="E127" s="32">
        <f>VLOOKUP(A127,'DEK Feb 2016'!$A$1:$I$252,9,FALSE)</f>
        <v>4362144.6700000018</v>
      </c>
      <c r="F127" s="30">
        <v>0</v>
      </c>
      <c r="G127" s="30">
        <v>25583.200000000001</v>
      </c>
      <c r="H127" s="30">
        <v>0</v>
      </c>
      <c r="I127" s="115">
        <f t="shared" si="22"/>
        <v>4387727.870000002</v>
      </c>
      <c r="J127" s="30">
        <v>0</v>
      </c>
      <c r="K127" s="115">
        <f t="shared" si="23"/>
        <v>4387727.870000002</v>
      </c>
      <c r="M127" s="20"/>
      <c r="N127" s="42"/>
      <c r="O127" s="42"/>
      <c r="Q127" s="4" t="s">
        <v>50</v>
      </c>
      <c r="S127" s="18">
        <v>182304</v>
      </c>
      <c r="T127" s="58"/>
    </row>
    <row r="128" spans="1:23" x14ac:dyDescent="0.2">
      <c r="A128" s="100" t="s">
        <v>170</v>
      </c>
      <c r="B128" s="18"/>
      <c r="C128" s="28" t="s">
        <v>42</v>
      </c>
      <c r="D128" s="4" t="s">
        <v>200</v>
      </c>
      <c r="E128" s="32">
        <f>VLOOKUP(A128,'DEK Feb 2016'!$A$1:$I$252,9,FALSE)</f>
        <v>-152040.03000000006</v>
      </c>
      <c r="F128" s="30">
        <v>0</v>
      </c>
      <c r="G128" s="30">
        <v>-6112.76</v>
      </c>
      <c r="H128" s="30">
        <v>0</v>
      </c>
      <c r="I128" s="115">
        <f t="shared" si="22"/>
        <v>-158152.79000000007</v>
      </c>
      <c r="J128" s="30">
        <v>0</v>
      </c>
      <c r="K128" s="115">
        <f t="shared" si="23"/>
        <v>-158152.79000000007</v>
      </c>
      <c r="L128" s="210" t="s">
        <v>241</v>
      </c>
      <c r="M128" s="20"/>
      <c r="N128" s="42"/>
      <c r="O128" s="42"/>
      <c r="R128" s="58" t="s">
        <v>44</v>
      </c>
      <c r="S128" s="18">
        <v>108101</v>
      </c>
      <c r="T128" s="58"/>
    </row>
    <row r="129" spans="1:22" x14ac:dyDescent="0.2">
      <c r="A129" s="100" t="s">
        <v>272</v>
      </c>
      <c r="B129" s="18"/>
      <c r="C129" s="28" t="s">
        <v>271</v>
      </c>
      <c r="D129" s="4" t="s">
        <v>272</v>
      </c>
      <c r="E129" s="32">
        <f>VLOOKUP(A129,'DEK Feb 2016'!$A$1:$I$252,9,FALSE)</f>
        <v>332544.94999999995</v>
      </c>
      <c r="F129" s="30">
        <v>0</v>
      </c>
      <c r="G129" s="30">
        <v>-71116.28</v>
      </c>
      <c r="H129" s="30">
        <v>0</v>
      </c>
      <c r="I129" s="115">
        <f t="shared" si="22"/>
        <v>261428.66999999995</v>
      </c>
      <c r="J129" s="30">
        <v>0</v>
      </c>
      <c r="K129" s="115">
        <f t="shared" si="23"/>
        <v>261428.66999999995</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-48060244.170000017</v>
      </c>
      <c r="F131" s="33">
        <f t="shared" si="24"/>
        <v>0</v>
      </c>
      <c r="G131" s="33">
        <f t="shared" si="24"/>
        <v>8917.0699999999488</v>
      </c>
      <c r="H131" s="33">
        <f t="shared" si="24"/>
        <v>0</v>
      </c>
      <c r="I131" s="123">
        <f t="shared" si="24"/>
        <v>-48051327.100000001</v>
      </c>
      <c r="J131" s="33">
        <f t="shared" si="24"/>
        <v>0</v>
      </c>
      <c r="K131" s="123">
        <f t="shared" si="24"/>
        <v>-48051327.100000001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-59017500.080000013</v>
      </c>
      <c r="F133" s="133">
        <f t="shared" ref="F133:H133" si="25">+F106+F114+F121+F131+F111</f>
        <v>0</v>
      </c>
      <c r="G133" s="133">
        <f t="shared" si="25"/>
        <v>3425929.73</v>
      </c>
      <c r="H133" s="133">
        <f t="shared" si="25"/>
        <v>197242</v>
      </c>
      <c r="I133" s="134">
        <f>+I106+I114+I121+I131+I111</f>
        <v>-55394328.350000001</v>
      </c>
      <c r="J133" s="133">
        <f>+J106+J114+J121+J131+J111</f>
        <v>0</v>
      </c>
      <c r="K133" s="134">
        <f>+K106+K114+K121+K131+K111</f>
        <v>-55394328.350000001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15663692.689999983</v>
      </c>
      <c r="F135" s="137">
        <f>F133+F96</f>
        <v>0</v>
      </c>
      <c r="G135" s="137">
        <f>G133+G96</f>
        <v>6936659.71</v>
      </c>
      <c r="H135" s="137">
        <f>H133+H96</f>
        <v>175035.85</v>
      </c>
      <c r="I135" s="138">
        <f>I96+I133</f>
        <v>22775388.250000007</v>
      </c>
      <c r="J135" s="137">
        <f>J133+J96</f>
        <v>0</v>
      </c>
      <c r="K135" s="138">
        <f>K96+K133</f>
        <v>22775388.249999993</v>
      </c>
      <c r="L135" s="50">
        <v>0</v>
      </c>
      <c r="M135" s="70"/>
      <c r="N135" s="70"/>
      <c r="O135" s="70"/>
      <c r="P135" s="50"/>
      <c r="Q135" s="50"/>
      <c r="R135" s="50"/>
      <c r="S135" s="18"/>
      <c r="T135" s="29">
        <f>+G135+H135+F135</f>
        <v>7111695.5599999996</v>
      </c>
      <c r="U135" s="19">
        <v>13111056.41</v>
      </c>
      <c r="V135" s="29">
        <f>+T135-U135</f>
        <v>-5999360.8500000006</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-3466552.71</v>
      </c>
      <c r="H137" s="139">
        <f>-H128-H123-H124-H125-H126-H127-H86-H16-H117-H30-H22-H53-H119-H87-H88-H114-H118-H52</f>
        <v>22206.15</v>
      </c>
      <c r="I137" s="74"/>
      <c r="J137" s="74"/>
      <c r="K137" s="74"/>
      <c r="M137" s="76"/>
      <c r="N137" s="77"/>
      <c r="O137" s="77"/>
      <c r="S137" s="18"/>
    </row>
    <row r="138" spans="1:22" ht="12.75" customHeight="1" x14ac:dyDescent="0.2">
      <c r="A138" s="107"/>
      <c r="B138" s="18"/>
      <c r="C138" s="18"/>
      <c r="D138" s="72"/>
      <c r="E138" s="224"/>
      <c r="F138" s="50"/>
      <c r="G138" s="185">
        <f>G135+H135</f>
        <v>7111695.5599999996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3667348.9999999995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107954.22999999885</v>
      </c>
      <c r="F163" s="32">
        <f>+F93+F94</f>
        <v>0</v>
      </c>
      <c r="G163" s="165"/>
      <c r="H163" s="83"/>
      <c r="I163" s="84">
        <f>+I12</f>
        <v>1831622.9399999988</v>
      </c>
      <c r="J163" s="84">
        <f>+J12</f>
        <v>0</v>
      </c>
      <c r="K163" s="84">
        <f>+K12</f>
        <v>1831622.9399999988</v>
      </c>
      <c r="M163" s="20"/>
      <c r="S163" s="18"/>
    </row>
    <row r="164" spans="1:19" hidden="1" x14ac:dyDescent="0.2">
      <c r="A164" s="109" t="s">
        <v>142</v>
      </c>
      <c r="B164" s="18"/>
      <c r="C164" s="18"/>
      <c r="D164" s="82" t="s">
        <v>142</v>
      </c>
      <c r="E164" s="83">
        <f>+E19</f>
        <v>1926156.81</v>
      </c>
      <c r="F164" s="32">
        <f t="shared" ref="F164:F169" si="26">+F94+F95</f>
        <v>0</v>
      </c>
      <c r="G164" s="165"/>
      <c r="H164" s="83"/>
      <c r="I164" s="84">
        <f>+I19</f>
        <v>2195705.81</v>
      </c>
      <c r="J164" s="84">
        <f>+J19</f>
        <v>2702334.82</v>
      </c>
      <c r="K164" s="84">
        <f>+K19</f>
        <v>4898040.63</v>
      </c>
      <c r="M164" s="20"/>
      <c r="S164" s="18"/>
    </row>
    <row r="165" spans="1:19" hidden="1" x14ac:dyDescent="0.2">
      <c r="A165" s="109" t="s">
        <v>141</v>
      </c>
      <c r="B165" s="18"/>
      <c r="C165" s="18"/>
      <c r="D165" s="82" t="s">
        <v>141</v>
      </c>
      <c r="E165" s="83">
        <f>+E24</f>
        <v>1676967.4700000014</v>
      </c>
      <c r="F165" s="32">
        <f t="shared" si="26"/>
        <v>0</v>
      </c>
      <c r="G165" s="165"/>
      <c r="H165" s="83"/>
      <c r="I165" s="84">
        <f>+I24</f>
        <v>1654761.3200000015</v>
      </c>
      <c r="J165" s="84">
        <f>+J24</f>
        <v>-266473.8</v>
      </c>
      <c r="K165" s="84">
        <f>+K24</f>
        <v>1388287.5200000014</v>
      </c>
      <c r="M165" s="20"/>
      <c r="S165" s="18"/>
    </row>
    <row r="166" spans="1:19" hidden="1" x14ac:dyDescent="0.2">
      <c r="A166" s="109" t="s">
        <v>61</v>
      </c>
      <c r="B166" s="18"/>
      <c r="C166" s="18"/>
      <c r="D166" s="82" t="s">
        <v>61</v>
      </c>
      <c r="E166" s="32">
        <f>+E30</f>
        <v>2013004.2000000002</v>
      </c>
      <c r="F166" s="32">
        <f t="shared" si="26"/>
        <v>0</v>
      </c>
      <c r="G166" s="157"/>
      <c r="H166" s="32"/>
      <c r="I166" s="84">
        <f>+I30</f>
        <v>1553791.2000000002</v>
      </c>
      <c r="J166" s="84">
        <f>+J30</f>
        <v>0</v>
      </c>
      <c r="K166" s="84">
        <f>+K30</f>
        <v>1553791.2000000002</v>
      </c>
      <c r="M166" s="20"/>
      <c r="S166" s="18"/>
    </row>
    <row r="167" spans="1:19" hidden="1" x14ac:dyDescent="0.2">
      <c r="A167" s="109" t="s">
        <v>143</v>
      </c>
      <c r="B167" s="18"/>
      <c r="C167" s="18"/>
      <c r="D167" s="82" t="s">
        <v>143</v>
      </c>
      <c r="E167" s="32">
        <f>+E80</f>
        <v>39018249.509999998</v>
      </c>
      <c r="F167" s="32">
        <f t="shared" si="26"/>
        <v>0</v>
      </c>
      <c r="G167" s="157"/>
      <c r="H167" s="32"/>
      <c r="I167" s="84">
        <f>+I80</f>
        <v>41354873.530000001</v>
      </c>
      <c r="J167" s="84">
        <f>+J80</f>
        <v>-2435861.02</v>
      </c>
      <c r="K167" s="84">
        <f>+K80</f>
        <v>38919012.509999998</v>
      </c>
      <c r="M167" s="20"/>
      <c r="S167" s="18"/>
    </row>
    <row r="168" spans="1:19" hidden="1" x14ac:dyDescent="0.2">
      <c r="A168" s="109" t="s">
        <v>151</v>
      </c>
      <c r="B168" s="18"/>
      <c r="C168" s="18"/>
      <c r="D168" s="82" t="s">
        <v>151</v>
      </c>
      <c r="E168" s="32">
        <f>+E90</f>
        <v>27957404.040000003</v>
      </c>
      <c r="F168" s="32">
        <f t="shared" si="26"/>
        <v>0</v>
      </c>
      <c r="G168" s="157"/>
      <c r="H168" s="32"/>
      <c r="I168" s="84">
        <f>+I90</f>
        <v>27791583.040000003</v>
      </c>
      <c r="J168" s="84">
        <f>+J90</f>
        <v>0</v>
      </c>
      <c r="K168" s="84">
        <f>+K90</f>
        <v>27791583.040000003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-2313405.7199999997</v>
      </c>
      <c r="F170" s="32" t="e">
        <f>+F100+#REF!</f>
        <v>#REF!</v>
      </c>
      <c r="G170" s="157"/>
      <c r="H170" s="32"/>
      <c r="I170" s="84">
        <f>+I106</f>
        <v>-2527348.3099999996</v>
      </c>
      <c r="J170" s="84">
        <f>+J106</f>
        <v>0</v>
      </c>
      <c r="K170" s="84">
        <f>+K106</f>
        <v>-2527348.3099999996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-4845789.7300000004</v>
      </c>
      <c r="F172" s="32" t="e">
        <f>+#REF!+#REF!</f>
        <v>#REF!</v>
      </c>
      <c r="G172" s="157"/>
      <c r="H172" s="32"/>
      <c r="I172" s="84">
        <f>+I114</f>
        <v>-4799930.7300000004</v>
      </c>
      <c r="J172" s="84">
        <f>+J114</f>
        <v>0</v>
      </c>
      <c r="K172" s="84">
        <f>+K114</f>
        <v>-4799930.7300000004</v>
      </c>
      <c r="M172" s="20"/>
      <c r="S172" s="18"/>
    </row>
    <row r="173" spans="1:19" hidden="1" x14ac:dyDescent="0.2">
      <c r="A173" s="109" t="s">
        <v>153</v>
      </c>
      <c r="B173" s="18"/>
      <c r="C173" s="18"/>
      <c r="D173" s="82" t="s">
        <v>153</v>
      </c>
      <c r="E173" s="32">
        <f>+E121</f>
        <v>-3798060.46</v>
      </c>
      <c r="F173" s="32" t="e">
        <f>+#REF!+F101</f>
        <v>#REF!</v>
      </c>
      <c r="G173" s="157"/>
      <c r="H173" s="32"/>
      <c r="I173" s="84">
        <f>+I121</f>
        <v>-15722.210000000005</v>
      </c>
      <c r="J173" s="84">
        <f>+J121</f>
        <v>0</v>
      </c>
      <c r="K173" s="84">
        <f>+K121</f>
        <v>-15722.210000000005</v>
      </c>
      <c r="M173" s="20"/>
      <c r="S173" s="18"/>
    </row>
    <row r="174" spans="1:19" hidden="1" x14ac:dyDescent="0.2">
      <c r="A174" s="109" t="s">
        <v>155</v>
      </c>
      <c r="B174" s="18"/>
      <c r="C174" s="18"/>
      <c r="D174" s="82" t="s">
        <v>155</v>
      </c>
      <c r="E174" s="32">
        <f>+E131</f>
        <v>-48060244.170000017</v>
      </c>
      <c r="F174" s="32">
        <f t="shared" ref="F174" si="27">+F101+F102</f>
        <v>0</v>
      </c>
      <c r="G174" s="157"/>
      <c r="H174" s="32"/>
      <c r="I174" s="84">
        <f>+I131</f>
        <v>-48051327.100000001</v>
      </c>
      <c r="J174" s="84">
        <f>+J131</f>
        <v>0</v>
      </c>
      <c r="K174" s="84">
        <f>+K131</f>
        <v>-48051327.100000001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13682236.179999985</v>
      </c>
      <c r="F176" s="88" t="e">
        <f>SUM(F166:F175)</f>
        <v>#REF!</v>
      </c>
      <c r="G176" s="166"/>
      <c r="H176" s="88"/>
      <c r="I176" s="89">
        <f>SUM(I162:I175)</f>
        <v>20988009.490000002</v>
      </c>
      <c r="J176" s="89">
        <f>SUM(J162:J175)</f>
        <v>0</v>
      </c>
      <c r="K176" s="89">
        <f>SUM(K162:K175)</f>
        <v>20988009.490000002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-1981456.5099999979</v>
      </c>
      <c r="F178" s="19"/>
      <c r="G178" s="148"/>
      <c r="H178" s="19"/>
      <c r="I178" s="19">
        <f>+I176-I135</f>
        <v>-1787378.7600000054</v>
      </c>
      <c r="J178" s="19">
        <f>+J176-J135</f>
        <v>0</v>
      </c>
      <c r="K178" s="19">
        <f>+K176-K135</f>
        <v>-1787378.7599999905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319549</v>
      </c>
      <c r="H182" s="19">
        <f>+H34+H52+H42+H44+H46+H48+H85+H57+H59+H15+H50+H66+H55</f>
        <v>0</v>
      </c>
      <c r="I182" s="19"/>
      <c r="J182" s="19"/>
      <c r="K182" s="19"/>
      <c r="M182" s="20"/>
      <c r="S182" s="18"/>
    </row>
    <row r="183" spans="1:19" hidden="1" x14ac:dyDescent="0.2">
      <c r="A183" s="100" t="s">
        <v>64</v>
      </c>
      <c r="B183" s="18"/>
      <c r="C183" s="18"/>
      <c r="D183" s="34" t="s">
        <v>64</v>
      </c>
      <c r="F183" s="19"/>
      <c r="G183" s="148">
        <f>+G9+G92+G10</f>
        <v>1723668.71</v>
      </c>
      <c r="H183" s="19">
        <f>+H9+H92+H10</f>
        <v>0</v>
      </c>
      <c r="I183" s="19"/>
      <c r="J183" s="19"/>
      <c r="K183" s="19"/>
      <c r="M183" s="20"/>
      <c r="S183" s="18"/>
    </row>
    <row r="184" spans="1:19" hidden="1" x14ac:dyDescent="0.2">
      <c r="A184" s="100" t="s">
        <v>65</v>
      </c>
      <c r="B184" s="18"/>
      <c r="C184" s="18"/>
      <c r="D184" s="34" t="s">
        <v>65</v>
      </c>
      <c r="F184" s="19"/>
      <c r="G184" s="148">
        <f>+G100+G101+G102+G103+G99+G104</f>
        <v>-411184.59000000008</v>
      </c>
      <c r="H184" s="19">
        <f>+H100+H101+H102+H103+H99</f>
        <v>197242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1632033.1199999999</v>
      </c>
      <c r="H186" s="110">
        <f>+H182+H183+H184-H139</f>
        <v>197242</v>
      </c>
      <c r="I186" s="19"/>
      <c r="J186" s="19"/>
      <c r="K186" s="19"/>
      <c r="M186" s="20"/>
      <c r="S186" s="18"/>
    </row>
    <row r="187" spans="1:19" hidden="1" x14ac:dyDescent="0.2">
      <c r="B187" s="18"/>
      <c r="C187" s="18"/>
      <c r="F187" s="19"/>
      <c r="H187" s="29">
        <f>+H183+H184+H182+G182+G183+G184</f>
        <v>1829275.1199999999</v>
      </c>
      <c r="I187" s="19"/>
      <c r="J187" s="19"/>
      <c r="K187" s="19"/>
      <c r="M187" s="20"/>
      <c r="S187" s="18"/>
    </row>
    <row r="188" spans="1:19" hidden="1" x14ac:dyDescent="0.2">
      <c r="B188" s="18"/>
      <c r="C188" s="18"/>
      <c r="F188" s="19"/>
      <c r="G188" s="148"/>
      <c r="H188" s="29">
        <f>+H187-G139-H139</f>
        <v>1829275.1199999999</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2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18"/>
  <sheetViews>
    <sheetView topLeftCell="A86" zoomScale="80" zoomScaleNormal="80" workbookViewId="0">
      <selection activeCell="E114" sqref="E114"/>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8" t="s">
        <v>66</v>
      </c>
    </row>
    <row r="4" spans="1:22" x14ac:dyDescent="0.2">
      <c r="A4" s="99"/>
      <c r="B4" s="7"/>
      <c r="C4" s="3"/>
      <c r="D4" s="3"/>
      <c r="E4" s="212"/>
      <c r="F4" s="8"/>
      <c r="G4" s="215"/>
      <c r="H4" s="216"/>
      <c r="I4" s="202"/>
      <c r="J4" s="202"/>
      <c r="K4" s="202"/>
      <c r="M4" s="10"/>
      <c r="P4" s="238" t="s">
        <v>1</v>
      </c>
    </row>
    <row r="5" spans="1:22" x14ac:dyDescent="0.2">
      <c r="E5" s="217" t="s">
        <v>208</v>
      </c>
      <c r="F5" s="238" t="s">
        <v>3</v>
      </c>
      <c r="G5" s="238" t="s">
        <v>4</v>
      </c>
      <c r="H5" s="238"/>
      <c r="I5" s="204" t="s">
        <v>208</v>
      </c>
      <c r="J5" s="13" t="s">
        <v>180</v>
      </c>
      <c r="K5" s="204" t="s">
        <v>209</v>
      </c>
      <c r="L5" s="238" t="s">
        <v>5</v>
      </c>
      <c r="M5" s="11" t="s">
        <v>6</v>
      </c>
      <c r="N5" s="11" t="s">
        <v>0</v>
      </c>
      <c r="O5" s="11" t="s">
        <v>8</v>
      </c>
      <c r="P5" s="238" t="s">
        <v>9</v>
      </c>
      <c r="Q5" s="576" t="s">
        <v>10</v>
      </c>
      <c r="R5" s="576"/>
      <c r="U5" s="12" t="s">
        <v>11</v>
      </c>
    </row>
    <row r="6" spans="1:22" x14ac:dyDescent="0.2">
      <c r="E6" s="218">
        <v>42369</v>
      </c>
      <c r="F6" s="13" t="s">
        <v>12</v>
      </c>
      <c r="G6" s="14" t="s">
        <v>13</v>
      </c>
      <c r="H6" s="14" t="s">
        <v>8</v>
      </c>
      <c r="I6" s="205">
        <v>42460</v>
      </c>
      <c r="J6" s="13" t="s">
        <v>210</v>
      </c>
      <c r="K6" s="205">
        <f>I6</f>
        <v>42460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2015'!$A$1:$I$252,9,FALSE)</f>
        <v>-1.1641532182693481E-9</v>
      </c>
      <c r="F9" s="30">
        <v>0</v>
      </c>
      <c r="G9" s="33">
        <v>63343.92</v>
      </c>
      <c r="H9" s="30">
        <v>0</v>
      </c>
      <c r="I9" s="115">
        <f>E9+F9+G9+H9</f>
        <v>63343.919999998834</v>
      </c>
      <c r="J9" s="30">
        <v>0</v>
      </c>
      <c r="K9" s="115">
        <f>I9+J9</f>
        <v>63343.919999998834</v>
      </c>
      <c r="L9" s="210" t="s">
        <v>274</v>
      </c>
      <c r="M9" s="20"/>
      <c r="P9" s="31"/>
      <c r="S9" s="18">
        <v>142982</v>
      </c>
    </row>
    <row r="10" spans="1:22" x14ac:dyDescent="0.2">
      <c r="A10" s="100" t="s">
        <v>109</v>
      </c>
      <c r="B10" s="28"/>
      <c r="C10" s="28" t="s">
        <v>34</v>
      </c>
      <c r="D10" s="4" t="s">
        <v>109</v>
      </c>
      <c r="E10" s="32">
        <f>VLOOKUP(A10,'DEK Dec 2015'!$A$1:$I$252,9,FALSE)</f>
        <v>578872.6</v>
      </c>
      <c r="F10" s="33">
        <v>0</v>
      </c>
      <c r="G10" s="33">
        <v>1189406.42</v>
      </c>
      <c r="H10" s="33">
        <v>0</v>
      </c>
      <c r="I10" s="115">
        <f>E10+F10+G10+H10</f>
        <v>1768279.02</v>
      </c>
      <c r="J10" s="30">
        <v>0</v>
      </c>
      <c r="K10" s="115">
        <f>I10+J10</f>
        <v>1768279.02</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578872.59999999881</v>
      </c>
      <c r="F12" s="29">
        <f t="shared" ref="F12:J12" si="0">SUM(F9:F10)</f>
        <v>0</v>
      </c>
      <c r="G12" s="29">
        <f t="shared" si="0"/>
        <v>1252750.3399999999</v>
      </c>
      <c r="H12" s="29">
        <f t="shared" si="0"/>
        <v>0</v>
      </c>
      <c r="I12" s="117">
        <f t="shared" si="0"/>
        <v>1831622.9399999988</v>
      </c>
      <c r="J12" s="29">
        <f t="shared" si="0"/>
        <v>0</v>
      </c>
      <c r="K12" s="117">
        <f>SUM(K9:K10)</f>
        <v>1831622.9399999988</v>
      </c>
      <c r="L12" s="12"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2015'!$A$1:$I$252,9,FALSE)</f>
        <v>486010.81000000006</v>
      </c>
      <c r="F15" s="30">
        <v>0</v>
      </c>
      <c r="G15" s="33">
        <v>269549</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Dec 2015'!$A$1:$I$252,9,FALSE)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30">
        <v>2702334.82</v>
      </c>
      <c r="K17" s="115">
        <f t="shared" ref="K17" si="1">I17+J17</f>
        <v>2702334.82</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1926156.81</v>
      </c>
      <c r="F19" s="29">
        <f t="shared" ref="F19:K19" si="2">SUM(F15:F18)</f>
        <v>0</v>
      </c>
      <c r="G19" s="29">
        <f t="shared" si="2"/>
        <v>269549</v>
      </c>
      <c r="H19" s="29">
        <f t="shared" si="2"/>
        <v>0</v>
      </c>
      <c r="I19" s="123">
        <f t="shared" si="2"/>
        <v>2195705.81</v>
      </c>
      <c r="J19" s="49">
        <f t="shared" si="2"/>
        <v>2702334.82</v>
      </c>
      <c r="K19" s="123">
        <f t="shared" si="2"/>
        <v>4898040.63</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Dec 2015'!$A$1:$I$252,9,FALSE)</f>
        <v>1721379.8300000012</v>
      </c>
      <c r="F22" s="33">
        <v>0</v>
      </c>
      <c r="G22" s="33">
        <v>0</v>
      </c>
      <c r="H22" s="33">
        <v>-66618.509999999995</v>
      </c>
      <c r="I22" s="115">
        <f>E22+F22+G22+H22</f>
        <v>1654761.3200000012</v>
      </c>
      <c r="J22" s="33">
        <v>-266473.8</v>
      </c>
      <c r="K22" s="115">
        <f>I22+J22</f>
        <v>1388287.5200000012</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1721379.8300000012</v>
      </c>
      <c r="F24" s="29">
        <f t="shared" ref="F24:K24" si="3">SUM(F22:F23)</f>
        <v>0</v>
      </c>
      <c r="G24" s="29">
        <f t="shared" si="3"/>
        <v>0</v>
      </c>
      <c r="H24" s="29">
        <f t="shared" si="3"/>
        <v>-66618.509999999995</v>
      </c>
      <c r="I24" s="123">
        <f t="shared" si="3"/>
        <v>1654761.3200000012</v>
      </c>
      <c r="J24" s="49">
        <f t="shared" si="3"/>
        <v>-266473.8</v>
      </c>
      <c r="K24" s="123">
        <f t="shared" si="3"/>
        <v>1388287.5200000012</v>
      </c>
      <c r="L24" s="230"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Dec 2015'!$A$1:$I$252,9,FALSE)</f>
        <v>1965263</v>
      </c>
      <c r="F27" s="33">
        <v>0</v>
      </c>
      <c r="G27" s="33">
        <v>71613</v>
      </c>
      <c r="H27" s="29">
        <v>0</v>
      </c>
      <c r="I27" s="115">
        <f>E27+F27+G27+H27</f>
        <v>2036876</v>
      </c>
      <c r="J27" s="33">
        <v>0</v>
      </c>
      <c r="K27" s="115">
        <f>I27+J27</f>
        <v>2036876</v>
      </c>
      <c r="L27" s="210" t="s">
        <v>22</v>
      </c>
      <c r="M27" s="226"/>
      <c r="S27" s="28" t="s">
        <v>23</v>
      </c>
    </row>
    <row r="28" spans="1:21" ht="13.5" customHeight="1" x14ac:dyDescent="0.2">
      <c r="A28" s="100" t="s">
        <v>80</v>
      </c>
      <c r="B28" s="28"/>
      <c r="C28" s="28" t="s">
        <v>24</v>
      </c>
      <c r="D28" s="4" t="s">
        <v>204</v>
      </c>
      <c r="E28" s="32">
        <f>VLOOKUP(A28,'DEK Dec 2015'!$A$1:$I$252,9,FALSE)</f>
        <v>-3791680.8</v>
      </c>
      <c r="F28" s="33">
        <v>0</v>
      </c>
      <c r="G28" s="33">
        <v>3308596</v>
      </c>
      <c r="H28" s="32">
        <v>0</v>
      </c>
      <c r="I28" s="115">
        <f>E28+F28+G28+H28</f>
        <v>-483084.79999999981</v>
      </c>
      <c r="J28" s="33">
        <v>0</v>
      </c>
      <c r="K28" s="115">
        <f>I28+J28</f>
        <v>-483084.79999999981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3380209</v>
      </c>
      <c r="H30" s="33">
        <f t="shared" si="4"/>
        <v>0</v>
      </c>
      <c r="I30" s="123">
        <f t="shared" si="4"/>
        <v>1553791.2000000002</v>
      </c>
      <c r="J30" s="33">
        <f t="shared" si="4"/>
        <v>0</v>
      </c>
      <c r="K30" s="123">
        <f t="shared" si="4"/>
        <v>1553791.2000000002</v>
      </c>
      <c r="L30" s="23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2015'!$A$1:$I$252,9,FALSE)</f>
        <v>6662853.9800000014</v>
      </c>
      <c r="F52" s="33">
        <v>0</v>
      </c>
      <c r="G52" s="33">
        <v>-2768672.71</v>
      </c>
      <c r="H52" s="33">
        <v>0</v>
      </c>
      <c r="I52" s="115">
        <f>E52+F52+G52+H52</f>
        <v>3894181.2700000014</v>
      </c>
      <c r="J52" s="33">
        <v>-2435861.02</v>
      </c>
      <c r="K52" s="115">
        <f>I52+J52</f>
        <v>1458320.2500000014</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2015'!$A$1:$I$252,9,FALSE)</f>
        <v>5735787</v>
      </c>
      <c r="F53" s="33">
        <v>0</v>
      </c>
      <c r="G53" s="33">
        <v>681751</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Dec 2015'!$A$1:$I$252,9,FALSE)</f>
        <v>1400000</v>
      </c>
      <c r="F59" s="33">
        <v>0</v>
      </c>
      <c r="G59" s="33">
        <v>50000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Dec 2015'!$A$1:$I$252,9,FALSE)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Dec 2015'!$A$1:$I$252,9,FALSE)</f>
        <v>12182527.709999997</v>
      </c>
      <c r="F67" s="172"/>
      <c r="G67" s="33">
        <v>2629969.15</v>
      </c>
      <c r="H67" s="172"/>
      <c r="I67" s="115">
        <f t="shared" si="5"/>
        <v>14812496.859999998</v>
      </c>
      <c r="J67" s="172"/>
      <c r="K67" s="115">
        <f t="shared" si="6"/>
        <v>14812496.859999998</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Dec 2015'!$A$1:$I$252,9,FALSE)</f>
        <v>3015675.55</v>
      </c>
      <c r="F71" s="172"/>
      <c r="G71" s="33">
        <v>1488537.06</v>
      </c>
      <c r="H71" s="33"/>
      <c r="I71" s="115">
        <f t="shared" si="5"/>
        <v>4504212.6099999994</v>
      </c>
      <c r="J71" s="33"/>
      <c r="K71" s="115">
        <f t="shared" si="6"/>
        <v>4504212.6099999994</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Dec 2015'!$A$1:$I$252,9,FALSE)</f>
        <v>-9618.8799999999992</v>
      </c>
      <c r="F73" s="172"/>
      <c r="G73" s="33">
        <v>-17318.830000000002</v>
      </c>
      <c r="H73" s="33"/>
      <c r="I73" s="115">
        <f t="shared" si="5"/>
        <v>-26937.71</v>
      </c>
      <c r="J73" s="33"/>
      <c r="K73" s="115">
        <f t="shared" si="6"/>
        <v>-26937.71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Dec 2015'!$A$1:$I$252,9,FALSE)</f>
        <v>4282400.5200000005</v>
      </c>
      <c r="F75" s="172"/>
      <c r="G75" s="33">
        <v>1108297.98</v>
      </c>
      <c r="H75" s="33"/>
      <c r="I75" s="115">
        <f t="shared" ref="I75" si="7">E75+F75+G75+H75</f>
        <v>5390698.5</v>
      </c>
      <c r="J75" s="33"/>
      <c r="K75" s="115">
        <f t="shared" ref="K75" si="8">I75+J75</f>
        <v>5390698.5</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Dec 2015'!$A$1:$I$252,9,FALSE)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Dec 2015'!$A$1:$I$252,9,FALSE)</f>
        <v>0</v>
      </c>
      <c r="F79" s="174"/>
      <c r="G79" s="36">
        <v>0</v>
      </c>
      <c r="H79" s="36">
        <v>0</v>
      </c>
      <c r="I79" s="116">
        <f t="shared" si="9"/>
        <v>0</v>
      </c>
      <c r="J79" s="36"/>
      <c r="K79" s="116">
        <f t="shared" si="10"/>
        <v>0</v>
      </c>
      <c r="M79" s="20"/>
      <c r="S79" s="18"/>
    </row>
    <row r="80" spans="1:19" x14ac:dyDescent="0.2">
      <c r="B80" s="54"/>
      <c r="C80" s="28"/>
      <c r="E80" s="32">
        <f>SUM(E42:E79)</f>
        <v>38182309.879999995</v>
      </c>
      <c r="F80" s="29">
        <f>SUM(F39:F65)+F36</f>
        <v>0</v>
      </c>
      <c r="G80" s="29">
        <f>SUM(G39:G79)+G36</f>
        <v>3172563.65</v>
      </c>
      <c r="H80" s="29">
        <f>SUM(H39:H79)+H36</f>
        <v>0</v>
      </c>
      <c r="I80" s="123">
        <f>SUM(I39:I79)+I36</f>
        <v>41354873.529999994</v>
      </c>
      <c r="J80" s="49">
        <f>SUM(J39:J79)+J36</f>
        <v>-2435861.02</v>
      </c>
      <c r="K80" s="123">
        <f>SUM(K39:K79)+K36</f>
        <v>38919012.509999998</v>
      </c>
      <c r="L80" s="230"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Dec 2015'!$A$1:$I$252,9,FALSE)</f>
        <v>1419065.37</v>
      </c>
      <c r="F82" s="29"/>
      <c r="G82" s="29">
        <v>368313.39</v>
      </c>
      <c r="H82" s="29">
        <v>0</v>
      </c>
      <c r="I82" s="123">
        <f>E82+F82+G82+H82</f>
        <v>1787378.7600000002</v>
      </c>
      <c r="J82" s="49">
        <v>0</v>
      </c>
      <c r="K82" s="123">
        <f t="shared" ref="K82" si="11">I82+J82</f>
        <v>1787378.7600000002</v>
      </c>
      <c r="L82" s="230"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Dec 2015'!$A$1:$I$252,9,FALSE)</f>
        <v>25322652.440000001</v>
      </c>
      <c r="F86" s="30">
        <v>0</v>
      </c>
      <c r="G86" s="33">
        <v>-420093</v>
      </c>
      <c r="H86" s="30">
        <v>0</v>
      </c>
      <c r="I86" s="115">
        <f>E86+F86+G86+H86</f>
        <v>24902559.440000001</v>
      </c>
      <c r="J86" s="30">
        <v>0</v>
      </c>
      <c r="K86" s="115">
        <f t="shared" ref="K86:K88" si="12">I86+J86</f>
        <v>24902559.440000001</v>
      </c>
      <c r="L86" s="210" t="s">
        <v>22</v>
      </c>
      <c r="M86" s="20"/>
      <c r="P86" s="58"/>
      <c r="S86" s="18">
        <v>186801</v>
      </c>
    </row>
    <row r="87" spans="1:21" x14ac:dyDescent="0.2">
      <c r="A87" s="108" t="s">
        <v>171</v>
      </c>
      <c r="B87" s="28"/>
      <c r="C87" s="28" t="s">
        <v>122</v>
      </c>
      <c r="D87" s="4" t="s">
        <v>225</v>
      </c>
      <c r="E87" s="32">
        <f>VLOOKUP(A87,'DEK Dec 2015'!$A$1:$I$252,9,FALSE)</f>
        <v>2914929.55</v>
      </c>
      <c r="F87" s="30">
        <v>0</v>
      </c>
      <c r="G87" s="33">
        <v>-76194</v>
      </c>
      <c r="H87" s="30">
        <v>0</v>
      </c>
      <c r="I87" s="115">
        <f>E87+F87+G87+H87</f>
        <v>2838735.55</v>
      </c>
      <c r="J87" s="30">
        <v>0</v>
      </c>
      <c r="K87" s="115">
        <f t="shared" si="12"/>
        <v>2838735.55</v>
      </c>
      <c r="L87" s="210" t="s">
        <v>22</v>
      </c>
      <c r="M87" s="20"/>
      <c r="P87" s="58"/>
      <c r="S87" s="18"/>
    </row>
    <row r="88" spans="1:21" x14ac:dyDescent="0.2">
      <c r="A88" s="108" t="s">
        <v>172</v>
      </c>
      <c r="B88" s="28"/>
      <c r="C88" s="28" t="s">
        <v>123</v>
      </c>
      <c r="D88" s="4" t="s">
        <v>226</v>
      </c>
      <c r="E88" s="32">
        <f>VLOOKUP(A88,'DEK Dec 2015'!$A$1:$I$252,9,FALSE)</f>
        <v>51464.05</v>
      </c>
      <c r="F88" s="30">
        <v>0</v>
      </c>
      <c r="G88" s="33">
        <v>-1176</v>
      </c>
      <c r="H88" s="30">
        <v>0</v>
      </c>
      <c r="I88" s="115">
        <f>E88+F88+G88+H88</f>
        <v>50288.05</v>
      </c>
      <c r="J88" s="30">
        <v>0</v>
      </c>
      <c r="K88" s="115">
        <f t="shared" si="12"/>
        <v>50288.05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28289046.040000003</v>
      </c>
      <c r="F90" s="29">
        <f t="shared" ref="F90:K90" si="13">SUM(F85:F89)</f>
        <v>0</v>
      </c>
      <c r="G90" s="29">
        <f>SUM(G85:G89)</f>
        <v>-497463</v>
      </c>
      <c r="H90" s="29">
        <f t="shared" si="13"/>
        <v>0</v>
      </c>
      <c r="I90" s="123">
        <f t="shared" si="13"/>
        <v>27791583.040000003</v>
      </c>
      <c r="J90" s="29">
        <f t="shared" si="13"/>
        <v>0</v>
      </c>
      <c r="K90" s="123">
        <f t="shared" si="13"/>
        <v>27791583.040000003</v>
      </c>
      <c r="L90" s="230"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70290412.730000004</v>
      </c>
      <c r="F96" s="133">
        <f>+F12+F24+F30+F80+F90+F92+F19+F93</f>
        <v>0</v>
      </c>
      <c r="G96" s="133">
        <f>+G12+G24+G30+G80+G82+G90+G92+G19+G93</f>
        <v>7945922.3799999999</v>
      </c>
      <c r="H96" s="133">
        <f>+H12+H24+H30+H80+H82+H90+H92+H19+H93</f>
        <v>-66618.509999999995</v>
      </c>
      <c r="I96" s="134">
        <f>+I12+I24+I30+I80+I82+I90+I92+I19+I93</f>
        <v>78169716.599999994</v>
      </c>
      <c r="J96" s="133">
        <f>+J12+J24+J30+J80+J82+J90+J92+J19+J93</f>
        <v>0</v>
      </c>
      <c r="K96" s="134">
        <f>+K12+K24+K30+K80+K82+K90+K92+K19+K93</f>
        <v>78169716.599999994</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Dec 2015'!$A$1:$I$252,9,FALSE)</f>
        <v>2.9103830456733704E-10</v>
      </c>
      <c r="F99" s="30">
        <v>0</v>
      </c>
      <c r="G99" s="33">
        <v>0</v>
      </c>
      <c r="H99" s="33">
        <v>0</v>
      </c>
      <c r="I99" s="115">
        <f t="shared" ref="I99:I104" si="15">E99+F99+G99+H99</f>
        <v>2.9103830456733704E-10</v>
      </c>
      <c r="J99" s="30">
        <v>0</v>
      </c>
      <c r="K99" s="115">
        <f t="shared" ref="K99:K104" si="16">I99+J99</f>
        <v>2.9103830456733704E-10</v>
      </c>
      <c r="L99" s="210" t="s">
        <v>22</v>
      </c>
      <c r="M99" s="33"/>
      <c r="N99" s="42"/>
      <c r="O99" s="42"/>
      <c r="S99" s="18">
        <v>191400</v>
      </c>
      <c r="T99" s="58"/>
    </row>
    <row r="100" spans="1:20" x14ac:dyDescent="0.2">
      <c r="A100" s="100" t="s">
        <v>115</v>
      </c>
      <c r="B100" s="18"/>
      <c r="C100" s="28" t="s">
        <v>53</v>
      </c>
      <c r="D100" s="4" t="s">
        <v>115</v>
      </c>
      <c r="E100" s="32">
        <f>VLOOKUP(A100,'DEK Dec 2015'!$A$1:$I$252,9,FALSE)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Dec 2015'!$A$1:$I$252,9,FALSE)</f>
        <v>-979018</v>
      </c>
      <c r="F101" s="30">
        <v>0</v>
      </c>
      <c r="G101" s="30">
        <v>979018</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Dec 2015'!$A$1:$I$252,9,FALSE)</f>
        <v>-716883.78000000049</v>
      </c>
      <c r="F102" s="30">
        <v>0</v>
      </c>
      <c r="G102" s="30">
        <v>716883.78</v>
      </c>
      <c r="H102" s="33">
        <v>0</v>
      </c>
      <c r="I102" s="115">
        <f t="shared" si="15"/>
        <v>-4.6566128730773926E-10</v>
      </c>
      <c r="J102" s="30">
        <v>0</v>
      </c>
      <c r="K102" s="115">
        <f t="shared" si="16"/>
        <v>-4.6566128730773926E-10</v>
      </c>
      <c r="L102" s="210" t="s">
        <v>22</v>
      </c>
      <c r="M102" s="20"/>
      <c r="N102" s="42"/>
      <c r="O102" s="42"/>
      <c r="S102" s="18">
        <v>242997</v>
      </c>
      <c r="T102" s="58"/>
    </row>
    <row r="103" spans="1:20" x14ac:dyDescent="0.2">
      <c r="A103" s="100" t="s">
        <v>120</v>
      </c>
      <c r="B103" s="18"/>
      <c r="C103" s="28" t="s">
        <v>54</v>
      </c>
      <c r="D103" s="4" t="s">
        <v>120</v>
      </c>
      <c r="E103" s="32">
        <f>VLOOKUP(A103,'DEK Dec 2015'!$A$1:$I$252,9,FALSE)</f>
        <v>-468742.74999999977</v>
      </c>
      <c r="F103" s="33">
        <v>0</v>
      </c>
      <c r="G103" s="44">
        <v>0</v>
      </c>
      <c r="H103" s="33">
        <v>286032.2</v>
      </c>
      <c r="I103" s="115">
        <f t="shared" si="15"/>
        <v>-182710.54999999976</v>
      </c>
      <c r="J103" s="33">
        <v>0</v>
      </c>
      <c r="K103" s="115">
        <f t="shared" si="16"/>
        <v>-182710.54999999976</v>
      </c>
      <c r="L103" s="210" t="s">
        <v>22</v>
      </c>
      <c r="M103" s="42"/>
      <c r="N103" s="42"/>
      <c r="O103" s="42"/>
      <c r="S103" s="18">
        <v>253130</v>
      </c>
      <c r="T103" s="58"/>
    </row>
    <row r="104" spans="1:20" x14ac:dyDescent="0.2">
      <c r="A104" s="100" t="s">
        <v>156</v>
      </c>
      <c r="B104" s="18"/>
      <c r="C104" s="28" t="s">
        <v>116</v>
      </c>
      <c r="D104" s="4" t="s">
        <v>211</v>
      </c>
      <c r="E104" s="32">
        <f>VLOOKUP(A104,'DEK Dec 2015'!$A$1:$I$252,9,FALSE)</f>
        <v>-503666.72</v>
      </c>
      <c r="F104" s="33"/>
      <c r="G104" s="33">
        <v>-1840971.04</v>
      </c>
      <c r="H104" s="33">
        <v>0</v>
      </c>
      <c r="I104" s="115">
        <f t="shared" si="15"/>
        <v>-2344637.7599999998</v>
      </c>
      <c r="J104" s="30">
        <v>0</v>
      </c>
      <c r="K104" s="115">
        <f t="shared" si="16"/>
        <v>-2344637.7599999998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-2668311.25</v>
      </c>
      <c r="F106" s="33">
        <f t="shared" si="17"/>
        <v>0</v>
      </c>
      <c r="G106" s="33">
        <f t="shared" si="17"/>
        <v>-145069.26</v>
      </c>
      <c r="H106" s="33">
        <f t="shared" si="17"/>
        <v>286032.2</v>
      </c>
      <c r="I106" s="123">
        <f t="shared" si="17"/>
        <v>-2527348.3099999996</v>
      </c>
      <c r="J106" s="33">
        <f t="shared" si="17"/>
        <v>0</v>
      </c>
      <c r="K106" s="123">
        <f t="shared" si="17"/>
        <v>-2527348.3099999996</v>
      </c>
      <c r="L106" s="230"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c r="H113" s="30"/>
      <c r="I113" s="113"/>
      <c r="J113" s="19"/>
      <c r="K113" s="113"/>
      <c r="M113" s="19"/>
      <c r="N113" s="42"/>
      <c r="O113" s="48"/>
      <c r="T113" s="46"/>
      <c r="U113" s="46"/>
    </row>
    <row r="114" spans="1:23" x14ac:dyDescent="0.2">
      <c r="A114" s="100" t="s">
        <v>162</v>
      </c>
      <c r="B114" s="18"/>
      <c r="C114" s="28" t="s">
        <v>76</v>
      </c>
      <c r="D114" s="4" t="s">
        <v>194</v>
      </c>
      <c r="E114" s="32">
        <f>VLOOKUP(A114,'DEK Dec 2015'!$A$1:$I$252,9,FALSE)</f>
        <v>-4937507.7300000004</v>
      </c>
      <c r="F114" s="30">
        <v>0</v>
      </c>
      <c r="G114" s="33">
        <v>137577</v>
      </c>
      <c r="H114" s="33">
        <v>0</v>
      </c>
      <c r="I114" s="123">
        <f>E114+G114+H114+F114</f>
        <v>-4799930.7300000004</v>
      </c>
      <c r="J114" s="91">
        <v>0</v>
      </c>
      <c r="K114" s="123">
        <f>I114+J114</f>
        <v>-4799930.7300000004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Dec 2015'!$A$1:$I$252,9,FALSE)</f>
        <v>0</v>
      </c>
      <c r="F117" s="30">
        <v>0</v>
      </c>
      <c r="G117" s="33">
        <v>0</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Dec 2015'!$A$1:$I$252,9,FALSE)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Dec 2015'!$A$1:$I$252,9,FALSE)</f>
        <v>-15853.620000000004</v>
      </c>
      <c r="F119" s="30">
        <v>0</v>
      </c>
      <c r="G119" s="33">
        <v>131.41</v>
      </c>
      <c r="H119" s="33">
        <v>0</v>
      </c>
      <c r="I119" s="117">
        <f>E119+F119+G119+H119</f>
        <v>-15722.210000000005</v>
      </c>
      <c r="J119" s="30">
        <v>0</v>
      </c>
      <c r="K119" s="117">
        <f t="shared" si="19"/>
        <v>-15722.210000000005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-15853.620000000004</v>
      </c>
      <c r="F121" s="30">
        <f t="shared" ref="F121:K121" si="21">SUM(F117:F120)</f>
        <v>0</v>
      </c>
      <c r="G121" s="30">
        <f t="shared" si="21"/>
        <v>131.41</v>
      </c>
      <c r="H121" s="30">
        <f t="shared" si="21"/>
        <v>0</v>
      </c>
      <c r="I121" s="122">
        <f t="shared" si="21"/>
        <v>-15722.210000000005</v>
      </c>
      <c r="J121" s="30">
        <f t="shared" si="21"/>
        <v>0</v>
      </c>
      <c r="K121" s="122">
        <f t="shared" si="21"/>
        <v>-15722.210000000005</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Dec 2015'!$A$1:$I$252,9,FALSE)</f>
        <v>-17488922.300000004</v>
      </c>
      <c r="F123" s="30">
        <v>0</v>
      </c>
      <c r="G123" s="30">
        <v>-173583.57</v>
      </c>
      <c r="H123" s="30">
        <v>0</v>
      </c>
      <c r="I123" s="115">
        <f t="shared" ref="I123:I129" si="22">E123+F123+G123+H123</f>
        <v>-17662505.870000005</v>
      </c>
      <c r="J123" s="30">
        <v>0</v>
      </c>
      <c r="K123" s="115">
        <f t="shared" ref="K123:K129" si="23">I123+J123</f>
        <v>-17662505.870000005</v>
      </c>
      <c r="L123" s="210" t="s">
        <v>241</v>
      </c>
      <c r="M123" s="20"/>
      <c r="N123" s="42"/>
      <c r="O123" s="42"/>
      <c r="Q123" s="238">
        <v>75086</v>
      </c>
      <c r="R123" s="58" t="s">
        <v>44</v>
      </c>
      <c r="S123" s="18">
        <v>108201</v>
      </c>
      <c r="T123" s="58"/>
    </row>
    <row r="124" spans="1:23" x14ac:dyDescent="0.2">
      <c r="A124" s="100" t="s">
        <v>166</v>
      </c>
      <c r="B124" s="18"/>
      <c r="C124" s="28" t="s">
        <v>45</v>
      </c>
      <c r="D124" s="4" t="s">
        <v>198</v>
      </c>
      <c r="E124" s="32">
        <f>VLOOKUP(A124,'DEK Dec 2015'!$A$1:$I$252,9,FALSE)</f>
        <v>-47028297.050000004</v>
      </c>
      <c r="F124" s="30">
        <v>0</v>
      </c>
      <c r="G124" s="30">
        <v>-851590.76</v>
      </c>
      <c r="H124" s="30">
        <v>0</v>
      </c>
      <c r="I124" s="115">
        <f t="shared" si="22"/>
        <v>-47879887.810000002</v>
      </c>
      <c r="J124" s="30">
        <v>0</v>
      </c>
      <c r="K124" s="115">
        <f t="shared" si="23"/>
        <v>-47879887.810000002</v>
      </c>
      <c r="L124" s="210" t="s">
        <v>242</v>
      </c>
      <c r="M124" s="20"/>
      <c r="N124" s="42"/>
      <c r="O124" s="42"/>
      <c r="R124" s="58" t="s">
        <v>44</v>
      </c>
      <c r="S124" s="18">
        <v>108301</v>
      </c>
      <c r="T124" s="58"/>
    </row>
    <row r="125" spans="1:23" x14ac:dyDescent="0.2">
      <c r="A125" s="100" t="s">
        <v>167</v>
      </c>
      <c r="B125" s="18"/>
      <c r="C125" s="28" t="s">
        <v>46</v>
      </c>
      <c r="D125" s="4" t="s">
        <v>199</v>
      </c>
      <c r="E125" s="32">
        <f>VLOOKUP(A125,'DEK Dec 2015'!$A$1:$I$252,9,FALSE)</f>
        <v>10041717.999999998</v>
      </c>
      <c r="F125" s="30">
        <v>0</v>
      </c>
      <c r="G125" s="30">
        <v>622779.07999999996</v>
      </c>
      <c r="H125" s="30">
        <v>0</v>
      </c>
      <c r="I125" s="115">
        <f t="shared" si="22"/>
        <v>10664497.079999998</v>
      </c>
      <c r="J125" s="30">
        <v>0</v>
      </c>
      <c r="K125" s="115">
        <f>I125+J125</f>
        <v>10664497.079999998</v>
      </c>
      <c r="L125" s="210" t="s">
        <v>242</v>
      </c>
      <c r="M125" s="20"/>
      <c r="N125" s="42"/>
      <c r="O125" s="42"/>
      <c r="S125" s="18">
        <v>108410</v>
      </c>
      <c r="T125" s="58"/>
    </row>
    <row r="126" spans="1:23" x14ac:dyDescent="0.2">
      <c r="A126" s="100" t="s">
        <v>168</v>
      </c>
      <c r="B126" s="18"/>
      <c r="C126" s="28" t="s">
        <v>74</v>
      </c>
      <c r="D126" s="4" t="s">
        <v>217</v>
      </c>
      <c r="E126" s="32">
        <f>VLOOKUP(A126,'DEK Dec 2015'!$A$1:$I$252,9,FALSE)</f>
        <v>2271628.58</v>
      </c>
      <c r="F126" s="30">
        <v>0</v>
      </c>
      <c r="G126" s="30">
        <v>63937.17</v>
      </c>
      <c r="H126" s="30">
        <v>0</v>
      </c>
      <c r="I126" s="115">
        <f t="shared" si="22"/>
        <v>2335565.75</v>
      </c>
      <c r="J126" s="30">
        <v>0</v>
      </c>
      <c r="K126" s="115">
        <f>I126+J126</f>
        <v>2335565.75</v>
      </c>
      <c r="M126" s="20"/>
      <c r="N126" s="42"/>
      <c r="O126" s="42"/>
      <c r="Q126" s="4" t="s">
        <v>50</v>
      </c>
      <c r="R126" s="4" t="s">
        <v>51</v>
      </c>
      <c r="S126" s="18">
        <v>182303</v>
      </c>
      <c r="T126" s="58"/>
    </row>
    <row r="127" spans="1:23" x14ac:dyDescent="0.2">
      <c r="A127" s="100" t="s">
        <v>169</v>
      </c>
      <c r="B127" s="18"/>
      <c r="C127" s="28" t="s">
        <v>49</v>
      </c>
      <c r="D127" s="4" t="s">
        <v>218</v>
      </c>
      <c r="E127" s="32">
        <f>VLOOKUP(A127,'DEK Dec 2015'!$A$1:$I$252,9,FALSE)</f>
        <v>4311315.6900000023</v>
      </c>
      <c r="F127" s="30">
        <v>0</v>
      </c>
      <c r="G127" s="30">
        <v>76412.179999999993</v>
      </c>
      <c r="H127" s="30">
        <v>0</v>
      </c>
      <c r="I127" s="115">
        <f t="shared" si="22"/>
        <v>4387727.870000002</v>
      </c>
      <c r="J127" s="30">
        <v>0</v>
      </c>
      <c r="K127" s="115">
        <f t="shared" si="23"/>
        <v>4387727.870000002</v>
      </c>
      <c r="M127" s="20"/>
      <c r="N127" s="42"/>
      <c r="O127" s="42"/>
      <c r="Q127" s="4" t="s">
        <v>50</v>
      </c>
      <c r="S127" s="18">
        <v>182304</v>
      </c>
      <c r="T127" s="58"/>
    </row>
    <row r="128" spans="1:23" x14ac:dyDescent="0.2">
      <c r="A128" s="100" t="s">
        <v>170</v>
      </c>
      <c r="B128" s="18"/>
      <c r="C128" s="28" t="s">
        <v>42</v>
      </c>
      <c r="D128" s="4" t="s">
        <v>200</v>
      </c>
      <c r="E128" s="32">
        <f>VLOOKUP(A128,'DEK Dec 2015'!$A$1:$I$252,9,FALSE)</f>
        <v>-139814.51000000004</v>
      </c>
      <c r="F128" s="30">
        <v>0</v>
      </c>
      <c r="G128" s="30">
        <v>-18338.28</v>
      </c>
      <c r="H128" s="30">
        <v>0</v>
      </c>
      <c r="I128" s="115">
        <f t="shared" si="22"/>
        <v>-158152.79000000004</v>
      </c>
      <c r="J128" s="30">
        <v>0</v>
      </c>
      <c r="K128" s="115">
        <f t="shared" si="23"/>
        <v>-158152.79000000004</v>
      </c>
      <c r="L128" s="210" t="s">
        <v>241</v>
      </c>
      <c r="M128" s="20"/>
      <c r="N128" s="42"/>
      <c r="O128" s="42"/>
      <c r="R128" s="58" t="s">
        <v>44</v>
      </c>
      <c r="S128" s="18">
        <v>108101</v>
      </c>
      <c r="T128" s="58"/>
    </row>
    <row r="129" spans="1:22" x14ac:dyDescent="0.2">
      <c r="A129" s="100" t="s">
        <v>272</v>
      </c>
      <c r="B129" s="18"/>
      <c r="C129" s="28" t="s">
        <v>271</v>
      </c>
      <c r="D129" s="4" t="s">
        <v>272</v>
      </c>
      <c r="E129" s="32">
        <v>0</v>
      </c>
      <c r="F129" s="30">
        <v>0</v>
      </c>
      <c r="G129" s="30">
        <v>261428.67</v>
      </c>
      <c r="H129" s="30">
        <v>0</v>
      </c>
      <c r="I129" s="115">
        <f t="shared" si="22"/>
        <v>261428.67</v>
      </c>
      <c r="J129" s="30">
        <v>0</v>
      </c>
      <c r="K129" s="115">
        <f t="shared" si="23"/>
        <v>261428.67</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-48032371.590000004</v>
      </c>
      <c r="F131" s="33">
        <f t="shared" si="24"/>
        <v>0</v>
      </c>
      <c r="G131" s="33">
        <f t="shared" si="24"/>
        <v>-18955.510000000155</v>
      </c>
      <c r="H131" s="33">
        <f t="shared" si="24"/>
        <v>0</v>
      </c>
      <c r="I131" s="123">
        <f t="shared" si="24"/>
        <v>-48051327.100000001</v>
      </c>
      <c r="J131" s="33">
        <f t="shared" si="24"/>
        <v>0</v>
      </c>
      <c r="K131" s="123">
        <f t="shared" si="24"/>
        <v>-48051327.100000001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-55654044.190000005</v>
      </c>
      <c r="F133" s="133">
        <f t="shared" ref="F133:H133" si="25">+F106+F114+F121+F131+F111</f>
        <v>0</v>
      </c>
      <c r="G133" s="133">
        <f t="shared" si="25"/>
        <v>-26316.360000000164</v>
      </c>
      <c r="H133" s="133">
        <f t="shared" si="25"/>
        <v>286032.2</v>
      </c>
      <c r="I133" s="134">
        <f>+I106+I114+I121+I131+I111</f>
        <v>-55394328.350000001</v>
      </c>
      <c r="J133" s="133">
        <f>+J106+J114+J121+J131+J111</f>
        <v>0</v>
      </c>
      <c r="K133" s="134">
        <f>+K106+K114+K121+K131+K111</f>
        <v>-55394328.350000001</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14636368.539999999</v>
      </c>
      <c r="F135" s="137">
        <f>F133+F96</f>
        <v>0</v>
      </c>
      <c r="G135" s="137">
        <f>G133+G96</f>
        <v>7919606.0199999996</v>
      </c>
      <c r="H135" s="137">
        <f>H133+H96</f>
        <v>219413.69</v>
      </c>
      <c r="I135" s="138">
        <f>I96+I133</f>
        <v>22775388.249999993</v>
      </c>
      <c r="J135" s="137">
        <f>J133+J96</f>
        <v>0</v>
      </c>
      <c r="K135" s="138">
        <f>K96+K133</f>
        <v>22775388.249999993</v>
      </c>
      <c r="L135" s="50">
        <v>0</v>
      </c>
      <c r="M135" s="70"/>
      <c r="N135" s="70"/>
      <c r="O135" s="70"/>
      <c r="P135" s="50"/>
      <c r="Q135" s="50"/>
      <c r="R135" s="50"/>
      <c r="S135" s="18"/>
      <c r="T135" s="29">
        <f>+G135+H135+F135</f>
        <v>8139019.71</v>
      </c>
      <c r="U135" s="19">
        <v>13111056.41</v>
      </c>
      <c r="V135" s="29">
        <f>+T135-U135</f>
        <v>-4972036.7</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-653148.52</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45">
        <f>G135+H135</f>
        <v>8139019.71</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7552489.6999999993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578872.59999999881</v>
      </c>
      <c r="F163" s="32">
        <f>+F93+F94</f>
        <v>0</v>
      </c>
      <c r="G163" s="165"/>
      <c r="H163" s="83"/>
      <c r="I163" s="84">
        <f>+I12</f>
        <v>1831622.9399999988</v>
      </c>
      <c r="J163" s="84">
        <f>+J12</f>
        <v>0</v>
      </c>
      <c r="K163" s="84">
        <f>+K12</f>
        <v>1831622.9399999988</v>
      </c>
      <c r="M163" s="20"/>
      <c r="S163" s="18"/>
    </row>
    <row r="164" spans="1:19" hidden="1" x14ac:dyDescent="0.2">
      <c r="A164" s="109" t="s">
        <v>142</v>
      </c>
      <c r="B164" s="18"/>
      <c r="C164" s="18"/>
      <c r="D164" s="82" t="s">
        <v>142</v>
      </c>
      <c r="E164" s="83">
        <f>+E19</f>
        <v>1926156.81</v>
      </c>
      <c r="F164" s="32">
        <f t="shared" ref="F164:F169" si="26">+F94+F95</f>
        <v>0</v>
      </c>
      <c r="G164" s="165"/>
      <c r="H164" s="83"/>
      <c r="I164" s="84">
        <f>+I19</f>
        <v>2195705.81</v>
      </c>
      <c r="J164" s="84">
        <f>+J19</f>
        <v>2702334.82</v>
      </c>
      <c r="K164" s="84">
        <f>+K19</f>
        <v>4898040.63</v>
      </c>
      <c r="M164" s="20"/>
      <c r="S164" s="18"/>
    </row>
    <row r="165" spans="1:19" hidden="1" x14ac:dyDescent="0.2">
      <c r="A165" s="109" t="s">
        <v>141</v>
      </c>
      <c r="B165" s="18"/>
      <c r="C165" s="18"/>
      <c r="D165" s="82" t="s">
        <v>141</v>
      </c>
      <c r="E165" s="83">
        <f>+E24</f>
        <v>1721379.8300000012</v>
      </c>
      <c r="F165" s="32">
        <f t="shared" si="26"/>
        <v>0</v>
      </c>
      <c r="G165" s="165"/>
      <c r="H165" s="83"/>
      <c r="I165" s="84">
        <f>+I24</f>
        <v>1654761.3200000012</v>
      </c>
      <c r="J165" s="84">
        <f>+J24</f>
        <v>-266473.8</v>
      </c>
      <c r="K165" s="84">
        <f>+K24</f>
        <v>1388287.5200000012</v>
      </c>
      <c r="M165" s="20"/>
      <c r="S165" s="18"/>
    </row>
    <row r="166" spans="1:19" hidden="1" x14ac:dyDescent="0.2">
      <c r="A166" s="109" t="s">
        <v>61</v>
      </c>
      <c r="B166" s="18"/>
      <c r="C166" s="18"/>
      <c r="D166" s="82" t="s">
        <v>61</v>
      </c>
      <c r="E166" s="32">
        <f>+E30</f>
        <v>-1826417.7999999998</v>
      </c>
      <c r="F166" s="32">
        <f t="shared" si="26"/>
        <v>0</v>
      </c>
      <c r="G166" s="157"/>
      <c r="H166" s="32"/>
      <c r="I166" s="84">
        <f>+I30</f>
        <v>1553791.2000000002</v>
      </c>
      <c r="J166" s="84">
        <f>+J30</f>
        <v>0</v>
      </c>
      <c r="K166" s="84">
        <f>+K30</f>
        <v>1553791.2000000002</v>
      </c>
      <c r="M166" s="20"/>
      <c r="S166" s="18"/>
    </row>
    <row r="167" spans="1:19" hidden="1" x14ac:dyDescent="0.2">
      <c r="A167" s="109" t="s">
        <v>143</v>
      </c>
      <c r="B167" s="18"/>
      <c r="C167" s="18"/>
      <c r="D167" s="82" t="s">
        <v>143</v>
      </c>
      <c r="E167" s="32">
        <f>+E80</f>
        <v>38182309.879999995</v>
      </c>
      <c r="F167" s="32">
        <f t="shared" si="26"/>
        <v>0</v>
      </c>
      <c r="G167" s="157"/>
      <c r="H167" s="32"/>
      <c r="I167" s="84">
        <f>+I80</f>
        <v>41354873.529999994</v>
      </c>
      <c r="J167" s="84">
        <f>+J80</f>
        <v>-2435861.02</v>
      </c>
      <c r="K167" s="84">
        <f>+K80</f>
        <v>38919012.509999998</v>
      </c>
      <c r="M167" s="20"/>
      <c r="S167" s="18"/>
    </row>
    <row r="168" spans="1:19" hidden="1" x14ac:dyDescent="0.2">
      <c r="A168" s="109" t="s">
        <v>151</v>
      </c>
      <c r="B168" s="18"/>
      <c r="C168" s="18"/>
      <c r="D168" s="82" t="s">
        <v>151</v>
      </c>
      <c r="E168" s="32">
        <f>+E90</f>
        <v>28289046.040000003</v>
      </c>
      <c r="F168" s="32">
        <f t="shared" si="26"/>
        <v>0</v>
      </c>
      <c r="G168" s="157"/>
      <c r="H168" s="32"/>
      <c r="I168" s="84">
        <f>+I90</f>
        <v>27791583.040000003</v>
      </c>
      <c r="J168" s="84">
        <f>+J90</f>
        <v>0</v>
      </c>
      <c r="K168" s="84">
        <f>+K90</f>
        <v>27791583.040000003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-2668311.25</v>
      </c>
      <c r="F170" s="32" t="e">
        <f>+F100+#REF!</f>
        <v>#REF!</v>
      </c>
      <c r="G170" s="157"/>
      <c r="H170" s="32"/>
      <c r="I170" s="84">
        <f>+I106</f>
        <v>-2527348.3099999996</v>
      </c>
      <c r="J170" s="84">
        <f>+J106</f>
        <v>0</v>
      </c>
      <c r="K170" s="84">
        <f>+K106</f>
        <v>-2527348.3099999996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-4937507.7300000004</v>
      </c>
      <c r="F172" s="32" t="e">
        <f>+#REF!+#REF!</f>
        <v>#REF!</v>
      </c>
      <c r="G172" s="157"/>
      <c r="H172" s="32"/>
      <c r="I172" s="84">
        <f>+I114</f>
        <v>-4799930.7300000004</v>
      </c>
      <c r="J172" s="84">
        <f>+J114</f>
        <v>0</v>
      </c>
      <c r="K172" s="84">
        <f>+K114</f>
        <v>-4799930.7300000004</v>
      </c>
      <c r="M172" s="20"/>
      <c r="S172" s="18"/>
    </row>
    <row r="173" spans="1:19" hidden="1" x14ac:dyDescent="0.2">
      <c r="A173" s="109" t="s">
        <v>153</v>
      </c>
      <c r="B173" s="18"/>
      <c r="C173" s="18"/>
      <c r="D173" s="82" t="s">
        <v>153</v>
      </c>
      <c r="E173" s="32">
        <f>+E121</f>
        <v>-15853.620000000004</v>
      </c>
      <c r="F173" s="32" t="e">
        <f>+#REF!+F101</f>
        <v>#REF!</v>
      </c>
      <c r="G173" s="157"/>
      <c r="H173" s="32"/>
      <c r="I173" s="84">
        <f>+I121</f>
        <v>-15722.210000000005</v>
      </c>
      <c r="J173" s="84">
        <f>+J121</f>
        <v>0</v>
      </c>
      <c r="K173" s="84">
        <f>+K121</f>
        <v>-15722.210000000005</v>
      </c>
      <c r="M173" s="20"/>
      <c r="S173" s="18"/>
    </row>
    <row r="174" spans="1:19" hidden="1" x14ac:dyDescent="0.2">
      <c r="A174" s="109" t="s">
        <v>155</v>
      </c>
      <c r="B174" s="18"/>
      <c r="C174" s="18"/>
      <c r="D174" s="82" t="s">
        <v>155</v>
      </c>
      <c r="E174" s="32">
        <f>+E131</f>
        <v>-48032371.590000004</v>
      </c>
      <c r="F174" s="32">
        <f t="shared" ref="F174" si="27">+F101+F102</f>
        <v>0</v>
      </c>
      <c r="G174" s="157"/>
      <c r="H174" s="32"/>
      <c r="I174" s="84">
        <f>+I131</f>
        <v>-48051327.100000001</v>
      </c>
      <c r="J174" s="84">
        <f>+J131</f>
        <v>0</v>
      </c>
      <c r="K174" s="84">
        <f>+K131</f>
        <v>-48051327.100000001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13217303.169999994</v>
      </c>
      <c r="F176" s="88" t="e">
        <f>SUM(F166:F175)</f>
        <v>#REF!</v>
      </c>
      <c r="G176" s="166"/>
      <c r="H176" s="88"/>
      <c r="I176" s="89">
        <f>SUM(I162:I175)</f>
        <v>20988009.490000002</v>
      </c>
      <c r="J176" s="89">
        <f>SUM(J162:J175)</f>
        <v>0</v>
      </c>
      <c r="K176" s="89">
        <f>SUM(K162:K175)</f>
        <v>20988009.490000002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-1419065.3700000048</v>
      </c>
      <c r="F178" s="19"/>
      <c r="G178" s="148"/>
      <c r="H178" s="19"/>
      <c r="I178" s="19">
        <f>+I176-I135</f>
        <v>-1787378.7599999905</v>
      </c>
      <c r="J178" s="19">
        <f>+J176-J135</f>
        <v>0</v>
      </c>
      <c r="K178" s="19">
        <f>+K176-K135</f>
        <v>-1787378.7599999905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319549</v>
      </c>
      <c r="H182" s="19">
        <f>+H34+H52+H42+H44+H46+H48+H85+H57+H59+H15+H50+H66+H55</f>
        <v>0</v>
      </c>
      <c r="I182" s="19"/>
      <c r="J182" s="19"/>
      <c r="K182" s="19"/>
      <c r="M182" s="20"/>
      <c r="S182" s="18"/>
    </row>
    <row r="183" spans="1:19" hidden="1" x14ac:dyDescent="0.2">
      <c r="A183" s="100" t="s">
        <v>64</v>
      </c>
      <c r="B183" s="18"/>
      <c r="C183" s="18"/>
      <c r="D183" s="34" t="s">
        <v>64</v>
      </c>
      <c r="F183" s="19"/>
      <c r="G183" s="148">
        <f>+G9+G92+G10</f>
        <v>1252750.3399999999</v>
      </c>
      <c r="H183" s="19">
        <f>+H9+H92+H10</f>
        <v>0</v>
      </c>
      <c r="I183" s="19"/>
      <c r="J183" s="19"/>
      <c r="K183" s="19"/>
      <c r="M183" s="20"/>
      <c r="S183" s="18"/>
    </row>
    <row r="184" spans="1:19" hidden="1" x14ac:dyDescent="0.2">
      <c r="A184" s="100" t="s">
        <v>65</v>
      </c>
      <c r="B184" s="18"/>
      <c r="C184" s="18"/>
      <c r="D184" s="34" t="s">
        <v>65</v>
      </c>
      <c r="F184" s="19"/>
      <c r="G184" s="148">
        <f>+G100+G101+G102+G103+G99+G104</f>
        <v>-145069.26</v>
      </c>
      <c r="H184" s="19">
        <f>+H100+H101+H102+H103+H99</f>
        <v>286032.2</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1427230.0799999998</v>
      </c>
      <c r="H186" s="110">
        <f>+H182+H183+H184-H139</f>
        <v>286032.2</v>
      </c>
      <c r="I186" s="19"/>
      <c r="J186" s="19"/>
      <c r="K186" s="19"/>
      <c r="M186" s="20"/>
      <c r="S186" s="18"/>
    </row>
    <row r="187" spans="1:19" hidden="1" x14ac:dyDescent="0.2">
      <c r="B187" s="18"/>
      <c r="C187" s="18"/>
      <c r="F187" s="19"/>
      <c r="H187" s="29">
        <f>+H183+H184+H182+G182+G183+G184</f>
        <v>1713262.2799999998</v>
      </c>
      <c r="I187" s="19"/>
      <c r="J187" s="19"/>
      <c r="K187" s="19"/>
      <c r="M187" s="20"/>
      <c r="S187" s="18"/>
    </row>
    <row r="188" spans="1:19" hidden="1" x14ac:dyDescent="0.2">
      <c r="B188" s="18"/>
      <c r="C188" s="18"/>
      <c r="F188" s="19"/>
      <c r="G188" s="148"/>
      <c r="H188" s="29">
        <f>+H187-G139-H139</f>
        <v>1713262.2799999998</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zoomScale="80" zoomScaleNormal="80" workbookViewId="0">
      <selection activeCell="L106" sqref="L106"/>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39" t="s">
        <v>66</v>
      </c>
    </row>
    <row r="4" spans="1:22" x14ac:dyDescent="0.2">
      <c r="A4" s="99"/>
      <c r="B4" s="7"/>
      <c r="C4" s="3"/>
      <c r="D4" s="3"/>
      <c r="E4" s="212"/>
      <c r="F4" s="8"/>
      <c r="G4" s="215"/>
      <c r="H4" s="216"/>
      <c r="I4" s="202"/>
      <c r="J4" s="202"/>
      <c r="K4" s="202"/>
      <c r="M4" s="10"/>
      <c r="P4" s="239" t="s">
        <v>1</v>
      </c>
    </row>
    <row r="5" spans="1:22" x14ac:dyDescent="0.2">
      <c r="E5" s="217" t="s">
        <v>208</v>
      </c>
      <c r="F5" s="239" t="s">
        <v>3</v>
      </c>
      <c r="G5" s="239" t="s">
        <v>4</v>
      </c>
      <c r="H5" s="239"/>
      <c r="I5" s="204" t="s">
        <v>208</v>
      </c>
      <c r="J5" s="13" t="s">
        <v>180</v>
      </c>
      <c r="K5" s="204" t="s">
        <v>209</v>
      </c>
      <c r="L5" s="239" t="s">
        <v>5</v>
      </c>
      <c r="M5" s="11" t="s">
        <v>6</v>
      </c>
      <c r="N5" s="11" t="s">
        <v>0</v>
      </c>
      <c r="O5" s="11" t="s">
        <v>8</v>
      </c>
      <c r="P5" s="239" t="s">
        <v>9</v>
      </c>
      <c r="Q5" s="576" t="s">
        <v>10</v>
      </c>
      <c r="R5" s="576"/>
      <c r="U5" s="12" t="s">
        <v>11</v>
      </c>
    </row>
    <row r="6" spans="1:22" x14ac:dyDescent="0.2">
      <c r="E6" s="218">
        <v>42460</v>
      </c>
      <c r="F6" s="13" t="s">
        <v>12</v>
      </c>
      <c r="G6" s="14" t="s">
        <v>13</v>
      </c>
      <c r="H6" s="14" t="s">
        <v>8</v>
      </c>
      <c r="I6" s="205">
        <v>42490</v>
      </c>
      <c r="J6" s="13" t="s">
        <v>210</v>
      </c>
      <c r="K6" s="205">
        <f>I6</f>
        <v>42490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Mar 2016'!$A$1:$I$252,9,FALSE)</f>
        <v>63343.919999998849</v>
      </c>
      <c r="F9" s="30">
        <v>0</v>
      </c>
      <c r="G9" s="33">
        <v>-63343.92</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Mar 2016'!$A$1:$I$252,9,FALSE)</f>
        <v>1768279.02</v>
      </c>
      <c r="F10" s="33">
        <v>0</v>
      </c>
      <c r="G10" s="33">
        <v>-1768279.02</v>
      </c>
      <c r="H10" s="33">
        <v>0</v>
      </c>
      <c r="I10" s="115">
        <f>E10+F10+G10+H10</f>
        <v>0</v>
      </c>
      <c r="J10" s="30">
        <v>0</v>
      </c>
      <c r="K10" s="115">
        <f>I10+J10</f>
        <v>0</v>
      </c>
      <c r="L10" s="210" t="s">
        <v>22</v>
      </c>
      <c r="M10" s="20"/>
      <c r="S10" s="18">
        <v>191990</v>
      </c>
    </row>
    <row r="11" spans="1:22" x14ac:dyDescent="0.2">
      <c r="B11" s="28"/>
      <c r="C11" s="28"/>
      <c r="D11" s="34"/>
      <c r="E11" s="35"/>
      <c r="F11" s="36"/>
      <c r="G11" s="150"/>
      <c r="H11" s="36"/>
      <c r="I11" s="116"/>
      <c r="J11" s="36"/>
      <c r="K11" s="116"/>
      <c r="M11" s="20"/>
      <c r="S11" s="18"/>
    </row>
    <row r="12" spans="1:22" x14ac:dyDescent="0.2">
      <c r="B12" s="28"/>
      <c r="C12" s="18"/>
      <c r="E12" s="32">
        <f>SUM(E9:E11)</f>
        <v>1831622.9399999988</v>
      </c>
      <c r="F12" s="29">
        <f t="shared" ref="F12:J12" si="0">SUM(F9:F10)</f>
        <v>0</v>
      </c>
      <c r="G12" s="29">
        <f t="shared" si="0"/>
        <v>-1831622.94</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152"/>
      <c r="H13" s="30"/>
      <c r="I13" s="118"/>
      <c r="J13" s="37"/>
      <c r="K13" s="118"/>
      <c r="M13" s="20"/>
      <c r="S13" s="18"/>
    </row>
    <row r="14" spans="1:22" s="22" customFormat="1" x14ac:dyDescent="0.2">
      <c r="A14" s="101"/>
      <c r="B14" s="21" t="s">
        <v>190</v>
      </c>
      <c r="E14" s="32"/>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32">
        <f>VLOOKUP(A15,'DEK Mar 2016'!$A$1:$I$252,9,FALSE)</f>
        <v>755559.81</v>
      </c>
      <c r="F15" s="30">
        <v>0</v>
      </c>
      <c r="G15" s="33">
        <v>0</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Mar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2230587.7599999998</v>
      </c>
      <c r="K17" s="115">
        <f t="shared" ref="K17" si="1">I17+J17</f>
        <v>2230587.7599999998</v>
      </c>
      <c r="L17" s="210" t="s">
        <v>22</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32">
        <f>SUM(E15:E18)</f>
        <v>2195705.81</v>
      </c>
      <c r="F19" s="29">
        <f t="shared" ref="F19:K19" si="2">SUM(F15:F18)</f>
        <v>0</v>
      </c>
      <c r="G19" s="29">
        <f t="shared" si="2"/>
        <v>0</v>
      </c>
      <c r="H19" s="29">
        <f t="shared" si="2"/>
        <v>0</v>
      </c>
      <c r="I19" s="123">
        <f t="shared" si="2"/>
        <v>2195705.81</v>
      </c>
      <c r="J19" s="49">
        <f t="shared" si="2"/>
        <v>2230587.7599999998</v>
      </c>
      <c r="K19" s="123">
        <f t="shared" si="2"/>
        <v>4426293.57</v>
      </c>
      <c r="L19" s="231" t="s">
        <v>258</v>
      </c>
      <c r="M19" s="20" t="s">
        <v>222</v>
      </c>
      <c r="S19" s="18"/>
    </row>
    <row r="20" spans="1:21" x14ac:dyDescent="0.2">
      <c r="B20" s="28"/>
      <c r="C20" s="18"/>
      <c r="E20" s="32"/>
      <c r="F20" s="30"/>
      <c r="G20" s="152"/>
      <c r="H20" s="30"/>
      <c r="I20" s="118"/>
      <c r="J20" s="37"/>
      <c r="K20" s="118"/>
      <c r="M20" s="20"/>
      <c r="S20" s="18"/>
    </row>
    <row r="21" spans="1:21" x14ac:dyDescent="0.2">
      <c r="B21" s="38" t="s">
        <v>206</v>
      </c>
      <c r="C21" s="18"/>
      <c r="E21" s="32"/>
      <c r="F21" s="30"/>
      <c r="G21" s="152"/>
      <c r="H21" s="30"/>
      <c r="I21" s="115"/>
      <c r="J21" s="30"/>
      <c r="K21" s="115"/>
      <c r="M21" s="20"/>
      <c r="S21" s="18"/>
    </row>
    <row r="22" spans="1:21" x14ac:dyDescent="0.2">
      <c r="A22" s="100" t="s">
        <v>158</v>
      </c>
      <c r="B22" s="28"/>
      <c r="C22" s="28" t="s">
        <v>40</v>
      </c>
      <c r="D22" s="4" t="s">
        <v>207</v>
      </c>
      <c r="E22" s="32">
        <f>VLOOKUP(A22,'DEK Mar 2016'!$A$1:$I$252,9,FALSE)</f>
        <v>1654761.3200000015</v>
      </c>
      <c r="F22" s="33">
        <v>0</v>
      </c>
      <c r="G22" s="33">
        <v>0</v>
      </c>
      <c r="H22" s="33">
        <v>-22206.18</v>
      </c>
      <c r="I22" s="115">
        <f>E22+F22+G22+H22</f>
        <v>1632555.1400000015</v>
      </c>
      <c r="J22" s="33">
        <v>-266474.15999999997</v>
      </c>
      <c r="K22" s="115">
        <f>I22+J22</f>
        <v>1366080.9800000016</v>
      </c>
      <c r="L22" s="210" t="s">
        <v>22</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32">
        <f>SUM(E22:E23)</f>
        <v>1654761.3200000015</v>
      </c>
      <c r="F24" s="29">
        <f t="shared" ref="F24:K24" si="3">SUM(F22:F23)</f>
        <v>0</v>
      </c>
      <c r="G24" s="29">
        <f t="shared" si="3"/>
        <v>0</v>
      </c>
      <c r="H24" s="29">
        <f t="shared" si="3"/>
        <v>-22206.18</v>
      </c>
      <c r="I24" s="123">
        <f t="shared" si="3"/>
        <v>1632555.1400000015</v>
      </c>
      <c r="J24" s="49">
        <f t="shared" si="3"/>
        <v>-266474.15999999997</v>
      </c>
      <c r="K24" s="123">
        <f t="shared" si="3"/>
        <v>1366080.9800000016</v>
      </c>
      <c r="L24" s="231" t="s">
        <v>262</v>
      </c>
      <c r="M24" s="20"/>
      <c r="S24" s="18"/>
    </row>
    <row r="25" spans="1:21" x14ac:dyDescent="0.2">
      <c r="B25" s="28"/>
      <c r="C25" s="18"/>
      <c r="E25" s="32"/>
      <c r="F25" s="30"/>
      <c r="G25" s="152"/>
      <c r="H25" s="30"/>
      <c r="I25" s="118"/>
      <c r="J25" s="37"/>
      <c r="K25" s="118"/>
      <c r="M25" s="20"/>
      <c r="S25" s="18"/>
    </row>
    <row r="26" spans="1:21" x14ac:dyDescent="0.2">
      <c r="B26" s="41" t="s">
        <v>191</v>
      </c>
      <c r="E26" s="32"/>
      <c r="F26" s="30"/>
      <c r="G26" s="152"/>
      <c r="H26" s="30"/>
      <c r="I26" s="115"/>
      <c r="J26" s="30"/>
      <c r="K26" s="115"/>
      <c r="M26" s="20"/>
    </row>
    <row r="27" spans="1:21" x14ac:dyDescent="0.2">
      <c r="A27" s="100" t="s">
        <v>79</v>
      </c>
      <c r="B27" s="28"/>
      <c r="C27" s="28" t="s">
        <v>21</v>
      </c>
      <c r="D27" s="4" t="s">
        <v>203</v>
      </c>
      <c r="E27" s="32">
        <f>VLOOKUP(A27,'DEK Mar 2016'!$A$1:$I$252,9,FALSE)</f>
        <v>2036876</v>
      </c>
      <c r="F27" s="33">
        <v>0</v>
      </c>
      <c r="G27" s="33">
        <v>23871</v>
      </c>
      <c r="H27" s="29">
        <v>0</v>
      </c>
      <c r="I27" s="115">
        <f>E27+F27+G27+H27</f>
        <v>2060747</v>
      </c>
      <c r="J27" s="33">
        <v>0</v>
      </c>
      <c r="K27" s="115">
        <f>I27+J27</f>
        <v>2060747</v>
      </c>
      <c r="L27" s="210" t="s">
        <v>22</v>
      </c>
      <c r="M27" s="226"/>
      <c r="S27" s="28" t="s">
        <v>23</v>
      </c>
    </row>
    <row r="28" spans="1:21" ht="13.5" customHeight="1" x14ac:dyDescent="0.2">
      <c r="A28" s="100" t="s">
        <v>80</v>
      </c>
      <c r="B28" s="28"/>
      <c r="C28" s="28" t="s">
        <v>24</v>
      </c>
      <c r="D28" s="4" t="s">
        <v>204</v>
      </c>
      <c r="E28" s="32">
        <f>VLOOKUP(A28,'DEK Mar 2016'!$A$1:$I$252,9,FALSE)</f>
        <v>-483084.79999999981</v>
      </c>
      <c r="F28" s="33">
        <v>0</v>
      </c>
      <c r="G28" s="33">
        <v>487789</v>
      </c>
      <c r="H28" s="32">
        <v>0</v>
      </c>
      <c r="I28" s="115">
        <f>E28+F28+G28+H28</f>
        <v>4704.2000000001863</v>
      </c>
      <c r="J28" s="33">
        <v>0</v>
      </c>
      <c r="K28" s="115">
        <f>I28+J28</f>
        <v>4704.2000000001863</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1553791.2000000002</v>
      </c>
      <c r="F30" s="44">
        <f t="shared" ref="F30:K30" si="4">SUM(F27:F28)</f>
        <v>0</v>
      </c>
      <c r="G30" s="33">
        <f t="shared" si="4"/>
        <v>511660</v>
      </c>
      <c r="H30" s="33">
        <f t="shared" si="4"/>
        <v>0</v>
      </c>
      <c r="I30" s="123">
        <f t="shared" si="4"/>
        <v>2065451.2000000002</v>
      </c>
      <c r="J30" s="33">
        <f t="shared" si="4"/>
        <v>0</v>
      </c>
      <c r="K30" s="123">
        <f t="shared" si="4"/>
        <v>2065451.2000000002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Mar 2016'!$A$1:$I$252,9,FALSE)</f>
        <v>3894181.2700000009</v>
      </c>
      <c r="F52" s="33">
        <v>0</v>
      </c>
      <c r="G52" s="33">
        <v>-356295.28</v>
      </c>
      <c r="H52" s="33">
        <v>0</v>
      </c>
      <c r="I52" s="115">
        <f>E52+F52+G52+H52</f>
        <v>3537885.9900000012</v>
      </c>
      <c r="J52" s="33">
        <v>-1964113.6</v>
      </c>
      <c r="K52" s="115">
        <f>I52+J52</f>
        <v>1573772.3900000011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Mar 2016'!$A$1:$I$252,9,FALSE)</f>
        <v>6417538</v>
      </c>
      <c r="F53" s="33">
        <v>0</v>
      </c>
      <c r="G53" s="33">
        <v>0</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144"/>
      <c r="H54" s="33"/>
      <c r="I54" s="115"/>
      <c r="J54" s="33"/>
      <c r="K54" s="115"/>
      <c r="S54" s="18"/>
    </row>
    <row r="55" spans="1:23" hidden="1" x14ac:dyDescent="0.2">
      <c r="A55" s="100" t="s">
        <v>173</v>
      </c>
      <c r="B55" s="28"/>
      <c r="C55" s="28" t="s">
        <v>174</v>
      </c>
      <c r="D55" s="4" t="s">
        <v>173</v>
      </c>
      <c r="E55" s="32">
        <v>0</v>
      </c>
      <c r="F55" s="33">
        <v>0</v>
      </c>
      <c r="G55" s="144">
        <v>0</v>
      </c>
      <c r="H55" s="30">
        <v>0</v>
      </c>
      <c r="I55" s="115">
        <f>E55+F55+G55+H55</f>
        <v>0</v>
      </c>
      <c r="J55" s="33">
        <f>F55+G55+H55+I55</f>
        <v>0</v>
      </c>
      <c r="K55" s="115">
        <f>G55+H55+I55+J55</f>
        <v>0</v>
      </c>
      <c r="S55" s="18"/>
      <c r="W55" s="47"/>
    </row>
    <row r="56" spans="1:23" hidden="1" x14ac:dyDescent="0.2">
      <c r="B56" s="28"/>
      <c r="C56" s="28"/>
      <c r="E56" s="83"/>
      <c r="F56" s="33"/>
      <c r="G56" s="144"/>
      <c r="H56" s="33"/>
      <c r="I56" s="115"/>
      <c r="J56" s="33"/>
      <c r="K56" s="115"/>
      <c r="S56" s="18"/>
      <c r="W56" s="47"/>
    </row>
    <row r="57" spans="1:23" hidden="1" x14ac:dyDescent="0.2">
      <c r="A57" s="100" t="s">
        <v>132</v>
      </c>
      <c r="B57" s="28"/>
      <c r="C57" s="28" t="s">
        <v>131</v>
      </c>
      <c r="D57" s="4" t="s">
        <v>132</v>
      </c>
      <c r="E57" s="32">
        <v>0</v>
      </c>
      <c r="F57" s="33">
        <v>0</v>
      </c>
      <c r="G57" s="144">
        <v>0</v>
      </c>
      <c r="H57" s="33">
        <v>0</v>
      </c>
      <c r="I57" s="115">
        <f>E57+F57+G57+H57</f>
        <v>0</v>
      </c>
      <c r="J57" s="33">
        <v>0</v>
      </c>
      <c r="K57" s="115">
        <f>I57+J57</f>
        <v>0</v>
      </c>
      <c r="S57" s="18"/>
    </row>
    <row r="58" spans="1:23" hidden="1" x14ac:dyDescent="0.2">
      <c r="B58" s="28"/>
      <c r="C58" s="28"/>
      <c r="E58" s="83"/>
      <c r="F58" s="33"/>
      <c r="G58" s="144"/>
      <c r="H58" s="33"/>
      <c r="I58" s="115"/>
      <c r="J58" s="33"/>
      <c r="K58" s="115"/>
      <c r="S58" s="18"/>
    </row>
    <row r="59" spans="1:23" x14ac:dyDescent="0.2">
      <c r="A59" s="100" t="s">
        <v>134</v>
      </c>
      <c r="B59" s="28"/>
      <c r="C59" s="28" t="s">
        <v>133</v>
      </c>
      <c r="D59" s="4" t="s">
        <v>205</v>
      </c>
      <c r="E59" s="32">
        <f>VLOOKUP(A59,'DEK Mar 2016'!$A$1:$I$252,9,FALSE)</f>
        <v>1450000</v>
      </c>
      <c r="F59" s="33">
        <v>0</v>
      </c>
      <c r="G59" s="33">
        <v>0</v>
      </c>
      <c r="H59" s="33">
        <v>0</v>
      </c>
      <c r="I59" s="115">
        <f>E59+F59+G59+H59</f>
        <v>1450000</v>
      </c>
      <c r="J59" s="33">
        <v>0</v>
      </c>
      <c r="K59" s="115">
        <f>I59+J59</f>
        <v>1450000</v>
      </c>
      <c r="L59" s="210" t="s">
        <v>22</v>
      </c>
      <c r="M59" s="20" t="s">
        <v>249</v>
      </c>
      <c r="S59" s="18"/>
    </row>
    <row r="60" spans="1:23" x14ac:dyDescent="0.2">
      <c r="B60" s="28"/>
      <c r="C60" s="28"/>
      <c r="E60" s="83"/>
      <c r="F60" s="33"/>
      <c r="G60" s="144"/>
      <c r="H60" s="33"/>
      <c r="I60" s="115"/>
      <c r="J60" s="33"/>
      <c r="K60" s="115"/>
      <c r="S60" s="18"/>
    </row>
    <row r="61" spans="1:23" hidden="1" x14ac:dyDescent="0.2">
      <c r="A61" s="100" t="s">
        <v>175</v>
      </c>
      <c r="B61" s="28"/>
      <c r="C61" s="28" t="s">
        <v>176</v>
      </c>
      <c r="D61" s="4" t="s">
        <v>175</v>
      </c>
      <c r="E61" s="32">
        <v>0</v>
      </c>
      <c r="F61" s="33">
        <v>0</v>
      </c>
      <c r="G61" s="144">
        <v>0</v>
      </c>
      <c r="H61" s="33">
        <v>0</v>
      </c>
      <c r="I61" s="115">
        <v>0</v>
      </c>
      <c r="J61" s="33">
        <v>0</v>
      </c>
      <c r="K61" s="115">
        <v>0</v>
      </c>
      <c r="S61" s="18"/>
      <c r="W61" s="47"/>
    </row>
    <row r="62" spans="1:23" hidden="1" x14ac:dyDescent="0.2">
      <c r="B62" s="28"/>
      <c r="C62" s="28"/>
      <c r="E62" s="83"/>
      <c r="F62" s="33"/>
      <c r="G62" s="144"/>
      <c r="H62" s="33"/>
      <c r="I62" s="115"/>
      <c r="J62" s="33"/>
      <c r="K62" s="115"/>
      <c r="S62" s="18"/>
      <c r="W62" s="47"/>
    </row>
    <row r="63" spans="1:23" x14ac:dyDescent="0.2">
      <c r="A63" s="100" t="s">
        <v>39</v>
      </c>
      <c r="B63" s="28"/>
      <c r="C63" s="28" t="s">
        <v>38</v>
      </c>
      <c r="D63" s="4" t="s">
        <v>39</v>
      </c>
      <c r="E63" s="32">
        <f>VLOOKUP(A63,'DEK Mar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Mar 2016'!$A$1:$I$252,9,FALSE)</f>
        <v>14812496.859999998</v>
      </c>
      <c r="F67" s="172"/>
      <c r="G67" s="33">
        <v>2793343.17</v>
      </c>
      <c r="H67" s="172"/>
      <c r="I67" s="115">
        <f t="shared" si="5"/>
        <v>17605840.029999997</v>
      </c>
      <c r="J67" s="172"/>
      <c r="K67" s="115">
        <f t="shared" si="6"/>
        <v>17605840.029999997</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Mar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33"/>
      <c r="I70" s="115" t="s">
        <v>222</v>
      </c>
      <c r="J70" s="33"/>
      <c r="K70" s="115" t="s">
        <v>222</v>
      </c>
      <c r="L70" s="210"/>
      <c r="M70" s="20"/>
      <c r="S70" s="18"/>
    </row>
    <row r="71" spans="1:19" ht="12.75" customHeight="1" x14ac:dyDescent="0.35">
      <c r="A71" s="100" t="s">
        <v>255</v>
      </c>
      <c r="B71" s="28"/>
      <c r="C71" s="28" t="s">
        <v>254</v>
      </c>
      <c r="D71" s="4" t="s">
        <v>255</v>
      </c>
      <c r="E71" s="32">
        <f>VLOOKUP(A71,'DEK Mar 2016'!$A$1:$I$252,9,FALSE)</f>
        <v>4504212.6100000003</v>
      </c>
      <c r="F71" s="172"/>
      <c r="G71" s="33">
        <v>599598.43999999994</v>
      </c>
      <c r="H71" s="33"/>
      <c r="I71" s="115">
        <f t="shared" si="5"/>
        <v>5103811.0500000007</v>
      </c>
      <c r="J71" s="33"/>
      <c r="K71" s="115">
        <f t="shared" si="6"/>
        <v>5103811.0500000007</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Mar 2016'!$A$1:$I$252,9,FALSE)</f>
        <v>-26937.71</v>
      </c>
      <c r="F73" s="172"/>
      <c r="G73" s="33">
        <v>-17248.88</v>
      </c>
      <c r="H73" s="33"/>
      <c r="I73" s="115">
        <f t="shared" si="5"/>
        <v>-44186.59</v>
      </c>
      <c r="J73" s="33"/>
      <c r="K73" s="115">
        <f t="shared" si="6"/>
        <v>-44186.59</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Mar 2016'!$A$1:$I$252,9,FALSE)</f>
        <v>5390698.5</v>
      </c>
      <c r="F75" s="172"/>
      <c r="G75" s="33">
        <v>379298.65</v>
      </c>
      <c r="H75" s="33"/>
      <c r="I75" s="115">
        <f t="shared" ref="I75" si="7">E75+F75+G75+H75</f>
        <v>5769997.1500000004</v>
      </c>
      <c r="J75" s="33"/>
      <c r="K75" s="115">
        <f t="shared" ref="K75" si="8">I75+J75</f>
        <v>5769997.1500000004</v>
      </c>
      <c r="L75" s="210" t="s">
        <v>22</v>
      </c>
      <c r="M75" s="20" t="s">
        <v>247</v>
      </c>
      <c r="S75" s="18"/>
    </row>
    <row r="76" spans="1:19" ht="12.75" customHeight="1" x14ac:dyDescent="0.35">
      <c r="B76" s="28"/>
      <c r="C76" s="28"/>
      <c r="E76" s="32"/>
      <c r="F76" s="172"/>
      <c r="G76" s="144"/>
      <c r="H76" s="33"/>
      <c r="I76" s="115"/>
      <c r="J76" s="33"/>
      <c r="K76" s="115"/>
      <c r="M76" s="20"/>
      <c r="S76" s="18"/>
    </row>
    <row r="77" spans="1:19" ht="12.75" customHeight="1" x14ac:dyDescent="0.35">
      <c r="A77" s="100" t="s">
        <v>234</v>
      </c>
      <c r="B77" s="28"/>
      <c r="C77" s="28" t="s">
        <v>232</v>
      </c>
      <c r="D77" s="4" t="s">
        <v>233</v>
      </c>
      <c r="E77" s="32">
        <f>VLOOKUP(A77,'DEK Mar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Mar 2016'!$A$1:$I$252,9,FALSE)</f>
        <v>0</v>
      </c>
      <c r="F79" s="174"/>
      <c r="G79" s="36">
        <v>0</v>
      </c>
      <c r="H79" s="36">
        <v>0</v>
      </c>
      <c r="I79" s="116">
        <f t="shared" si="9"/>
        <v>0</v>
      </c>
      <c r="J79" s="36"/>
      <c r="K79" s="116">
        <f t="shared" si="10"/>
        <v>0</v>
      </c>
      <c r="M79" s="20"/>
      <c r="S79" s="18"/>
    </row>
    <row r="80" spans="1:19" x14ac:dyDescent="0.2">
      <c r="B80" s="54"/>
      <c r="C80" s="28"/>
      <c r="E80" s="32">
        <f>SUM(E42:E79)</f>
        <v>41354873.530000001</v>
      </c>
      <c r="F80" s="29">
        <f>SUM(F39:F65)+F36</f>
        <v>0</v>
      </c>
      <c r="G80" s="29">
        <f>SUM(G39:G79)+G36</f>
        <v>3398696.0999999996</v>
      </c>
      <c r="H80" s="29">
        <f>SUM(H39:H79)+H36</f>
        <v>0</v>
      </c>
      <c r="I80" s="123">
        <f>SUM(I39:I79)+I36</f>
        <v>44753569.629999988</v>
      </c>
      <c r="J80" s="49">
        <f>SUM(J39:J79)+J36</f>
        <v>-1964113.6</v>
      </c>
      <c r="K80" s="123">
        <f>SUM(K39:K79)+K36</f>
        <v>42789456.029999994</v>
      </c>
      <c r="L80" s="231" t="s">
        <v>259</v>
      </c>
      <c r="M80" s="20"/>
      <c r="S80" s="18"/>
    </row>
    <row r="81" spans="1:21" x14ac:dyDescent="0.2">
      <c r="B81" s="54"/>
      <c r="C81" s="28"/>
      <c r="E81" s="32"/>
      <c r="F81" s="29"/>
      <c r="G81" s="29"/>
      <c r="H81" s="29"/>
      <c r="I81" s="123"/>
      <c r="J81" s="49"/>
      <c r="K81" s="123"/>
      <c r="L81" s="230"/>
      <c r="M81" s="20"/>
      <c r="S81" s="18"/>
    </row>
    <row r="82" spans="1:21" x14ac:dyDescent="0.2">
      <c r="A82" s="100" t="s">
        <v>269</v>
      </c>
      <c r="B82" s="54"/>
      <c r="C82" s="28" t="s">
        <v>268</v>
      </c>
      <c r="D82" s="4" t="s">
        <v>269</v>
      </c>
      <c r="E82" s="32">
        <f>VLOOKUP(A82,'DEK Mar 2016'!$A$1:$I$252,9,FALSE)</f>
        <v>1787378.76</v>
      </c>
      <c r="F82" s="29"/>
      <c r="G82" s="29">
        <v>44067.360000000001</v>
      </c>
      <c r="H82" s="29">
        <v>0</v>
      </c>
      <c r="I82" s="123">
        <f>E82+F82+G82+H82</f>
        <v>1831446.12</v>
      </c>
      <c r="J82" s="49">
        <v>0</v>
      </c>
      <c r="K82" s="123">
        <f t="shared" ref="K82" si="11">I82+J82</f>
        <v>1831446.12</v>
      </c>
      <c r="L82" s="231" t="s">
        <v>270</v>
      </c>
      <c r="M82" s="20"/>
      <c r="S82" s="18"/>
    </row>
    <row r="83" spans="1:21" x14ac:dyDescent="0.2">
      <c r="B83" s="54"/>
      <c r="C83" s="28"/>
      <c r="E83" s="32"/>
      <c r="F83" s="29"/>
      <c r="G83" s="29"/>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Mar 2016'!$A$1:$I$252,9,FALSE)</f>
        <v>24902559.440000001</v>
      </c>
      <c r="F86" s="30">
        <v>0</v>
      </c>
      <c r="G86" s="33">
        <v>-140031</v>
      </c>
      <c r="H86" s="30">
        <v>0</v>
      </c>
      <c r="I86" s="115">
        <f>E86+F86+G86+H86</f>
        <v>24762528.440000001</v>
      </c>
      <c r="J86" s="30">
        <v>0</v>
      </c>
      <c r="K86" s="115">
        <f t="shared" ref="K86:K88" si="12">I86+J86</f>
        <v>24762528.440000001</v>
      </c>
      <c r="L86" s="210" t="s">
        <v>22</v>
      </c>
      <c r="M86" s="20"/>
      <c r="P86" s="58"/>
      <c r="S86" s="18">
        <v>186801</v>
      </c>
    </row>
    <row r="87" spans="1:21" x14ac:dyDescent="0.2">
      <c r="A87" s="108" t="s">
        <v>171</v>
      </c>
      <c r="B87" s="28"/>
      <c r="C87" s="28" t="s">
        <v>122</v>
      </c>
      <c r="D87" s="4" t="s">
        <v>225</v>
      </c>
      <c r="E87" s="32">
        <f>VLOOKUP(A87,'DEK Mar 2016'!$A$1:$I$252,9,FALSE)</f>
        <v>2838735.55</v>
      </c>
      <c r="F87" s="30">
        <v>0</v>
      </c>
      <c r="G87" s="33">
        <v>-25398</v>
      </c>
      <c r="H87" s="30">
        <v>0</v>
      </c>
      <c r="I87" s="115">
        <f>E87+F87+G87+H87</f>
        <v>2813337.55</v>
      </c>
      <c r="J87" s="30">
        <v>0</v>
      </c>
      <c r="K87" s="115">
        <f t="shared" si="12"/>
        <v>2813337.55</v>
      </c>
      <c r="L87" s="210" t="s">
        <v>22</v>
      </c>
      <c r="M87" s="20"/>
      <c r="P87" s="58"/>
      <c r="S87" s="18"/>
    </row>
    <row r="88" spans="1:21" x14ac:dyDescent="0.2">
      <c r="A88" s="108" t="s">
        <v>172</v>
      </c>
      <c r="B88" s="28"/>
      <c r="C88" s="28" t="s">
        <v>123</v>
      </c>
      <c r="D88" s="4" t="s">
        <v>226</v>
      </c>
      <c r="E88" s="32">
        <f>VLOOKUP(A88,'DEK Mar 2016'!$A$1:$I$252,9,FALSE)</f>
        <v>50288.05</v>
      </c>
      <c r="F88" s="30">
        <v>0</v>
      </c>
      <c r="G88" s="33">
        <v>-392</v>
      </c>
      <c r="H88" s="30">
        <v>0</v>
      </c>
      <c r="I88" s="115">
        <f>E88+F88+G88+H88</f>
        <v>49896.05</v>
      </c>
      <c r="J88" s="30">
        <v>0</v>
      </c>
      <c r="K88" s="115">
        <f t="shared" si="12"/>
        <v>49896.05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27791583.040000003</v>
      </c>
      <c r="F90" s="29">
        <f t="shared" ref="F90:K90" si="13">SUM(F85:F89)</f>
        <v>0</v>
      </c>
      <c r="G90" s="29">
        <f>SUM(G85:G89)</f>
        <v>-165821</v>
      </c>
      <c r="H90" s="29">
        <f t="shared" si="13"/>
        <v>0</v>
      </c>
      <c r="I90" s="123">
        <f t="shared" si="13"/>
        <v>27625762.040000003</v>
      </c>
      <c r="J90" s="29">
        <f t="shared" si="13"/>
        <v>0</v>
      </c>
      <c r="K90" s="123">
        <f t="shared" si="13"/>
        <v>27625762.040000003</v>
      </c>
      <c r="L90" s="231" t="s">
        <v>260</v>
      </c>
      <c r="M90" s="20"/>
      <c r="S90" s="18"/>
    </row>
    <row r="91" spans="1:21" ht="12.75" hidden="1" customHeight="1" x14ac:dyDescent="0.2">
      <c r="B91" s="54" t="s">
        <v>135</v>
      </c>
      <c r="C91" s="18"/>
      <c r="E91" s="32"/>
      <c r="F91" s="29"/>
      <c r="G91" s="151"/>
      <c r="H91" s="29"/>
      <c r="I91" s="117"/>
      <c r="J91" s="29"/>
      <c r="K91" s="117"/>
      <c r="M91" s="20"/>
      <c r="S91" s="18"/>
    </row>
    <row r="92" spans="1:21" ht="12.75" hidden="1" customHeight="1" x14ac:dyDescent="0.2">
      <c r="A92" s="100" t="s">
        <v>108</v>
      </c>
      <c r="B92" s="28"/>
      <c r="C92" s="28" t="s">
        <v>71</v>
      </c>
      <c r="D92" s="4" t="s">
        <v>108</v>
      </c>
      <c r="E92" s="32">
        <v>0</v>
      </c>
      <c r="F92" s="30">
        <v>0</v>
      </c>
      <c r="G92" s="152">
        <v>0</v>
      </c>
      <c r="H92" s="30">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30">
        <v>0</v>
      </c>
      <c r="I93" s="115">
        <f t="shared" si="14"/>
        <v>0</v>
      </c>
      <c r="J93" s="30">
        <f t="shared" si="14"/>
        <v>0</v>
      </c>
      <c r="K93" s="115">
        <f t="shared" si="14"/>
        <v>0</v>
      </c>
      <c r="M93" s="20"/>
      <c r="S93" s="18"/>
    </row>
    <row r="94" spans="1:21" ht="7.5" hidden="1" customHeight="1" x14ac:dyDescent="0.2">
      <c r="B94" s="28"/>
      <c r="C94" s="18"/>
      <c r="D94" s="59"/>
      <c r="E94" s="32"/>
      <c r="F94" s="30"/>
      <c r="G94" s="152"/>
      <c r="H94" s="30"/>
      <c r="I94" s="115"/>
      <c r="J94" s="30"/>
      <c r="K94" s="115"/>
      <c r="M94" s="20"/>
      <c r="P94" s="58"/>
      <c r="S94" s="18"/>
    </row>
    <row r="95" spans="1:21" x14ac:dyDescent="0.2">
      <c r="B95" s="28"/>
      <c r="C95" s="18"/>
      <c r="E95" s="32"/>
      <c r="F95" s="30"/>
      <c r="G95" s="152"/>
      <c r="H95" s="30"/>
      <c r="I95" s="115"/>
      <c r="J95" s="30"/>
      <c r="K95" s="115"/>
      <c r="M95" s="20"/>
      <c r="S95" s="18"/>
    </row>
    <row r="96" spans="1:21" x14ac:dyDescent="0.2">
      <c r="B96" s="18"/>
      <c r="C96" s="131" t="s">
        <v>41</v>
      </c>
      <c r="D96" s="135"/>
      <c r="E96" s="133">
        <f>+E12+E24+E30+E80+E82+E90+E92+E19+E93</f>
        <v>78169716.600000009</v>
      </c>
      <c r="F96" s="133">
        <f>+F12+F24+F30+F80+F90+F92+F19+F93</f>
        <v>0</v>
      </c>
      <c r="G96" s="133">
        <f>+G12+G24+G30+G80+G82+G90+G92+G19+G93</f>
        <v>1956979.5199999996</v>
      </c>
      <c r="H96" s="133">
        <f>+H12+H24+H30+H80+H82+H90+H92+H19+H93</f>
        <v>-22206.18</v>
      </c>
      <c r="I96" s="134">
        <f>+I12+I24+I30+I80+I82+I90+I92+I19+I93</f>
        <v>80104489.939999998</v>
      </c>
      <c r="J96" s="133">
        <f>+J12+J24+J30+J80+J82+J90+J92+J19+J93</f>
        <v>-4.6566128730773926E-10</v>
      </c>
      <c r="K96" s="134">
        <f>+K12+K24+K30+K80+K82+K90+K92+K19+K93</f>
        <v>80104489.939999998</v>
      </c>
      <c r="M96" s="45"/>
      <c r="N96" s="143"/>
      <c r="S96" s="18"/>
    </row>
    <row r="97" spans="1:20" x14ac:dyDescent="0.2">
      <c r="A97" s="105"/>
      <c r="B97" s="18"/>
      <c r="C97" s="18"/>
      <c r="D97" s="12"/>
      <c r="E97" s="221"/>
      <c r="F97" s="50"/>
      <c r="G97" s="145"/>
      <c r="H97" s="50"/>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Mar 2016'!$A$1:$I$252,9,FALSE)</f>
        <v>3.92901711165905E-10</v>
      </c>
      <c r="F99" s="30">
        <v>0</v>
      </c>
      <c r="G99" s="33">
        <f>(-216422.18+3032535.02)</f>
        <v>2816112.84</v>
      </c>
      <c r="H99" s="33">
        <v>74005.87</v>
      </c>
      <c r="I99" s="115">
        <f t="shared" ref="I99:I104" si="15">E99+F99+G99+H99</f>
        <v>2890118.7100000004</v>
      </c>
      <c r="J99" s="30">
        <v>0</v>
      </c>
      <c r="K99" s="115">
        <f t="shared" ref="K99:K104" si="16">I99+J99</f>
        <v>2890118.7100000004</v>
      </c>
      <c r="L99" s="210" t="s">
        <v>22</v>
      </c>
      <c r="M99" s="33"/>
      <c r="N99" s="42"/>
      <c r="O99" s="42"/>
      <c r="S99" s="18">
        <v>191400</v>
      </c>
      <c r="T99" s="58"/>
    </row>
    <row r="100" spans="1:20" x14ac:dyDescent="0.2">
      <c r="A100" s="100" t="s">
        <v>115</v>
      </c>
      <c r="B100" s="18"/>
      <c r="C100" s="28" t="s">
        <v>53</v>
      </c>
      <c r="D100" s="4" t="s">
        <v>115</v>
      </c>
      <c r="E100" s="32">
        <f>VLOOKUP(A100,'DEK Mar 2016'!$A$1:$I$252,9,FALSE)</f>
        <v>0</v>
      </c>
      <c r="F100" s="30">
        <v>0</v>
      </c>
      <c r="G100" s="33">
        <v>-972076</v>
      </c>
      <c r="H100" s="33">
        <v>0</v>
      </c>
      <c r="I100" s="115">
        <f t="shared" si="15"/>
        <v>-972076</v>
      </c>
      <c r="J100" s="30">
        <v>0</v>
      </c>
      <c r="K100" s="115">
        <f t="shared" si="16"/>
        <v>-972076</v>
      </c>
      <c r="L100" s="210" t="s">
        <v>22</v>
      </c>
      <c r="M100" s="30"/>
      <c r="N100" s="42"/>
      <c r="O100" s="42"/>
      <c r="S100" s="18">
        <v>191800</v>
      </c>
      <c r="T100" s="58"/>
    </row>
    <row r="101" spans="1:20" ht="12.75" customHeight="1" x14ac:dyDescent="0.2">
      <c r="A101" s="100" t="s">
        <v>117</v>
      </c>
      <c r="B101" s="18"/>
      <c r="C101" s="28" t="s">
        <v>77</v>
      </c>
      <c r="D101" s="4" t="s">
        <v>117</v>
      </c>
      <c r="E101" s="32">
        <f>VLOOKUP(A101,'DEK Mar 2016'!$A$1:$I$252,9,FALSE)</f>
        <v>0</v>
      </c>
      <c r="F101" s="30">
        <v>0</v>
      </c>
      <c r="G101" s="30">
        <v>0</v>
      </c>
      <c r="H101" s="33">
        <v>0</v>
      </c>
      <c r="I101" s="115">
        <f t="shared" si="15"/>
        <v>0</v>
      </c>
      <c r="J101" s="30">
        <v>0</v>
      </c>
      <c r="K101" s="115">
        <f t="shared" si="16"/>
        <v>0</v>
      </c>
      <c r="L101" s="210" t="s">
        <v>22</v>
      </c>
      <c r="M101" s="20"/>
      <c r="N101" s="42"/>
      <c r="O101" s="42"/>
      <c r="S101" s="18">
        <v>242995</v>
      </c>
      <c r="T101" s="58"/>
    </row>
    <row r="102" spans="1:20" x14ac:dyDescent="0.2">
      <c r="A102" s="100" t="s">
        <v>119</v>
      </c>
      <c r="B102" s="18"/>
      <c r="C102" s="28" t="s">
        <v>118</v>
      </c>
      <c r="D102" s="4" t="s">
        <v>119</v>
      </c>
      <c r="E102" s="32">
        <f>VLOOKUP(A102,'DEK Mar 2016'!$A$1:$I$252,9,FALSE)</f>
        <v>-4.6566128730773926E-10</v>
      </c>
      <c r="F102" s="30">
        <v>0</v>
      </c>
      <c r="G102" s="30">
        <v>-464280.95</v>
      </c>
      <c r="H102" s="33">
        <v>0</v>
      </c>
      <c r="I102" s="115">
        <f t="shared" si="15"/>
        <v>-464280.95000000048</v>
      </c>
      <c r="J102" s="30">
        <v>0</v>
      </c>
      <c r="K102" s="115">
        <f t="shared" si="16"/>
        <v>-464280.95000000048</v>
      </c>
      <c r="L102" s="210" t="s">
        <v>22</v>
      </c>
      <c r="M102" s="20"/>
      <c r="N102" s="42"/>
      <c r="O102" s="42"/>
      <c r="S102" s="18">
        <v>242997</v>
      </c>
      <c r="T102" s="58"/>
    </row>
    <row r="103" spans="1:20" x14ac:dyDescent="0.2">
      <c r="A103" s="100" t="s">
        <v>120</v>
      </c>
      <c r="B103" s="18"/>
      <c r="C103" s="28" t="s">
        <v>54</v>
      </c>
      <c r="D103" s="4" t="s">
        <v>120</v>
      </c>
      <c r="E103" s="32">
        <f>VLOOKUP(A103,'DEK Mar 2016'!$A$1:$I$252,9,FALSE)</f>
        <v>-182710.54999999976</v>
      </c>
      <c r="F103" s="33">
        <v>0</v>
      </c>
      <c r="G103" s="44">
        <v>0</v>
      </c>
      <c r="H103" s="33">
        <v>43742.3</v>
      </c>
      <c r="I103" s="115">
        <f t="shared" si="15"/>
        <v>-138968.24999999977</v>
      </c>
      <c r="J103" s="33">
        <v>0</v>
      </c>
      <c r="K103" s="115">
        <f t="shared" si="16"/>
        <v>-138968.24999999977</v>
      </c>
      <c r="L103" s="210" t="s">
        <v>22</v>
      </c>
      <c r="M103" s="42"/>
      <c r="N103" s="42"/>
      <c r="O103" s="42"/>
      <c r="S103" s="18">
        <v>253130</v>
      </c>
      <c r="T103" s="58"/>
    </row>
    <row r="104" spans="1:20" x14ac:dyDescent="0.2">
      <c r="A104" s="100" t="s">
        <v>156</v>
      </c>
      <c r="B104" s="18"/>
      <c r="C104" s="28" t="s">
        <v>116</v>
      </c>
      <c r="D104" s="4" t="s">
        <v>211</v>
      </c>
      <c r="E104" s="32">
        <f>VLOOKUP(A104,'DEK Mar 2016'!$A$1:$I$252,9,FALSE)</f>
        <v>-2344637.7599999998</v>
      </c>
      <c r="F104" s="33"/>
      <c r="G104" s="33">
        <v>1937050.85</v>
      </c>
      <c r="H104" s="33">
        <v>0</v>
      </c>
      <c r="I104" s="115">
        <f t="shared" si="15"/>
        <v>-407586.90999999968</v>
      </c>
      <c r="J104" s="30">
        <v>0</v>
      </c>
      <c r="K104" s="115">
        <f t="shared" si="16"/>
        <v>-407586.90999999968</v>
      </c>
      <c r="M104" s="42"/>
      <c r="N104" s="42"/>
      <c r="O104" s="42"/>
      <c r="S104" s="18"/>
      <c r="T104" s="58"/>
    </row>
    <row r="105" spans="1:20" x14ac:dyDescent="0.2">
      <c r="B105" s="18"/>
      <c r="C105" s="28"/>
      <c r="E105" s="36"/>
      <c r="F105" s="36"/>
      <c r="G105" s="150"/>
      <c r="H105" s="36"/>
      <c r="I105" s="116"/>
      <c r="J105" s="36"/>
      <c r="K105" s="116"/>
      <c r="M105" s="42"/>
      <c r="N105" s="42"/>
      <c r="O105" s="42"/>
      <c r="S105" s="18"/>
      <c r="T105" s="58"/>
    </row>
    <row r="106" spans="1:20" x14ac:dyDescent="0.2">
      <c r="B106" s="18"/>
      <c r="C106" s="61"/>
      <c r="D106" s="34"/>
      <c r="E106" s="33">
        <f t="shared" ref="E106:K106" si="17">SUM(E99:E105)</f>
        <v>-2527348.3099999996</v>
      </c>
      <c r="F106" s="33">
        <f t="shared" si="17"/>
        <v>0</v>
      </c>
      <c r="G106" s="33">
        <f t="shared" si="17"/>
        <v>3316806.74</v>
      </c>
      <c r="H106" s="33">
        <f t="shared" si="17"/>
        <v>117748.17</v>
      </c>
      <c r="I106" s="123">
        <f t="shared" si="17"/>
        <v>907206.60000000056</v>
      </c>
      <c r="J106" s="33">
        <f t="shared" si="17"/>
        <v>0</v>
      </c>
      <c r="K106" s="123">
        <f t="shared" si="17"/>
        <v>907206.60000000056</v>
      </c>
      <c r="L106" s="231" t="s">
        <v>263</v>
      </c>
      <c r="M106" s="42"/>
      <c r="N106" s="42"/>
      <c r="O106" s="42"/>
      <c r="S106" s="18"/>
      <c r="T106" s="58"/>
    </row>
    <row r="107" spans="1:20" hidden="1" x14ac:dyDescent="0.2">
      <c r="B107" s="21" t="s">
        <v>188</v>
      </c>
      <c r="C107" s="61"/>
      <c r="D107" s="34"/>
      <c r="E107" s="33"/>
      <c r="F107" s="33"/>
      <c r="G107" s="144"/>
      <c r="H107" s="33"/>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33">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33">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36"/>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33">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33"/>
      <c r="I112" s="115"/>
      <c r="J112" s="33"/>
      <c r="K112" s="115"/>
      <c r="M112" s="42"/>
      <c r="N112" s="42"/>
      <c r="O112" s="42"/>
      <c r="S112" s="18"/>
      <c r="T112" s="58"/>
    </row>
    <row r="113" spans="1:23" s="22" customFormat="1" x14ac:dyDescent="0.2">
      <c r="A113" s="101"/>
      <c r="B113" s="21" t="s">
        <v>214</v>
      </c>
      <c r="C113" s="63"/>
      <c r="D113" s="64"/>
      <c r="E113" s="33"/>
      <c r="F113" s="30"/>
      <c r="G113" s="152" t="s">
        <v>187</v>
      </c>
      <c r="H113" s="30"/>
      <c r="I113" s="113"/>
      <c r="J113" s="19"/>
      <c r="K113" s="113"/>
      <c r="M113" s="19"/>
      <c r="N113" s="42"/>
      <c r="O113" s="48"/>
      <c r="T113" s="46"/>
      <c r="U113" s="46"/>
    </row>
    <row r="114" spans="1:23" x14ac:dyDescent="0.2">
      <c r="A114" s="100" t="s">
        <v>162</v>
      </c>
      <c r="B114" s="18"/>
      <c r="C114" s="28" t="s">
        <v>76</v>
      </c>
      <c r="D114" s="4" t="s">
        <v>194</v>
      </c>
      <c r="E114" s="32">
        <f>VLOOKUP(A114,'DEK Mar 2016'!$A$1:$I$252,9,FALSE)</f>
        <v>-4799930.7300000004</v>
      </c>
      <c r="F114" s="30">
        <v>0</v>
      </c>
      <c r="G114" s="33">
        <v>45859</v>
      </c>
      <c r="H114" s="33">
        <v>0</v>
      </c>
      <c r="I114" s="123">
        <f>E114+G114+H114+F114</f>
        <v>-4754071.7300000004</v>
      </c>
      <c r="J114" s="91">
        <v>0</v>
      </c>
      <c r="K114" s="123">
        <f>I114+J114</f>
        <v>-4754071.7300000004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Mar 2016'!$A$1:$I$252,9,FALSE)</f>
        <v>0</v>
      </c>
      <c r="F117" s="30">
        <v>0</v>
      </c>
      <c r="G117" s="33">
        <v>-483085</v>
      </c>
      <c r="H117" s="33">
        <v>0</v>
      </c>
      <c r="I117" s="115">
        <f>E117+F117+G117+H117</f>
        <v>-483085</v>
      </c>
      <c r="J117" s="30">
        <v>0</v>
      </c>
      <c r="K117" s="115">
        <f t="shared" ref="K117:K119" si="19">I117+J117</f>
        <v>-483085</v>
      </c>
      <c r="M117" s="62"/>
      <c r="P117" s="51"/>
      <c r="Q117" s="18"/>
      <c r="R117" s="58"/>
      <c r="S117" s="18">
        <v>254998</v>
      </c>
    </row>
    <row r="118" spans="1:23" x14ac:dyDescent="0.2">
      <c r="A118" s="100" t="s">
        <v>179</v>
      </c>
      <c r="B118" s="18"/>
      <c r="C118" s="28" t="s">
        <v>47</v>
      </c>
      <c r="D118" s="4" t="s">
        <v>196</v>
      </c>
      <c r="E118" s="32">
        <f>VLOOKUP(A118,'DEK Mar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Mar 2016'!$A$1:$I$252,9,FALSE)</f>
        <v>-15722.210000000005</v>
      </c>
      <c r="F119" s="30">
        <v>0</v>
      </c>
      <c r="G119" s="33">
        <v>48</v>
      </c>
      <c r="H119" s="33">
        <v>0</v>
      </c>
      <c r="I119" s="117">
        <f>E119+F119+G119+H119</f>
        <v>-15674.210000000005</v>
      </c>
      <c r="J119" s="30">
        <v>0</v>
      </c>
      <c r="K119" s="117">
        <f t="shared" si="19"/>
        <v>-15674.210000000005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-15722.210000000005</v>
      </c>
      <c r="F121" s="30">
        <f t="shared" ref="F121:K121" si="21">SUM(F117:F120)</f>
        <v>0</v>
      </c>
      <c r="G121" s="30">
        <f t="shared" si="21"/>
        <v>-483037</v>
      </c>
      <c r="H121" s="30">
        <f t="shared" si="21"/>
        <v>0</v>
      </c>
      <c r="I121" s="122">
        <f t="shared" si="21"/>
        <v>-498759.21</v>
      </c>
      <c r="J121" s="30">
        <f t="shared" si="21"/>
        <v>0</v>
      </c>
      <c r="K121" s="122">
        <f t="shared" si="21"/>
        <v>-498759.21</v>
      </c>
      <c r="L121" s="230" t="s">
        <v>265</v>
      </c>
      <c r="M121" s="20"/>
      <c r="N121" s="42"/>
      <c r="O121" s="42"/>
      <c r="R121" s="58"/>
      <c r="S121" s="18"/>
      <c r="T121" s="58"/>
    </row>
    <row r="122" spans="1:23" x14ac:dyDescent="0.2">
      <c r="B122" s="21" t="s">
        <v>216</v>
      </c>
      <c r="C122" s="28"/>
      <c r="E122" s="33"/>
      <c r="F122" s="30"/>
      <c r="G122" s="152"/>
      <c r="H122" s="30"/>
      <c r="I122" s="115"/>
      <c r="J122" s="30"/>
      <c r="K122" s="115"/>
      <c r="M122" s="20"/>
      <c r="N122" s="42"/>
      <c r="O122" s="42"/>
      <c r="R122" s="58"/>
      <c r="S122" s="18"/>
      <c r="T122" s="58"/>
    </row>
    <row r="123" spans="1:23" x14ac:dyDescent="0.2">
      <c r="A123" s="100" t="s">
        <v>165</v>
      </c>
      <c r="B123" s="18"/>
      <c r="C123" s="28" t="s">
        <v>45</v>
      </c>
      <c r="D123" s="4" t="s">
        <v>197</v>
      </c>
      <c r="E123" s="32">
        <f>VLOOKUP(A123,'DEK Mar 2016'!$A$1:$I$252,9,FALSE)</f>
        <v>-17662505.870000005</v>
      </c>
      <c r="F123" s="30">
        <v>0</v>
      </c>
      <c r="G123" s="30">
        <v>-48306.51</v>
      </c>
      <c r="H123" s="30">
        <v>0</v>
      </c>
      <c r="I123" s="115">
        <f t="shared" ref="I123:I129" si="22">E123+F123+G123+H123</f>
        <v>-17710812.380000006</v>
      </c>
      <c r="J123" s="30">
        <v>0</v>
      </c>
      <c r="K123" s="115">
        <f t="shared" ref="K123:K129" si="23">I123+J123</f>
        <v>-17710812.380000006</v>
      </c>
      <c r="L123" s="210" t="s">
        <v>241</v>
      </c>
      <c r="M123" s="20"/>
      <c r="N123" s="42"/>
      <c r="O123" s="42"/>
      <c r="Q123" s="239">
        <v>75086</v>
      </c>
      <c r="R123" s="58" t="s">
        <v>44</v>
      </c>
      <c r="S123" s="18">
        <v>108201</v>
      </c>
      <c r="T123" s="58"/>
    </row>
    <row r="124" spans="1:23" x14ac:dyDescent="0.2">
      <c r="A124" s="100" t="s">
        <v>166</v>
      </c>
      <c r="B124" s="18"/>
      <c r="C124" s="28" t="s">
        <v>45</v>
      </c>
      <c r="D124" s="4" t="s">
        <v>198</v>
      </c>
      <c r="E124" s="32">
        <f>VLOOKUP(A124,'DEK Mar 2016'!$A$1:$I$252,9,FALSE)</f>
        <v>-47879887.810000002</v>
      </c>
      <c r="F124" s="30">
        <v>0</v>
      </c>
      <c r="G124" s="30">
        <v>-350024.69</v>
      </c>
      <c r="H124" s="30">
        <v>0</v>
      </c>
      <c r="I124" s="115">
        <f t="shared" si="22"/>
        <v>-48229912.5</v>
      </c>
      <c r="J124" s="30">
        <v>0</v>
      </c>
      <c r="K124" s="115">
        <f t="shared" si="23"/>
        <v>-48229912.5</v>
      </c>
      <c r="L124" s="210" t="s">
        <v>242</v>
      </c>
      <c r="M124" s="20"/>
      <c r="N124" s="42"/>
      <c r="O124" s="42"/>
      <c r="R124" s="58" t="s">
        <v>44</v>
      </c>
      <c r="S124" s="18">
        <v>108301</v>
      </c>
      <c r="T124" s="58"/>
    </row>
    <row r="125" spans="1:23" x14ac:dyDescent="0.2">
      <c r="A125" s="100" t="s">
        <v>167</v>
      </c>
      <c r="B125" s="18"/>
      <c r="C125" s="28" t="s">
        <v>46</v>
      </c>
      <c r="D125" s="4" t="s">
        <v>199</v>
      </c>
      <c r="E125" s="32">
        <f>VLOOKUP(A125,'DEK Mar 2016'!$A$1:$I$252,9,FALSE)</f>
        <v>10664497.079999998</v>
      </c>
      <c r="F125" s="30">
        <v>0</v>
      </c>
      <c r="G125" s="30">
        <v>444327.99</v>
      </c>
      <c r="H125" s="30">
        <v>0</v>
      </c>
      <c r="I125" s="115">
        <f t="shared" si="22"/>
        <v>11108825.069999998</v>
      </c>
      <c r="J125" s="30">
        <v>0</v>
      </c>
      <c r="K125" s="115">
        <f>I125+J125</f>
        <v>11108825.069999998</v>
      </c>
      <c r="L125" s="210" t="s">
        <v>242</v>
      </c>
      <c r="M125" s="20"/>
      <c r="N125" s="42"/>
      <c r="O125" s="42"/>
      <c r="S125" s="18">
        <v>108410</v>
      </c>
      <c r="T125" s="58"/>
    </row>
    <row r="126" spans="1:23" x14ac:dyDescent="0.2">
      <c r="A126" s="100" t="s">
        <v>168</v>
      </c>
      <c r="B126" s="18"/>
      <c r="C126" s="28" t="s">
        <v>74</v>
      </c>
      <c r="D126" s="4" t="s">
        <v>217</v>
      </c>
      <c r="E126" s="32">
        <f>VLOOKUP(A126,'DEK Mar 2016'!$A$1:$I$252,9,FALSE)</f>
        <v>2335565.75</v>
      </c>
      <c r="F126" s="30">
        <v>0</v>
      </c>
      <c r="G126" s="30">
        <v>21476.2</v>
      </c>
      <c r="H126" s="30">
        <v>0</v>
      </c>
      <c r="I126" s="115">
        <f t="shared" si="22"/>
        <v>2357041.9500000002</v>
      </c>
      <c r="J126" s="30">
        <v>0</v>
      </c>
      <c r="K126" s="115">
        <f>I126+J126</f>
        <v>2357041.9500000002</v>
      </c>
      <c r="M126" s="20"/>
      <c r="N126" s="42"/>
      <c r="O126" s="42"/>
      <c r="Q126" s="4" t="s">
        <v>50</v>
      </c>
      <c r="R126" s="4" t="s">
        <v>51</v>
      </c>
      <c r="S126" s="18">
        <v>182303</v>
      </c>
      <c r="T126" s="58"/>
    </row>
    <row r="127" spans="1:23" x14ac:dyDescent="0.2">
      <c r="A127" s="100" t="s">
        <v>169</v>
      </c>
      <c r="B127" s="18"/>
      <c r="C127" s="28" t="s">
        <v>49</v>
      </c>
      <c r="D127" s="4" t="s">
        <v>218</v>
      </c>
      <c r="E127" s="32">
        <f>VLOOKUP(A127,'DEK Mar 2016'!$A$1:$I$252,9,FALSE)</f>
        <v>4387727.870000002</v>
      </c>
      <c r="F127" s="30">
        <v>0</v>
      </c>
      <c r="G127" s="30">
        <v>25796.6</v>
      </c>
      <c r="H127" s="30">
        <v>0</v>
      </c>
      <c r="I127" s="115">
        <f t="shared" si="22"/>
        <v>4413524.4700000016</v>
      </c>
      <c r="J127" s="30">
        <v>0</v>
      </c>
      <c r="K127" s="115">
        <f t="shared" si="23"/>
        <v>4413524.4700000016</v>
      </c>
      <c r="M127" s="20"/>
      <c r="N127" s="42"/>
      <c r="O127" s="42"/>
      <c r="Q127" s="4" t="s">
        <v>50</v>
      </c>
      <c r="S127" s="18">
        <v>182304</v>
      </c>
      <c r="T127" s="58"/>
    </row>
    <row r="128" spans="1:23" x14ac:dyDescent="0.2">
      <c r="A128" s="100" t="s">
        <v>170</v>
      </c>
      <c r="B128" s="18"/>
      <c r="C128" s="28" t="s">
        <v>42</v>
      </c>
      <c r="D128" s="4" t="s">
        <v>200</v>
      </c>
      <c r="E128" s="32">
        <f>VLOOKUP(A128,'DEK Mar 2016'!$A$1:$I$252,9,FALSE)</f>
        <v>-158152.79000000007</v>
      </c>
      <c r="F128" s="30">
        <v>0</v>
      </c>
      <c r="G128" s="30">
        <v>-6112.76</v>
      </c>
      <c r="H128" s="30">
        <v>0</v>
      </c>
      <c r="I128" s="115">
        <f t="shared" si="22"/>
        <v>-164265.55000000008</v>
      </c>
      <c r="J128" s="30">
        <v>0</v>
      </c>
      <c r="K128" s="115">
        <f t="shared" si="23"/>
        <v>-164265.55000000008</v>
      </c>
      <c r="L128" s="210" t="s">
        <v>241</v>
      </c>
      <c r="M128" s="20"/>
      <c r="N128" s="42"/>
      <c r="O128" s="42"/>
      <c r="R128" s="58" t="s">
        <v>44</v>
      </c>
      <c r="S128" s="18">
        <v>108101</v>
      </c>
      <c r="T128" s="58"/>
    </row>
    <row r="129" spans="1:22" x14ac:dyDescent="0.2">
      <c r="A129" s="100" t="s">
        <v>272</v>
      </c>
      <c r="B129" s="18"/>
      <c r="C129" s="28" t="s">
        <v>271</v>
      </c>
      <c r="D129" s="4" t="s">
        <v>272</v>
      </c>
      <c r="E129" s="32">
        <f>VLOOKUP(A129,'DEK Mar 2016'!$A$1:$I$252,9,FALSE)</f>
        <v>261428.66999999995</v>
      </c>
      <c r="F129" s="30">
        <v>0</v>
      </c>
      <c r="G129" s="30">
        <v>92181.01</v>
      </c>
      <c r="H129" s="30">
        <v>0</v>
      </c>
      <c r="I129" s="115">
        <f t="shared" si="22"/>
        <v>353609.67999999993</v>
      </c>
      <c r="J129" s="30">
        <v>0</v>
      </c>
      <c r="K129" s="115">
        <f t="shared" si="23"/>
        <v>353609.67999999993</v>
      </c>
      <c r="L129" s="210" t="s">
        <v>241</v>
      </c>
      <c r="M129" s="20"/>
      <c r="N129" s="42"/>
      <c r="O129" s="42"/>
      <c r="R129" s="58" t="s">
        <v>44</v>
      </c>
      <c r="S129" s="18">
        <v>108101</v>
      </c>
      <c r="T129" s="58"/>
    </row>
    <row r="130" spans="1:22" x14ac:dyDescent="0.2">
      <c r="B130" s="18"/>
      <c r="C130" s="28"/>
      <c r="E130" s="36"/>
      <c r="F130" s="36"/>
      <c r="G130" s="150"/>
      <c r="H130" s="36"/>
      <c r="I130" s="127"/>
      <c r="J130" s="68"/>
      <c r="K130" s="127"/>
      <c r="M130" s="62"/>
      <c r="P130" s="51"/>
      <c r="Q130" s="18"/>
      <c r="R130" s="58"/>
      <c r="S130" s="18">
        <v>254401</v>
      </c>
    </row>
    <row r="131" spans="1:22" x14ac:dyDescent="0.2">
      <c r="B131" s="18"/>
      <c r="C131" s="28"/>
      <c r="E131" s="33">
        <f t="shared" ref="E131:K131" si="24">SUM(E123:E130)</f>
        <v>-48051327.100000001</v>
      </c>
      <c r="F131" s="33">
        <f t="shared" si="24"/>
        <v>0</v>
      </c>
      <c r="G131" s="33">
        <f t="shared" si="24"/>
        <v>179337.83999999997</v>
      </c>
      <c r="H131" s="33">
        <f t="shared" si="24"/>
        <v>0</v>
      </c>
      <c r="I131" s="123">
        <f t="shared" si="24"/>
        <v>-47871989.260000005</v>
      </c>
      <c r="J131" s="33">
        <f t="shared" si="24"/>
        <v>0</v>
      </c>
      <c r="K131" s="123">
        <f t="shared" si="24"/>
        <v>-47871989.260000005</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-55394328.350000001</v>
      </c>
      <c r="F133" s="133">
        <f t="shared" ref="F133:H133" si="25">+F106+F114+F121+F131+F111</f>
        <v>0</v>
      </c>
      <c r="G133" s="133">
        <f t="shared" si="25"/>
        <v>3058966.58</v>
      </c>
      <c r="H133" s="133">
        <f t="shared" si="25"/>
        <v>117748.17</v>
      </c>
      <c r="I133" s="134">
        <f>+I106+I114+I121+I131+I111</f>
        <v>-52217613.600000009</v>
      </c>
      <c r="J133" s="133">
        <f>+J106+J114+J121+J131+J111</f>
        <v>0</v>
      </c>
      <c r="K133" s="134">
        <f>+K106+K114+K121+K131+K111</f>
        <v>-52217613.600000009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22775388.250000007</v>
      </c>
      <c r="F135" s="137">
        <f>F133+F96</f>
        <v>0</v>
      </c>
      <c r="G135" s="137">
        <f>G133+G96</f>
        <v>5015946.0999999996</v>
      </c>
      <c r="H135" s="137">
        <f>H133+H96</f>
        <v>95541.989999999991</v>
      </c>
      <c r="I135" s="138">
        <f>I96+I133</f>
        <v>27886876.339999989</v>
      </c>
      <c r="J135" s="137">
        <f>J133+J96</f>
        <v>-4.6566128730773926E-10</v>
      </c>
      <c r="K135" s="138">
        <f>K96+K133</f>
        <v>27886876.339999989</v>
      </c>
      <c r="L135" s="50">
        <v>0</v>
      </c>
      <c r="M135" s="70"/>
      <c r="N135" s="70"/>
      <c r="O135" s="70"/>
      <c r="P135" s="50"/>
      <c r="Q135" s="50"/>
      <c r="R135" s="50"/>
      <c r="S135" s="18"/>
      <c r="T135" s="29">
        <f>+G135+H135+F135</f>
        <v>5111488.09</v>
      </c>
      <c r="U135" s="19">
        <v>13111056.41</v>
      </c>
      <c r="V135" s="29">
        <f>+T135-U135</f>
        <v>-7999568.3200000003</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360477.45000000007</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5111488.09</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5494171.7199999997</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1831622.9399999988</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2195705.81</v>
      </c>
      <c r="F164" s="32">
        <f t="shared" ref="F164:F169" si="26">+F94+F95</f>
        <v>0</v>
      </c>
      <c r="G164" s="165"/>
      <c r="H164" s="83"/>
      <c r="I164" s="84">
        <f>+I19</f>
        <v>2195705.81</v>
      </c>
      <c r="J164" s="84">
        <f>+J19</f>
        <v>2230587.7599999998</v>
      </c>
      <c r="K164" s="84">
        <f>+K19</f>
        <v>4426293.57</v>
      </c>
      <c r="M164" s="20"/>
      <c r="S164" s="18"/>
    </row>
    <row r="165" spans="1:19" hidden="1" x14ac:dyDescent="0.2">
      <c r="A165" s="109" t="s">
        <v>141</v>
      </c>
      <c r="B165" s="18"/>
      <c r="C165" s="18"/>
      <c r="D165" s="82" t="s">
        <v>141</v>
      </c>
      <c r="E165" s="83">
        <f>+E24</f>
        <v>1654761.3200000015</v>
      </c>
      <c r="F165" s="32">
        <f t="shared" si="26"/>
        <v>0</v>
      </c>
      <c r="G165" s="165"/>
      <c r="H165" s="83"/>
      <c r="I165" s="84">
        <f>+I24</f>
        <v>1632555.1400000015</v>
      </c>
      <c r="J165" s="84">
        <f>+J24</f>
        <v>-266474.15999999997</v>
      </c>
      <c r="K165" s="84">
        <f>+K24</f>
        <v>1366080.9800000016</v>
      </c>
      <c r="M165" s="20"/>
      <c r="S165" s="18"/>
    </row>
    <row r="166" spans="1:19" hidden="1" x14ac:dyDescent="0.2">
      <c r="A166" s="109" t="s">
        <v>61</v>
      </c>
      <c r="B166" s="18"/>
      <c r="C166" s="18"/>
      <c r="D166" s="82" t="s">
        <v>61</v>
      </c>
      <c r="E166" s="32">
        <f>+E30</f>
        <v>1553791.2000000002</v>
      </c>
      <c r="F166" s="32">
        <f t="shared" si="26"/>
        <v>0</v>
      </c>
      <c r="G166" s="157"/>
      <c r="H166" s="32"/>
      <c r="I166" s="84">
        <f>+I30</f>
        <v>2065451.2000000002</v>
      </c>
      <c r="J166" s="84">
        <f>+J30</f>
        <v>0</v>
      </c>
      <c r="K166" s="84">
        <f>+K30</f>
        <v>2065451.2000000002</v>
      </c>
      <c r="M166" s="20"/>
      <c r="S166" s="18"/>
    </row>
    <row r="167" spans="1:19" hidden="1" x14ac:dyDescent="0.2">
      <c r="A167" s="109" t="s">
        <v>143</v>
      </c>
      <c r="B167" s="18"/>
      <c r="C167" s="18"/>
      <c r="D167" s="82" t="s">
        <v>143</v>
      </c>
      <c r="E167" s="32">
        <f>+E80</f>
        <v>41354873.530000001</v>
      </c>
      <c r="F167" s="32">
        <f t="shared" si="26"/>
        <v>0</v>
      </c>
      <c r="G167" s="157"/>
      <c r="H167" s="32"/>
      <c r="I167" s="84">
        <f>+I80</f>
        <v>44753569.629999988</v>
      </c>
      <c r="J167" s="84">
        <f>+J80</f>
        <v>-1964113.6</v>
      </c>
      <c r="K167" s="84">
        <f>+K80</f>
        <v>42789456.029999994</v>
      </c>
      <c r="M167" s="20"/>
      <c r="S167" s="18"/>
    </row>
    <row r="168" spans="1:19" hidden="1" x14ac:dyDescent="0.2">
      <c r="A168" s="109" t="s">
        <v>151</v>
      </c>
      <c r="B168" s="18"/>
      <c r="C168" s="18"/>
      <c r="D168" s="82" t="s">
        <v>151</v>
      </c>
      <c r="E168" s="32">
        <f>+E90</f>
        <v>27791583.040000003</v>
      </c>
      <c r="F168" s="32">
        <f t="shared" si="26"/>
        <v>0</v>
      </c>
      <c r="G168" s="157"/>
      <c r="H168" s="32"/>
      <c r="I168" s="84">
        <f>+I90</f>
        <v>27625762.040000003</v>
      </c>
      <c r="J168" s="84">
        <f>+J90</f>
        <v>0</v>
      </c>
      <c r="K168" s="84">
        <f>+K90</f>
        <v>27625762.040000003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-2527348.3099999996</v>
      </c>
      <c r="F170" s="32" t="e">
        <f>+F100+#REF!</f>
        <v>#REF!</v>
      </c>
      <c r="G170" s="157"/>
      <c r="H170" s="32"/>
      <c r="I170" s="84">
        <f>+I106</f>
        <v>907206.60000000056</v>
      </c>
      <c r="J170" s="84">
        <f>+J106</f>
        <v>0</v>
      </c>
      <c r="K170" s="84">
        <f>+K106</f>
        <v>907206.60000000056</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-4799930.7300000004</v>
      </c>
      <c r="F172" s="32" t="e">
        <f>+#REF!+#REF!</f>
        <v>#REF!</v>
      </c>
      <c r="G172" s="157"/>
      <c r="H172" s="32"/>
      <c r="I172" s="84">
        <f>+I114</f>
        <v>-4754071.7300000004</v>
      </c>
      <c r="J172" s="84">
        <f>+J114</f>
        <v>0</v>
      </c>
      <c r="K172" s="84">
        <f>+K114</f>
        <v>-4754071.7300000004</v>
      </c>
      <c r="M172" s="20"/>
      <c r="S172" s="18"/>
    </row>
    <row r="173" spans="1:19" hidden="1" x14ac:dyDescent="0.2">
      <c r="A173" s="109" t="s">
        <v>153</v>
      </c>
      <c r="B173" s="18"/>
      <c r="C173" s="18"/>
      <c r="D173" s="82" t="s">
        <v>153</v>
      </c>
      <c r="E173" s="32">
        <f>+E121</f>
        <v>-15722.210000000005</v>
      </c>
      <c r="F173" s="32" t="e">
        <f>+#REF!+F101</f>
        <v>#REF!</v>
      </c>
      <c r="G173" s="157"/>
      <c r="H173" s="32"/>
      <c r="I173" s="84">
        <f>+I121</f>
        <v>-498759.21</v>
      </c>
      <c r="J173" s="84">
        <f>+J121</f>
        <v>0</v>
      </c>
      <c r="K173" s="84">
        <f>+K121</f>
        <v>-498759.21</v>
      </c>
      <c r="M173" s="20"/>
      <c r="S173" s="18"/>
    </row>
    <row r="174" spans="1:19" hidden="1" x14ac:dyDescent="0.2">
      <c r="A174" s="109" t="s">
        <v>155</v>
      </c>
      <c r="B174" s="18"/>
      <c r="C174" s="18"/>
      <c r="D174" s="82" t="s">
        <v>155</v>
      </c>
      <c r="E174" s="32">
        <f>+E131</f>
        <v>-48051327.100000001</v>
      </c>
      <c r="F174" s="32">
        <f t="shared" ref="F174" si="27">+F101+F102</f>
        <v>0</v>
      </c>
      <c r="G174" s="157"/>
      <c r="H174" s="32"/>
      <c r="I174" s="84">
        <f>+I131</f>
        <v>-47871989.260000005</v>
      </c>
      <c r="J174" s="84">
        <f>+J131</f>
        <v>0</v>
      </c>
      <c r="K174" s="84">
        <f>+K131</f>
        <v>-47871989.260000005</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20988009.490000002</v>
      </c>
      <c r="F176" s="88" t="e">
        <f>SUM(F166:F175)</f>
        <v>#REF!</v>
      </c>
      <c r="G176" s="166"/>
      <c r="H176" s="88"/>
      <c r="I176" s="89">
        <f>SUM(I162:I175)</f>
        <v>26055430.219999984</v>
      </c>
      <c r="J176" s="89">
        <f>SUM(J162:J175)</f>
        <v>-2.3283064365386963E-10</v>
      </c>
      <c r="K176" s="89">
        <f>SUM(K162:K175)</f>
        <v>26055430.219999984</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-1787378.7600000054</v>
      </c>
      <c r="F178" s="19"/>
      <c r="G178" s="148"/>
      <c r="H178" s="19"/>
      <c r="I178" s="19">
        <f>+I176-I135</f>
        <v>-1831446.1200000048</v>
      </c>
      <c r="J178" s="19">
        <f>+J176-J135</f>
        <v>2.3283064365386963E-10</v>
      </c>
      <c r="K178" s="19">
        <f>+K176-K135</f>
        <v>-1831446.1200000048</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-1831622.94</v>
      </c>
      <c r="H183" s="19">
        <f>+H9+H92+H10</f>
        <v>0</v>
      </c>
      <c r="I183" s="19"/>
      <c r="J183" s="19"/>
      <c r="K183" s="19"/>
      <c r="M183" s="20"/>
      <c r="S183" s="18"/>
    </row>
    <row r="184" spans="1:19" hidden="1" x14ac:dyDescent="0.2">
      <c r="A184" s="100" t="s">
        <v>65</v>
      </c>
      <c r="B184" s="18"/>
      <c r="C184" s="18"/>
      <c r="D184" s="34" t="s">
        <v>65</v>
      </c>
      <c r="F184" s="19"/>
      <c r="G184" s="148">
        <f>+G100+G101+G102+G103+G99+G104</f>
        <v>3316806.74</v>
      </c>
      <c r="H184" s="19">
        <f>+H100+H101+H102+H103+H99</f>
        <v>117748.17</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1485183.8000000003</v>
      </c>
      <c r="H186" s="110">
        <f>+H182+H183+H184-H139</f>
        <v>117748.17</v>
      </c>
      <c r="I186" s="19"/>
      <c r="J186" s="19"/>
      <c r="K186" s="19"/>
      <c r="M186" s="20"/>
      <c r="S186" s="18"/>
    </row>
    <row r="187" spans="1:19" hidden="1" x14ac:dyDescent="0.2">
      <c r="B187" s="18"/>
      <c r="C187" s="18"/>
      <c r="F187" s="19"/>
      <c r="H187" s="29">
        <f>+H183+H184+H182+G182+G183+G184</f>
        <v>1602931.9700000002</v>
      </c>
      <c r="I187" s="19"/>
      <c r="J187" s="19"/>
      <c r="K187" s="19"/>
      <c r="M187" s="20"/>
      <c r="S187" s="18"/>
    </row>
    <row r="188" spans="1:19" hidden="1" x14ac:dyDescent="0.2">
      <c r="B188" s="18"/>
      <c r="C188" s="18"/>
      <c r="F188" s="19"/>
      <c r="G188" s="148"/>
      <c r="H188" s="29">
        <f>+H187-G139-H139</f>
        <v>1602931.9700000002</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zoomScale="80" zoomScaleNormal="80" workbookViewId="0">
      <selection activeCell="H149" sqref="H14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0" t="s">
        <v>66</v>
      </c>
    </row>
    <row r="4" spans="1:22" x14ac:dyDescent="0.2">
      <c r="A4" s="99"/>
      <c r="B4" s="7"/>
      <c r="C4" s="3"/>
      <c r="D4" s="3"/>
      <c r="E4" s="212"/>
      <c r="F4" s="8"/>
      <c r="G4" s="215"/>
      <c r="H4" s="216"/>
      <c r="I4" s="202"/>
      <c r="J4" s="202"/>
      <c r="K4" s="202"/>
      <c r="M4" s="10"/>
      <c r="P4" s="240" t="s">
        <v>1</v>
      </c>
    </row>
    <row r="5" spans="1:22" x14ac:dyDescent="0.2">
      <c r="E5" s="217" t="s">
        <v>208</v>
      </c>
      <c r="F5" s="240" t="s">
        <v>3</v>
      </c>
      <c r="G5" s="240" t="s">
        <v>4</v>
      </c>
      <c r="H5" s="240"/>
      <c r="I5" s="204" t="s">
        <v>208</v>
      </c>
      <c r="J5" s="13" t="s">
        <v>180</v>
      </c>
      <c r="K5" s="204" t="s">
        <v>209</v>
      </c>
      <c r="L5" s="240" t="s">
        <v>5</v>
      </c>
      <c r="M5" s="11" t="s">
        <v>6</v>
      </c>
      <c r="N5" s="11" t="s">
        <v>0</v>
      </c>
      <c r="O5" s="11" t="s">
        <v>8</v>
      </c>
      <c r="P5" s="240" t="s">
        <v>9</v>
      </c>
      <c r="Q5" s="576" t="s">
        <v>10</v>
      </c>
      <c r="R5" s="576"/>
      <c r="U5" s="12" t="s">
        <v>11</v>
      </c>
    </row>
    <row r="6" spans="1:22" x14ac:dyDescent="0.2">
      <c r="E6" s="218">
        <v>42490</v>
      </c>
      <c r="F6" s="13" t="s">
        <v>12</v>
      </c>
      <c r="G6" s="14" t="s">
        <v>13</v>
      </c>
      <c r="H6" s="14" t="s">
        <v>8</v>
      </c>
      <c r="I6" s="205">
        <v>42521</v>
      </c>
      <c r="J6" s="13" t="s">
        <v>210</v>
      </c>
      <c r="K6" s="205">
        <f>I6</f>
        <v>42521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Apr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Apr 2016'!$A$1:$I$252,9,FALSE)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0</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Apr 2016'!$A$1:$I$252,9,FALSE)</f>
        <v>755559.81</v>
      </c>
      <c r="F15" s="30">
        <v>0</v>
      </c>
      <c r="G15" s="33">
        <v>0</v>
      </c>
      <c r="H15" s="30">
        <v>0</v>
      </c>
      <c r="I15" s="115">
        <f>E15+F15+G15+H15</f>
        <v>755559.81</v>
      </c>
      <c r="J15" s="30">
        <v>0</v>
      </c>
      <c r="K15" s="115">
        <f>I15+J15</f>
        <v>755559.81</v>
      </c>
      <c r="L15" s="210" t="s">
        <v>22</v>
      </c>
      <c r="M15" s="20"/>
      <c r="S15" s="18"/>
    </row>
    <row r="16" spans="1:22" x14ac:dyDescent="0.2">
      <c r="A16" s="100" t="s">
        <v>157</v>
      </c>
      <c r="B16" s="28"/>
      <c r="C16" s="28" t="s">
        <v>37</v>
      </c>
      <c r="D16" s="4" t="s">
        <v>192</v>
      </c>
      <c r="E16" s="32">
        <f>VLOOKUP(A16,'DEK Apr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2230587.7599999998</v>
      </c>
      <c r="K17" s="115">
        <f t="shared" ref="K17" si="1">I17+J17</f>
        <v>2230587.7599999998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0</v>
      </c>
      <c r="H19" s="29">
        <f t="shared" si="2"/>
        <v>0</v>
      </c>
      <c r="I19" s="123">
        <f t="shared" si="2"/>
        <v>2195705.81</v>
      </c>
      <c r="J19" s="49">
        <f t="shared" si="2"/>
        <v>2230587.7599999998</v>
      </c>
      <c r="K19" s="123">
        <f t="shared" si="2"/>
        <v>4426293.57</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Apr 2016'!$A$1:$I$252,9,FALSE)</f>
        <v>1632555.1400000015</v>
      </c>
      <c r="F22" s="33">
        <v>0</v>
      </c>
      <c r="G22" s="33">
        <v>0</v>
      </c>
      <c r="H22" s="33">
        <v>-22206.17</v>
      </c>
      <c r="I22" s="115">
        <f>E22+F22+G22+H22</f>
        <v>1610348.9700000016</v>
      </c>
      <c r="J22" s="33">
        <v>-266474.15999999997</v>
      </c>
      <c r="K22" s="115">
        <f>I22+J22</f>
        <v>1343874.8100000017</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1632555.1400000015</v>
      </c>
      <c r="F24" s="29">
        <f t="shared" ref="F24:K24" si="3">SUM(F22:F23)</f>
        <v>0</v>
      </c>
      <c r="G24" s="29">
        <f t="shared" si="3"/>
        <v>0</v>
      </c>
      <c r="H24" s="29">
        <f t="shared" si="3"/>
        <v>-22206.17</v>
      </c>
      <c r="I24" s="123">
        <f t="shared" si="3"/>
        <v>1610348.9700000016</v>
      </c>
      <c r="J24" s="49">
        <f t="shared" si="3"/>
        <v>-266474.15999999997</v>
      </c>
      <c r="K24" s="123">
        <f t="shared" si="3"/>
        <v>1343874.8100000017</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Apr 2016'!$A$1:$I$252,9,FALSE)</f>
        <v>2060747</v>
      </c>
      <c r="F27" s="33">
        <v>0</v>
      </c>
      <c r="G27" s="33">
        <v>23870</v>
      </c>
      <c r="H27" s="29">
        <v>0</v>
      </c>
      <c r="I27" s="115">
        <f>E27+F27+G27+H27</f>
        <v>2084617</v>
      </c>
      <c r="J27" s="33">
        <v>0</v>
      </c>
      <c r="K27" s="115">
        <f>I27+J27</f>
        <v>2084617</v>
      </c>
      <c r="L27" s="210" t="s">
        <v>22</v>
      </c>
      <c r="M27" s="226"/>
      <c r="S27" s="28" t="s">
        <v>23</v>
      </c>
    </row>
    <row r="28" spans="1:21" ht="13.5" customHeight="1" x14ac:dyDescent="0.2">
      <c r="A28" s="100" t="s">
        <v>80</v>
      </c>
      <c r="B28" s="28"/>
      <c r="C28" s="28" t="s">
        <v>24</v>
      </c>
      <c r="D28" s="4" t="s">
        <v>204</v>
      </c>
      <c r="E28" s="32">
        <f>VLOOKUP(A28,'DEK Apr 2016'!$A$1:$I$252,9,FALSE)</f>
        <v>4704.2000000001863</v>
      </c>
      <c r="F28" s="33">
        <v>0</v>
      </c>
      <c r="G28" s="33">
        <v>-478382</v>
      </c>
      <c r="H28" s="32">
        <v>0</v>
      </c>
      <c r="I28" s="115">
        <f>E28+F28+G28+H28</f>
        <v>-473677.79999999981</v>
      </c>
      <c r="J28" s="33">
        <v>0</v>
      </c>
      <c r="K28" s="115">
        <f>I28+J28</f>
        <v>-473677.79999999981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2065451.2000000002</v>
      </c>
      <c r="F30" s="44">
        <f t="shared" ref="F30:K30" si="4">SUM(F27:F28)</f>
        <v>0</v>
      </c>
      <c r="G30" s="33">
        <f t="shared" si="4"/>
        <v>-454512</v>
      </c>
      <c r="H30" s="33">
        <f t="shared" si="4"/>
        <v>0</v>
      </c>
      <c r="I30" s="123">
        <f t="shared" si="4"/>
        <v>1610939.2000000002</v>
      </c>
      <c r="J30" s="33">
        <f t="shared" si="4"/>
        <v>0</v>
      </c>
      <c r="K30" s="123">
        <f t="shared" si="4"/>
        <v>1610939.2000000002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Apr 2016'!$A$1:$I$252,9,FALSE)</f>
        <v>3537885.9900000012</v>
      </c>
      <c r="F52" s="33">
        <v>0</v>
      </c>
      <c r="G52" s="33">
        <v>-197127.03</v>
      </c>
      <c r="H52" s="33">
        <v>0</v>
      </c>
      <c r="I52" s="115">
        <f>E52+F52+G52+H52</f>
        <v>3340758.9600000014</v>
      </c>
      <c r="J52" s="33">
        <v>-1964113.6</v>
      </c>
      <c r="K52" s="115">
        <f>I52+J52</f>
        <v>1376645.3600000013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Apr 2016'!$A$1:$I$252,9,FALSE)</f>
        <v>6417538</v>
      </c>
      <c r="F53" s="33">
        <v>0</v>
      </c>
      <c r="G53" s="33">
        <v>0</v>
      </c>
      <c r="H53" s="33">
        <v>0</v>
      </c>
      <c r="I53" s="115">
        <f>E53+F53+G53+H53</f>
        <v>6417538</v>
      </c>
      <c r="J53" s="33">
        <v>0</v>
      </c>
      <c r="K53" s="115">
        <f>I53+J53</f>
        <v>6417538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Apr 2016'!$A$1:$I$252,9,FALSE)</f>
        <v>1450000</v>
      </c>
      <c r="F59" s="33">
        <v>0</v>
      </c>
      <c r="G59" s="33">
        <v>0</v>
      </c>
      <c r="H59" s="33">
        <v>0</v>
      </c>
      <c r="I59" s="115">
        <f>E59+F59+G59+H59</f>
        <v>1450000</v>
      </c>
      <c r="J59" s="33">
        <v>0</v>
      </c>
      <c r="K59" s="115">
        <f>I59+J59</f>
        <v>1450000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Apr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Apr 2016'!$A$1:$I$252,9,FALSE)</f>
        <v>17605840.029999997</v>
      </c>
      <c r="F67" s="172"/>
      <c r="G67" s="33">
        <v>651363.37</v>
      </c>
      <c r="H67" s="172"/>
      <c r="I67" s="115">
        <f t="shared" si="5"/>
        <v>18257203.399999999</v>
      </c>
      <c r="J67" s="172"/>
      <c r="K67" s="115">
        <f t="shared" si="6"/>
        <v>18257203.399999999</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Apr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Apr 2016'!$A$1:$I$252,9,FALSE)</f>
        <v>5103811.0500000007</v>
      </c>
      <c r="F71" s="172"/>
      <c r="G71" s="33">
        <v>730503.34</v>
      </c>
      <c r="H71" s="144"/>
      <c r="I71" s="115">
        <f t="shared" si="5"/>
        <v>5834314.3900000006</v>
      </c>
      <c r="J71" s="33"/>
      <c r="K71" s="115">
        <f t="shared" si="6"/>
        <v>5834314.3900000006</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Apr 2016'!$A$1:$I$252,9,FALSE)</f>
        <v>-44186.59</v>
      </c>
      <c r="F73" s="172"/>
      <c r="G73" s="33">
        <v>-20925.63</v>
      </c>
      <c r="H73" s="144"/>
      <c r="I73" s="115">
        <f t="shared" si="5"/>
        <v>-65112.22</v>
      </c>
      <c r="J73" s="33"/>
      <c r="K73" s="115">
        <f t="shared" si="6"/>
        <v>-65112.22</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Apr 2016'!$A$1:$I$252,9,FALSE)</f>
        <v>5769997.1500000004</v>
      </c>
      <c r="F75" s="172"/>
      <c r="G75" s="33">
        <v>376107.32</v>
      </c>
      <c r="H75" s="144"/>
      <c r="I75" s="115">
        <f t="shared" ref="I75" si="7">E75+F75+G75+H75</f>
        <v>6146104.4700000007</v>
      </c>
      <c r="J75" s="33"/>
      <c r="K75" s="115">
        <f t="shared" ref="K75" si="8">I75+J75</f>
        <v>6146104.4700000007</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Apr 2016'!$A$1:$I$252,9,FALSE)</f>
        <v>0</v>
      </c>
      <c r="F77" s="174"/>
      <c r="G77" s="33">
        <v>0</v>
      </c>
      <c r="H77" s="33"/>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Apr 2016'!$A$1:$I$252,9,FALSE)</f>
        <v>0</v>
      </c>
      <c r="F79" s="174"/>
      <c r="G79" s="36">
        <v>0</v>
      </c>
      <c r="H79" s="36">
        <v>0</v>
      </c>
      <c r="I79" s="116">
        <f t="shared" si="9"/>
        <v>0</v>
      </c>
      <c r="J79" s="36"/>
      <c r="K79" s="116">
        <f t="shared" si="10"/>
        <v>0</v>
      </c>
      <c r="M79" s="20"/>
      <c r="S79" s="18"/>
    </row>
    <row r="80" spans="1:19" x14ac:dyDescent="0.2">
      <c r="B80" s="54"/>
      <c r="C80" s="28"/>
      <c r="E80" s="32">
        <f>SUM(E42:E79)</f>
        <v>44753569.629999988</v>
      </c>
      <c r="F80" s="29">
        <f>SUM(F39:F65)+F36</f>
        <v>0</v>
      </c>
      <c r="G80" s="29">
        <f>SUM(G39:G79)+G36</f>
        <v>1539921.37</v>
      </c>
      <c r="H80" s="29">
        <f>SUM(H39:H79)+H36</f>
        <v>0</v>
      </c>
      <c r="I80" s="123">
        <f>SUM(I39:I79)+I36</f>
        <v>46293491</v>
      </c>
      <c r="J80" s="49">
        <f>SUM(J39:J79)+J36</f>
        <v>-1964113.6</v>
      </c>
      <c r="K80" s="123">
        <f>SUM(K39:K79)+K36</f>
        <v>44329377.399999999</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Apr 2016'!$A$1:$I$252,9,FALSE)</f>
        <v>1831446.12</v>
      </c>
      <c r="F82" s="29"/>
      <c r="G82" s="29">
        <v>-94476.57</v>
      </c>
      <c r="H82" s="29">
        <v>0</v>
      </c>
      <c r="I82" s="123">
        <f>E82+F82+G82+H82</f>
        <v>1736969.55</v>
      </c>
      <c r="J82" s="49">
        <v>0</v>
      </c>
      <c r="K82" s="123">
        <f t="shared" ref="K82" si="11">I82+J82</f>
        <v>1736969.55</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Apr 2016'!$A$1:$I$252,9,FALSE)</f>
        <v>24762528.440000001</v>
      </c>
      <c r="F86" s="30">
        <v>0</v>
      </c>
      <c r="G86" s="33">
        <v>-140031</v>
      </c>
      <c r="H86" s="30">
        <v>0</v>
      </c>
      <c r="I86" s="115">
        <f>E86+F86+G86+H86</f>
        <v>24622497.440000001</v>
      </c>
      <c r="J86" s="30">
        <v>0</v>
      </c>
      <c r="K86" s="115">
        <f t="shared" ref="K86:K88" si="12">I86+J86</f>
        <v>24622497.440000001</v>
      </c>
      <c r="L86" s="210" t="s">
        <v>22</v>
      </c>
      <c r="M86" s="20"/>
      <c r="P86" s="58"/>
      <c r="S86" s="18">
        <v>186801</v>
      </c>
    </row>
    <row r="87" spans="1:21" x14ac:dyDescent="0.2">
      <c r="A87" s="108" t="s">
        <v>171</v>
      </c>
      <c r="B87" s="28"/>
      <c r="C87" s="28" t="s">
        <v>122</v>
      </c>
      <c r="D87" s="4" t="s">
        <v>225</v>
      </c>
      <c r="E87" s="32">
        <f>VLOOKUP(A87,'DEK Apr 2016'!$A$1:$I$252,9,FALSE)</f>
        <v>2813337.55</v>
      </c>
      <c r="F87" s="30">
        <v>0</v>
      </c>
      <c r="G87" s="33">
        <v>-25398</v>
      </c>
      <c r="H87" s="30">
        <v>0</v>
      </c>
      <c r="I87" s="115">
        <f>E87+F87+G87+H87</f>
        <v>2787939.55</v>
      </c>
      <c r="J87" s="30">
        <v>0</v>
      </c>
      <c r="K87" s="115">
        <f t="shared" si="12"/>
        <v>2787939.55</v>
      </c>
      <c r="L87" s="210" t="s">
        <v>22</v>
      </c>
      <c r="M87" s="20"/>
      <c r="P87" s="58"/>
      <c r="S87" s="18"/>
    </row>
    <row r="88" spans="1:21" x14ac:dyDescent="0.2">
      <c r="A88" s="108" t="s">
        <v>172</v>
      </c>
      <c r="B88" s="28"/>
      <c r="C88" s="28" t="s">
        <v>123</v>
      </c>
      <c r="D88" s="4" t="s">
        <v>226</v>
      </c>
      <c r="E88" s="32">
        <f>VLOOKUP(A88,'DEK Apr 2016'!$A$1:$I$252,9,FALSE)</f>
        <v>49896.05</v>
      </c>
      <c r="F88" s="30">
        <v>0</v>
      </c>
      <c r="G88" s="33">
        <v>-392</v>
      </c>
      <c r="H88" s="30">
        <v>0</v>
      </c>
      <c r="I88" s="115">
        <f>E88+F88+G88+H88</f>
        <v>49504.05</v>
      </c>
      <c r="J88" s="30">
        <v>0</v>
      </c>
      <c r="K88" s="115">
        <f t="shared" si="12"/>
        <v>49504.05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27625762.040000003</v>
      </c>
      <c r="F90" s="29">
        <f t="shared" ref="F90:K90" si="13">SUM(F85:F89)</f>
        <v>0</v>
      </c>
      <c r="G90" s="29">
        <f>SUM(G85:G89)</f>
        <v>-165821</v>
      </c>
      <c r="H90" s="29">
        <f t="shared" si="13"/>
        <v>0</v>
      </c>
      <c r="I90" s="123">
        <f t="shared" si="13"/>
        <v>27459941.040000003</v>
      </c>
      <c r="J90" s="29">
        <f t="shared" si="13"/>
        <v>0</v>
      </c>
      <c r="K90" s="123">
        <f t="shared" si="13"/>
        <v>27459941.040000003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80104489.939999998</v>
      </c>
      <c r="F96" s="133">
        <f>+F12+F24+F30+F80+F90+F92+F19+F93</f>
        <v>0</v>
      </c>
      <c r="G96" s="133">
        <f>+G12+G24+G30+G80+G82+G90+G92+G19+G93</f>
        <v>825111.8</v>
      </c>
      <c r="H96" s="133">
        <f>+H12+H24+H30+H80+H82+H90+H92+H19+H93</f>
        <v>-22206.17</v>
      </c>
      <c r="I96" s="134">
        <f>+I12+I24+I30+I80+I82+I90+I92+I19+I93</f>
        <v>80907395.570000008</v>
      </c>
      <c r="J96" s="133">
        <f>+J12+J24+J30+J80+J82+J90+J92+J19+J93</f>
        <v>-4.6566128730773926E-10</v>
      </c>
      <c r="K96" s="134">
        <f>+K12+K24+K30+K80+K82+K90+K92+K19+K93</f>
        <v>80907395.569999993</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Apr 2016'!$A$1:$I$252,9,FALSE)</f>
        <v>2890118.7100000004</v>
      </c>
      <c r="F99" s="30">
        <v>0</v>
      </c>
      <c r="G99" s="33">
        <f>(-68081.75+-557036.4)</f>
        <v>-625118.15</v>
      </c>
      <c r="H99" s="33">
        <v>38155.68</v>
      </c>
      <c r="I99" s="115">
        <f t="shared" ref="I99:I104" si="15">E99+F99+G99+H99</f>
        <v>2303156.2400000007</v>
      </c>
      <c r="J99" s="30">
        <v>0</v>
      </c>
      <c r="K99" s="115">
        <f t="shared" ref="K99:K104" si="16">I99+J99</f>
        <v>2303156.2400000007</v>
      </c>
      <c r="L99" s="210" t="s">
        <v>22</v>
      </c>
      <c r="M99" s="33"/>
      <c r="N99" s="42"/>
      <c r="O99" s="42"/>
      <c r="S99" s="18">
        <v>191400</v>
      </c>
      <c r="T99" s="58"/>
    </row>
    <row r="100" spans="1:20" x14ac:dyDescent="0.2">
      <c r="A100" s="100" t="s">
        <v>115</v>
      </c>
      <c r="B100" s="18"/>
      <c r="C100" s="28" t="s">
        <v>53</v>
      </c>
      <c r="D100" s="4" t="s">
        <v>115</v>
      </c>
      <c r="E100" s="32">
        <f>VLOOKUP(A100,'DEK Apr 2016'!$A$1:$I$252,9,FALSE)</f>
        <v>-972076</v>
      </c>
      <c r="F100" s="30">
        <v>0</v>
      </c>
      <c r="G100" s="33">
        <v>332151</v>
      </c>
      <c r="H100" s="33">
        <v>0</v>
      </c>
      <c r="I100" s="115">
        <f t="shared" si="15"/>
        <v>-639925</v>
      </c>
      <c r="J100" s="30">
        <v>0</v>
      </c>
      <c r="K100" s="115">
        <f t="shared" si="16"/>
        <v>-639925</v>
      </c>
      <c r="L100" s="210" t="s">
        <v>22</v>
      </c>
      <c r="M100" s="30"/>
      <c r="N100" s="42"/>
      <c r="O100" s="42"/>
      <c r="S100" s="18">
        <v>191800</v>
      </c>
      <c r="T100" s="58"/>
    </row>
    <row r="101" spans="1:20" ht="12.75" customHeight="1" x14ac:dyDescent="0.2">
      <c r="A101" s="100" t="s">
        <v>117</v>
      </c>
      <c r="B101" s="18"/>
      <c r="C101" s="28" t="s">
        <v>77</v>
      </c>
      <c r="D101" s="4" t="s">
        <v>117</v>
      </c>
      <c r="E101" s="32">
        <f>VLOOKUP(A101,'DEK Apr 2016'!$A$1:$I$252,9,FALSE)</f>
        <v>0</v>
      </c>
      <c r="F101" s="30">
        <v>0</v>
      </c>
      <c r="G101" s="30">
        <v>-61157</v>
      </c>
      <c r="H101" s="33">
        <v>0</v>
      </c>
      <c r="I101" s="115">
        <f t="shared" si="15"/>
        <v>-61157</v>
      </c>
      <c r="J101" s="30">
        <v>0</v>
      </c>
      <c r="K101" s="115">
        <f t="shared" si="16"/>
        <v>-61157</v>
      </c>
      <c r="L101" s="210" t="s">
        <v>22</v>
      </c>
      <c r="M101" s="20"/>
      <c r="N101" s="42"/>
      <c r="O101" s="42"/>
      <c r="S101" s="18">
        <v>242995</v>
      </c>
      <c r="T101" s="58"/>
    </row>
    <row r="102" spans="1:20" x14ac:dyDescent="0.2">
      <c r="A102" s="100" t="s">
        <v>119</v>
      </c>
      <c r="B102" s="18"/>
      <c r="C102" s="28" t="s">
        <v>118</v>
      </c>
      <c r="D102" s="4" t="s">
        <v>119</v>
      </c>
      <c r="E102" s="32">
        <f>VLOOKUP(A102,'DEK Apr 2016'!$A$1:$I$252,9,FALSE)</f>
        <v>-464280.95000000048</v>
      </c>
      <c r="F102" s="30">
        <v>0</v>
      </c>
      <c r="G102" s="30">
        <v>-168195.7</v>
      </c>
      <c r="H102" s="33">
        <v>0</v>
      </c>
      <c r="I102" s="115">
        <f t="shared" si="15"/>
        <v>-632476.65000000049</v>
      </c>
      <c r="J102" s="30">
        <v>0</v>
      </c>
      <c r="K102" s="115">
        <f t="shared" si="16"/>
        <v>-632476.65000000049</v>
      </c>
      <c r="L102" s="210" t="s">
        <v>22</v>
      </c>
      <c r="M102" s="20"/>
      <c r="N102" s="42"/>
      <c r="O102" s="42"/>
      <c r="S102" s="18">
        <v>242997</v>
      </c>
      <c r="T102" s="58"/>
    </row>
    <row r="103" spans="1:20" x14ac:dyDescent="0.2">
      <c r="A103" s="100" t="s">
        <v>120</v>
      </c>
      <c r="B103" s="18"/>
      <c r="C103" s="28" t="s">
        <v>54</v>
      </c>
      <c r="D103" s="4" t="s">
        <v>120</v>
      </c>
      <c r="E103" s="32">
        <f>VLOOKUP(A103,'DEK Apr 2016'!$A$1:$I$252,9,FALSE)</f>
        <v>-138968.24999999977</v>
      </c>
      <c r="F103" s="33">
        <v>0</v>
      </c>
      <c r="G103" s="33">
        <v>557036.4</v>
      </c>
      <c r="H103" s="33">
        <v>21875.57</v>
      </c>
      <c r="I103" s="115">
        <f t="shared" si="15"/>
        <v>439943.72000000026</v>
      </c>
      <c r="J103" s="33">
        <v>0</v>
      </c>
      <c r="K103" s="115">
        <f t="shared" si="16"/>
        <v>439943.72000000026</v>
      </c>
      <c r="L103" s="210" t="s">
        <v>22</v>
      </c>
      <c r="M103" s="42"/>
      <c r="N103" s="42"/>
      <c r="O103" s="42"/>
      <c r="S103" s="18">
        <v>253130</v>
      </c>
      <c r="T103" s="58"/>
    </row>
    <row r="104" spans="1:20" x14ac:dyDescent="0.2">
      <c r="A104" s="100" t="s">
        <v>156</v>
      </c>
      <c r="B104" s="18"/>
      <c r="C104" s="28" t="s">
        <v>116</v>
      </c>
      <c r="D104" s="4" t="s">
        <v>211</v>
      </c>
      <c r="E104" s="32">
        <f>VLOOKUP(A104,'DEK Apr 2016'!$A$1:$I$252,9,FALSE)</f>
        <v>-407586.90999999968</v>
      </c>
      <c r="F104" s="33"/>
      <c r="G104" s="33">
        <v>-233163.19</v>
      </c>
      <c r="H104" s="33">
        <v>0</v>
      </c>
      <c r="I104" s="115">
        <f t="shared" si="15"/>
        <v>-640750.09999999963</v>
      </c>
      <c r="J104" s="30">
        <v>0</v>
      </c>
      <c r="K104" s="115">
        <f t="shared" si="16"/>
        <v>-640750.09999999963</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907206.60000000056</v>
      </c>
      <c r="F106" s="33">
        <f t="shared" si="17"/>
        <v>0</v>
      </c>
      <c r="G106" s="33">
        <f t="shared" si="17"/>
        <v>-198446.64</v>
      </c>
      <c r="H106" s="33">
        <f t="shared" si="17"/>
        <v>60031.25</v>
      </c>
      <c r="I106" s="123">
        <f t="shared" si="17"/>
        <v>768791.21000000089</v>
      </c>
      <c r="J106" s="33">
        <f t="shared" si="17"/>
        <v>0</v>
      </c>
      <c r="K106" s="123">
        <f t="shared" si="17"/>
        <v>768791.21000000089</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Apr 2016'!$A$1:$I$252,9,FALSE)</f>
        <v>-4754071.7300000004</v>
      </c>
      <c r="F114" s="30">
        <v>0</v>
      </c>
      <c r="G114" s="33">
        <v>45859</v>
      </c>
      <c r="H114" s="33">
        <v>0</v>
      </c>
      <c r="I114" s="123">
        <f>E114+G114+H114+F114</f>
        <v>-4708212.7300000004</v>
      </c>
      <c r="J114" s="91">
        <v>0</v>
      </c>
      <c r="K114" s="123">
        <f>I114+J114</f>
        <v>-4708212.7300000004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Apr 2016'!$A$1:$I$252,9,FALSE)</f>
        <v>-483085</v>
      </c>
      <c r="F117" s="30">
        <v>0</v>
      </c>
      <c r="G117" s="33">
        <v>483085</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Apr 2016'!$A$1:$I$252,9,FALSE)</f>
        <v>0</v>
      </c>
      <c r="F118" s="30">
        <v>0</v>
      </c>
      <c r="G118" s="152">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Apr 2016'!$A$1:$I$252,9,FALSE)</f>
        <v>-15674.210000000005</v>
      </c>
      <c r="F119" s="30">
        <v>0</v>
      </c>
      <c r="G119" s="33">
        <v>591.25</v>
      </c>
      <c r="H119" s="33">
        <v>0</v>
      </c>
      <c r="I119" s="117">
        <f>E119+F119+G119+H119</f>
        <v>-15082.960000000005</v>
      </c>
      <c r="J119" s="30">
        <v>0</v>
      </c>
      <c r="K119" s="117">
        <f t="shared" si="19"/>
        <v>-15082.960000000005</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-498759.21</v>
      </c>
      <c r="F121" s="30">
        <f t="shared" ref="F121:K121" si="21">SUM(F117:F120)</f>
        <v>0</v>
      </c>
      <c r="G121" s="30">
        <f t="shared" si="21"/>
        <v>483676.25</v>
      </c>
      <c r="H121" s="30">
        <f t="shared" si="21"/>
        <v>0</v>
      </c>
      <c r="I121" s="122">
        <f t="shared" si="21"/>
        <v>-15082.960000000005</v>
      </c>
      <c r="J121" s="30">
        <f t="shared" si="21"/>
        <v>0</v>
      </c>
      <c r="K121" s="122">
        <f t="shared" si="21"/>
        <v>-15082.960000000005</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Apr 2016'!$A$1:$I$252,9,FALSE)</f>
        <v>-17710812.380000006</v>
      </c>
      <c r="F123" s="30">
        <v>0</v>
      </c>
      <c r="G123" s="30">
        <v>-390861.89</v>
      </c>
      <c r="H123" s="30">
        <v>0</v>
      </c>
      <c r="I123" s="115">
        <f t="shared" ref="I123:I129" si="22">E123+F123+G123+H123</f>
        <v>-18101674.270000007</v>
      </c>
      <c r="J123" s="30">
        <v>0</v>
      </c>
      <c r="K123" s="115">
        <f t="shared" ref="K123:K129" si="23">I123+J123</f>
        <v>-18101674.270000007</v>
      </c>
      <c r="L123" s="210" t="s">
        <v>241</v>
      </c>
      <c r="M123" s="20"/>
      <c r="N123" s="42"/>
      <c r="O123" s="42"/>
      <c r="Q123" s="240">
        <v>75086</v>
      </c>
      <c r="R123" s="58" t="s">
        <v>44</v>
      </c>
      <c r="S123" s="18">
        <v>108201</v>
      </c>
      <c r="T123" s="58"/>
    </row>
    <row r="124" spans="1:23" x14ac:dyDescent="0.2">
      <c r="A124" s="100" t="s">
        <v>166</v>
      </c>
      <c r="B124" s="18"/>
      <c r="C124" s="28" t="s">
        <v>45</v>
      </c>
      <c r="D124" s="4" t="s">
        <v>198</v>
      </c>
      <c r="E124" s="32">
        <f>VLOOKUP(A124,'DEK Apr 2016'!$A$1:$I$252,9,FALSE)</f>
        <v>-48229912.5</v>
      </c>
      <c r="F124" s="30">
        <v>0</v>
      </c>
      <c r="G124" s="30">
        <v>-58894.16</v>
      </c>
      <c r="H124" s="30">
        <v>0</v>
      </c>
      <c r="I124" s="115">
        <f t="shared" si="22"/>
        <v>-48288806.659999996</v>
      </c>
      <c r="J124" s="30">
        <v>0</v>
      </c>
      <c r="K124" s="115">
        <f t="shared" si="23"/>
        <v>-48288806.659999996</v>
      </c>
      <c r="L124" s="210" t="s">
        <v>242</v>
      </c>
      <c r="M124" s="20"/>
      <c r="N124" s="42"/>
      <c r="O124" s="42"/>
      <c r="R124" s="58" t="s">
        <v>44</v>
      </c>
      <c r="S124" s="18">
        <v>108301</v>
      </c>
      <c r="T124" s="58"/>
    </row>
    <row r="125" spans="1:23" x14ac:dyDescent="0.2">
      <c r="A125" s="100" t="s">
        <v>167</v>
      </c>
      <c r="B125" s="18"/>
      <c r="C125" s="28" t="s">
        <v>46</v>
      </c>
      <c r="D125" s="4" t="s">
        <v>199</v>
      </c>
      <c r="E125" s="32">
        <f>VLOOKUP(A125,'DEK Apr 2016'!$A$1:$I$252,9,FALSE)</f>
        <v>11108825.069999998</v>
      </c>
      <c r="F125" s="30">
        <v>0</v>
      </c>
      <c r="G125" s="30">
        <v>1096106.58</v>
      </c>
      <c r="H125" s="30">
        <v>0</v>
      </c>
      <c r="I125" s="115">
        <f t="shared" si="22"/>
        <v>12204931.649999999</v>
      </c>
      <c r="J125" s="30">
        <v>0</v>
      </c>
      <c r="K125" s="115">
        <f>I125+J125</f>
        <v>12204931.649999999</v>
      </c>
      <c r="L125" s="210" t="s">
        <v>242</v>
      </c>
      <c r="M125" s="20"/>
      <c r="N125" s="42"/>
      <c r="O125" s="42"/>
      <c r="S125" s="18">
        <v>108410</v>
      </c>
      <c r="T125" s="58"/>
    </row>
    <row r="126" spans="1:23" x14ac:dyDescent="0.2">
      <c r="A126" s="100" t="s">
        <v>168</v>
      </c>
      <c r="B126" s="18"/>
      <c r="C126" s="28" t="s">
        <v>74</v>
      </c>
      <c r="D126" s="4" t="s">
        <v>217</v>
      </c>
      <c r="E126" s="32">
        <f>VLOOKUP(A126,'DEK Apr 2016'!$A$1:$I$252,9,FALSE)</f>
        <v>2357041.9500000002</v>
      </c>
      <c r="F126" s="30">
        <v>0</v>
      </c>
      <c r="G126" s="30">
        <v>21558.720000000001</v>
      </c>
      <c r="H126" s="30">
        <v>0</v>
      </c>
      <c r="I126" s="115">
        <f t="shared" si="22"/>
        <v>2378600.6700000004</v>
      </c>
      <c r="J126" s="30">
        <v>0</v>
      </c>
      <c r="K126" s="115">
        <f>I126+J126</f>
        <v>2378600.6700000004</v>
      </c>
      <c r="M126" s="20"/>
      <c r="N126" s="42"/>
      <c r="O126" s="42"/>
      <c r="Q126" s="4" t="s">
        <v>50</v>
      </c>
      <c r="R126" s="4" t="s">
        <v>51</v>
      </c>
      <c r="S126" s="18">
        <v>182303</v>
      </c>
      <c r="T126" s="58"/>
    </row>
    <row r="127" spans="1:23" x14ac:dyDescent="0.2">
      <c r="A127" s="100" t="s">
        <v>169</v>
      </c>
      <c r="B127" s="18"/>
      <c r="C127" s="28" t="s">
        <v>49</v>
      </c>
      <c r="D127" s="4" t="s">
        <v>218</v>
      </c>
      <c r="E127" s="32">
        <f>VLOOKUP(A127,'DEK Apr 2016'!$A$1:$I$252,9,FALSE)</f>
        <v>4413524.4700000016</v>
      </c>
      <c r="F127" s="30">
        <v>0</v>
      </c>
      <c r="G127" s="30">
        <v>25910.14</v>
      </c>
      <c r="H127" s="30">
        <v>0</v>
      </c>
      <c r="I127" s="115">
        <f t="shared" si="22"/>
        <v>4439434.6100000013</v>
      </c>
      <c r="J127" s="30">
        <v>0</v>
      </c>
      <c r="K127" s="115">
        <f t="shared" si="23"/>
        <v>4439434.6100000013</v>
      </c>
      <c r="M127" s="20"/>
      <c r="N127" s="42"/>
      <c r="O127" s="42"/>
      <c r="Q127" s="4" t="s">
        <v>50</v>
      </c>
      <c r="S127" s="18">
        <v>182304</v>
      </c>
      <c r="T127" s="58"/>
    </row>
    <row r="128" spans="1:23" x14ac:dyDescent="0.2">
      <c r="A128" s="100" t="s">
        <v>170</v>
      </c>
      <c r="B128" s="18"/>
      <c r="C128" s="28" t="s">
        <v>42</v>
      </c>
      <c r="D128" s="4" t="s">
        <v>200</v>
      </c>
      <c r="E128" s="32">
        <f>VLOOKUP(A128,'DEK Apr 2016'!$A$1:$I$252,9,FALSE)</f>
        <v>-164265.55000000008</v>
      </c>
      <c r="F128" s="30">
        <v>0</v>
      </c>
      <c r="G128" s="30">
        <v>-6112.76</v>
      </c>
      <c r="H128" s="30">
        <v>0</v>
      </c>
      <c r="I128" s="115">
        <f t="shared" si="22"/>
        <v>-170378.31000000008</v>
      </c>
      <c r="J128" s="30">
        <v>0</v>
      </c>
      <c r="K128" s="115">
        <f t="shared" si="23"/>
        <v>-170378.31000000008</v>
      </c>
      <c r="L128" s="210" t="s">
        <v>241</v>
      </c>
      <c r="M128" s="20"/>
      <c r="N128" s="42"/>
      <c r="O128" s="42"/>
      <c r="R128" s="58" t="s">
        <v>44</v>
      </c>
      <c r="S128" s="18">
        <v>108101</v>
      </c>
      <c r="T128" s="58"/>
    </row>
    <row r="129" spans="1:22" x14ac:dyDescent="0.2">
      <c r="A129" s="100" t="s">
        <v>272</v>
      </c>
      <c r="B129" s="18"/>
      <c r="C129" s="28" t="s">
        <v>271</v>
      </c>
      <c r="D129" s="4" t="s">
        <v>272</v>
      </c>
      <c r="E129" s="32">
        <f>VLOOKUP(A129,'DEK Apr 2016'!$A$1:$I$252,9,FALSE)</f>
        <v>353609.67999999993</v>
      </c>
      <c r="F129" s="30">
        <v>0</v>
      </c>
      <c r="G129" s="30">
        <v>44782.76</v>
      </c>
      <c r="H129" s="30">
        <v>0</v>
      </c>
      <c r="I129" s="115">
        <f t="shared" si="22"/>
        <v>398392.43999999994</v>
      </c>
      <c r="J129" s="30">
        <v>0</v>
      </c>
      <c r="K129" s="115">
        <f t="shared" si="23"/>
        <v>398392.43999999994</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-47871989.260000005</v>
      </c>
      <c r="F131" s="33">
        <f t="shared" si="24"/>
        <v>0</v>
      </c>
      <c r="G131" s="33">
        <f t="shared" si="24"/>
        <v>732489.39</v>
      </c>
      <c r="H131" s="33">
        <f t="shared" si="24"/>
        <v>0</v>
      </c>
      <c r="I131" s="123">
        <f t="shared" si="24"/>
        <v>-47139499.870000012</v>
      </c>
      <c r="J131" s="33">
        <f t="shared" si="24"/>
        <v>0</v>
      </c>
      <c r="K131" s="123">
        <f t="shared" si="24"/>
        <v>-47139499.870000012</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-52217613.600000009</v>
      </c>
      <c r="F133" s="133">
        <f t="shared" ref="F133:H133" si="25">+F106+F114+F121+F131+F111</f>
        <v>0</v>
      </c>
      <c r="G133" s="133">
        <f t="shared" si="25"/>
        <v>1063578</v>
      </c>
      <c r="H133" s="133">
        <f t="shared" si="25"/>
        <v>60031.25</v>
      </c>
      <c r="I133" s="134">
        <f>+I106+I114+I121+I131+I111</f>
        <v>-51094004.350000009</v>
      </c>
      <c r="J133" s="133">
        <f>+J106+J114+J121+J131+J111</f>
        <v>0</v>
      </c>
      <c r="K133" s="134">
        <f>+K106+K114+K121+K131+K111</f>
        <v>-51094004.350000009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27886876.339999989</v>
      </c>
      <c r="F135" s="137">
        <f>F133+F96</f>
        <v>0</v>
      </c>
      <c r="G135" s="137">
        <f>G133+G96</f>
        <v>1888689.8</v>
      </c>
      <c r="H135" s="137">
        <f>H133+H96</f>
        <v>37825.08</v>
      </c>
      <c r="I135" s="138">
        <f>I96+I133</f>
        <v>29813391.219999999</v>
      </c>
      <c r="J135" s="137">
        <f>J133+J96</f>
        <v>-4.6566128730773926E-10</v>
      </c>
      <c r="K135" s="138">
        <f>K96+K133</f>
        <v>29813391.219999984</v>
      </c>
      <c r="L135" s="50">
        <v>0</v>
      </c>
      <c r="M135" s="70"/>
      <c r="N135" s="70"/>
      <c r="O135" s="70"/>
      <c r="P135" s="50"/>
      <c r="Q135" s="50"/>
      <c r="R135" s="50"/>
      <c r="S135" s="18"/>
      <c r="T135" s="29">
        <f>+G135+H135+F135</f>
        <v>1926514.8800000001</v>
      </c>
      <c r="U135" s="19">
        <v>13111056.41</v>
      </c>
      <c r="V135" s="29">
        <f>+T135-U135</f>
        <v>-11184541.529999999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-399781.85</v>
      </c>
      <c r="H137" s="139">
        <f>-H128-H123-H124-H125-H126-H127-H86-H16-H117-H30-H22-H53-H119-H87-H88-H114-H118-H52</f>
        <v>22206.17</v>
      </c>
      <c r="I137" s="74"/>
      <c r="J137" s="74"/>
      <c r="K137" s="74"/>
      <c r="M137" s="76"/>
      <c r="N137" s="77"/>
      <c r="O137" s="77"/>
      <c r="S137" s="18"/>
    </row>
    <row r="138" spans="1:22" ht="12.75" customHeight="1" x14ac:dyDescent="0.2">
      <c r="A138" s="107"/>
      <c r="B138" s="18"/>
      <c r="C138" s="18"/>
      <c r="D138" s="72"/>
      <c r="E138" s="224"/>
      <c r="F138" s="50"/>
      <c r="G138" s="185">
        <f>G135+H135</f>
        <v>1926514.8800000001</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1548939.2000000002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2195705.81</v>
      </c>
      <c r="F164" s="32">
        <f t="shared" ref="F164:F169" si="26">+F94+F95</f>
        <v>0</v>
      </c>
      <c r="G164" s="165"/>
      <c r="H164" s="83"/>
      <c r="I164" s="84">
        <f>+I19</f>
        <v>2195705.81</v>
      </c>
      <c r="J164" s="84">
        <f>+J19</f>
        <v>2230587.7599999998</v>
      </c>
      <c r="K164" s="84">
        <f>+K19</f>
        <v>4426293.57</v>
      </c>
      <c r="M164" s="20"/>
      <c r="S164" s="18"/>
    </row>
    <row r="165" spans="1:19" hidden="1" x14ac:dyDescent="0.2">
      <c r="A165" s="109" t="s">
        <v>141</v>
      </c>
      <c r="B165" s="18"/>
      <c r="C165" s="18"/>
      <c r="D165" s="82" t="s">
        <v>141</v>
      </c>
      <c r="E165" s="83">
        <f>+E24</f>
        <v>1632555.1400000015</v>
      </c>
      <c r="F165" s="32">
        <f t="shared" si="26"/>
        <v>0</v>
      </c>
      <c r="G165" s="165"/>
      <c r="H165" s="83"/>
      <c r="I165" s="84">
        <f>+I24</f>
        <v>1610348.9700000016</v>
      </c>
      <c r="J165" s="84">
        <f>+J24</f>
        <v>-266474.15999999997</v>
      </c>
      <c r="K165" s="84">
        <f>+K24</f>
        <v>1343874.8100000017</v>
      </c>
      <c r="M165" s="20"/>
      <c r="S165" s="18"/>
    </row>
    <row r="166" spans="1:19" hidden="1" x14ac:dyDescent="0.2">
      <c r="A166" s="109" t="s">
        <v>61</v>
      </c>
      <c r="B166" s="18"/>
      <c r="C166" s="18"/>
      <c r="D166" s="82" t="s">
        <v>61</v>
      </c>
      <c r="E166" s="32">
        <f>+E30</f>
        <v>2065451.2000000002</v>
      </c>
      <c r="F166" s="32">
        <f t="shared" si="26"/>
        <v>0</v>
      </c>
      <c r="G166" s="157"/>
      <c r="H166" s="32"/>
      <c r="I166" s="84">
        <f>+I30</f>
        <v>1610939.2000000002</v>
      </c>
      <c r="J166" s="84">
        <f>+J30</f>
        <v>0</v>
      </c>
      <c r="K166" s="84">
        <f>+K30</f>
        <v>1610939.2000000002</v>
      </c>
      <c r="M166" s="20"/>
      <c r="S166" s="18"/>
    </row>
    <row r="167" spans="1:19" hidden="1" x14ac:dyDescent="0.2">
      <c r="A167" s="109" t="s">
        <v>143</v>
      </c>
      <c r="B167" s="18"/>
      <c r="C167" s="18"/>
      <c r="D167" s="82" t="s">
        <v>143</v>
      </c>
      <c r="E167" s="32">
        <f>+E80</f>
        <v>44753569.629999988</v>
      </c>
      <c r="F167" s="32">
        <f t="shared" si="26"/>
        <v>0</v>
      </c>
      <c r="G167" s="157"/>
      <c r="H167" s="32"/>
      <c r="I167" s="84">
        <f>+I80</f>
        <v>46293491</v>
      </c>
      <c r="J167" s="84">
        <f>+J80</f>
        <v>-1964113.6</v>
      </c>
      <c r="K167" s="84">
        <f>+K80</f>
        <v>44329377.399999999</v>
      </c>
      <c r="M167" s="20"/>
      <c r="S167" s="18"/>
    </row>
    <row r="168" spans="1:19" hidden="1" x14ac:dyDescent="0.2">
      <c r="A168" s="109" t="s">
        <v>151</v>
      </c>
      <c r="B168" s="18"/>
      <c r="C168" s="18"/>
      <c r="D168" s="82" t="s">
        <v>151</v>
      </c>
      <c r="E168" s="32">
        <f>+E90</f>
        <v>27625762.040000003</v>
      </c>
      <c r="F168" s="32">
        <f t="shared" si="26"/>
        <v>0</v>
      </c>
      <c r="G168" s="157"/>
      <c r="H168" s="32"/>
      <c r="I168" s="84">
        <f>+I90</f>
        <v>27459941.040000003</v>
      </c>
      <c r="J168" s="84">
        <f>+J90</f>
        <v>0</v>
      </c>
      <c r="K168" s="84">
        <f>+K90</f>
        <v>27459941.040000003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907206.60000000056</v>
      </c>
      <c r="F170" s="32" t="e">
        <f>+F100+#REF!</f>
        <v>#REF!</v>
      </c>
      <c r="G170" s="157"/>
      <c r="H170" s="32"/>
      <c r="I170" s="84">
        <f>+I106</f>
        <v>768791.21000000089</v>
      </c>
      <c r="J170" s="84">
        <f>+J106</f>
        <v>0</v>
      </c>
      <c r="K170" s="84">
        <f>+K106</f>
        <v>768791.21000000089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-4754071.7300000004</v>
      </c>
      <c r="F172" s="32" t="e">
        <f>+#REF!+#REF!</f>
        <v>#REF!</v>
      </c>
      <c r="G172" s="157"/>
      <c r="H172" s="32"/>
      <c r="I172" s="84">
        <f>+I114</f>
        <v>-4708212.7300000004</v>
      </c>
      <c r="J172" s="84">
        <f>+J114</f>
        <v>0</v>
      </c>
      <c r="K172" s="84">
        <f>+K114</f>
        <v>-4708212.7300000004</v>
      </c>
      <c r="M172" s="20"/>
      <c r="S172" s="18"/>
    </row>
    <row r="173" spans="1:19" hidden="1" x14ac:dyDescent="0.2">
      <c r="A173" s="109" t="s">
        <v>153</v>
      </c>
      <c r="B173" s="18"/>
      <c r="C173" s="18"/>
      <c r="D173" s="82" t="s">
        <v>153</v>
      </c>
      <c r="E173" s="32">
        <f>+E121</f>
        <v>-498759.21</v>
      </c>
      <c r="F173" s="32" t="e">
        <f>+#REF!+F101</f>
        <v>#REF!</v>
      </c>
      <c r="G173" s="157"/>
      <c r="H173" s="32"/>
      <c r="I173" s="84">
        <f>+I121</f>
        <v>-15082.960000000005</v>
      </c>
      <c r="J173" s="84">
        <f>+J121</f>
        <v>0</v>
      </c>
      <c r="K173" s="84">
        <f>+K121</f>
        <v>-15082.960000000005</v>
      </c>
      <c r="M173" s="20"/>
      <c r="S173" s="18"/>
    </row>
    <row r="174" spans="1:19" hidden="1" x14ac:dyDescent="0.2">
      <c r="A174" s="109" t="s">
        <v>155</v>
      </c>
      <c r="B174" s="18"/>
      <c r="C174" s="18"/>
      <c r="D174" s="82" t="s">
        <v>155</v>
      </c>
      <c r="E174" s="32">
        <f>+E131</f>
        <v>-47871989.260000005</v>
      </c>
      <c r="F174" s="32">
        <f t="shared" ref="F174" si="27">+F101+F102</f>
        <v>0</v>
      </c>
      <c r="G174" s="157"/>
      <c r="H174" s="32"/>
      <c r="I174" s="84">
        <f>+I131</f>
        <v>-47139499.870000012</v>
      </c>
      <c r="J174" s="84">
        <f>+J131</f>
        <v>0</v>
      </c>
      <c r="K174" s="84">
        <f>+K131</f>
        <v>-47139499.870000012</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26055430.219999984</v>
      </c>
      <c r="F176" s="88" t="e">
        <f>SUM(F166:F175)</f>
        <v>#REF!</v>
      </c>
      <c r="G176" s="166"/>
      <c r="H176" s="88"/>
      <c r="I176" s="89">
        <f>SUM(I162:I175)</f>
        <v>28076421.670000009</v>
      </c>
      <c r="J176" s="89">
        <f>SUM(J162:J175)</f>
        <v>-2.3283064365386963E-10</v>
      </c>
      <c r="K176" s="89">
        <f>SUM(K162:K175)</f>
        <v>28076421.669999979</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-1831446.1200000048</v>
      </c>
      <c r="F178" s="19"/>
      <c r="G178" s="148"/>
      <c r="H178" s="19"/>
      <c r="I178" s="19">
        <f>+I176-I135</f>
        <v>-1736969.5499999896</v>
      </c>
      <c r="J178" s="19">
        <f>+J176-J135</f>
        <v>2.3283064365386963E-10</v>
      </c>
      <c r="K178" s="19">
        <f>+K176-K135</f>
        <v>-1736969.5500000045</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0</v>
      </c>
      <c r="H183" s="19">
        <f>+H9+H92+H10</f>
        <v>0</v>
      </c>
      <c r="I183" s="19"/>
      <c r="J183" s="19"/>
      <c r="K183" s="19"/>
      <c r="M183" s="20"/>
      <c r="S183" s="18"/>
    </row>
    <row r="184" spans="1:19" hidden="1" x14ac:dyDescent="0.2">
      <c r="A184" s="100" t="s">
        <v>65</v>
      </c>
      <c r="B184" s="18"/>
      <c r="C184" s="18"/>
      <c r="D184" s="34" t="s">
        <v>65</v>
      </c>
      <c r="F184" s="19"/>
      <c r="G184" s="148">
        <f>+G100+G101+G102+G103+G99+G104</f>
        <v>-198446.64000000007</v>
      </c>
      <c r="H184" s="19">
        <f>+H100+H101+H102+H103+H99</f>
        <v>60031.25</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-198446.64000000007</v>
      </c>
      <c r="H186" s="110">
        <f>+H182+H183+H184-H139</f>
        <v>60031.25</v>
      </c>
      <c r="I186" s="19"/>
      <c r="J186" s="19"/>
      <c r="K186" s="19"/>
      <c r="M186" s="20"/>
      <c r="S186" s="18"/>
    </row>
    <row r="187" spans="1:19" hidden="1" x14ac:dyDescent="0.2">
      <c r="B187" s="18"/>
      <c r="C187" s="18"/>
      <c r="F187" s="19"/>
      <c r="H187" s="29">
        <f>+H183+H184+H182+G182+G183+G184</f>
        <v>-138415.39000000007</v>
      </c>
      <c r="I187" s="19"/>
      <c r="J187" s="19"/>
      <c r="K187" s="19"/>
      <c r="M187" s="20"/>
      <c r="S187" s="18"/>
    </row>
    <row r="188" spans="1:19" hidden="1" x14ac:dyDescent="0.2">
      <c r="B188" s="18"/>
      <c r="C188" s="18"/>
      <c r="F188" s="19"/>
      <c r="G188" s="148"/>
      <c r="H188" s="29">
        <f>+H187-G139-H139</f>
        <v>-138415.39000000007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95" zoomScale="80" zoomScaleNormal="80" workbookViewId="0">
      <selection activeCell="G59" sqref="G5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1" t="s">
        <v>66</v>
      </c>
    </row>
    <row r="4" spans="1:22" x14ac:dyDescent="0.2">
      <c r="A4" s="99"/>
      <c r="B4" s="7"/>
      <c r="C4" s="3"/>
      <c r="D4" s="3"/>
      <c r="E4" s="212"/>
      <c r="F4" s="8"/>
      <c r="G4" s="215"/>
      <c r="H4" s="216"/>
      <c r="I4" s="202"/>
      <c r="J4" s="202"/>
      <c r="K4" s="202"/>
      <c r="M4" s="10"/>
      <c r="P4" s="241" t="s">
        <v>1</v>
      </c>
    </row>
    <row r="5" spans="1:22" x14ac:dyDescent="0.2">
      <c r="E5" s="217" t="s">
        <v>208</v>
      </c>
      <c r="F5" s="241" t="s">
        <v>3</v>
      </c>
      <c r="G5" s="241" t="s">
        <v>4</v>
      </c>
      <c r="H5" s="241"/>
      <c r="I5" s="204" t="s">
        <v>208</v>
      </c>
      <c r="J5" s="13" t="s">
        <v>180</v>
      </c>
      <c r="K5" s="204" t="s">
        <v>209</v>
      </c>
      <c r="L5" s="241" t="s">
        <v>5</v>
      </c>
      <c r="M5" s="11" t="s">
        <v>6</v>
      </c>
      <c r="N5" s="11" t="s">
        <v>0</v>
      </c>
      <c r="O5" s="11" t="s">
        <v>8</v>
      </c>
      <c r="P5" s="241" t="s">
        <v>9</v>
      </c>
      <c r="Q5" s="576" t="s">
        <v>10</v>
      </c>
      <c r="R5" s="576"/>
      <c r="U5" s="12" t="s">
        <v>11</v>
      </c>
    </row>
    <row r="6" spans="1:22" x14ac:dyDescent="0.2">
      <c r="E6" s="218">
        <v>42521</v>
      </c>
      <c r="F6" s="13" t="s">
        <v>12</v>
      </c>
      <c r="G6" s="14" t="s">
        <v>13</v>
      </c>
      <c r="H6" s="14" t="s">
        <v>8</v>
      </c>
      <c r="I6" s="205">
        <v>42551</v>
      </c>
      <c r="J6" s="13" t="s">
        <v>210</v>
      </c>
      <c r="K6" s="205">
        <f>I6</f>
        <v>42551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May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May 2016'!$A$1:$I$252,9,FALSE)</f>
        <v>0</v>
      </c>
      <c r="F10" s="33">
        <v>0</v>
      </c>
      <c r="G10" s="33">
        <v>1793240.16</v>
      </c>
      <c r="H10" s="33">
        <v>0</v>
      </c>
      <c r="I10" s="115">
        <f>E10+F10+G10+H10</f>
        <v>1793240.16</v>
      </c>
      <c r="J10" s="30">
        <v>0</v>
      </c>
      <c r="K10" s="115">
        <f>I10+J10</f>
        <v>1793240.16</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1793240.16</v>
      </c>
      <c r="H12" s="29">
        <f t="shared" si="0"/>
        <v>0</v>
      </c>
      <c r="I12" s="117">
        <f t="shared" si="0"/>
        <v>1793240.1599999988</v>
      </c>
      <c r="J12" s="29">
        <f t="shared" si="0"/>
        <v>0</v>
      </c>
      <c r="K12" s="117">
        <f>SUM(K9:K10)</f>
        <v>1793240.1599999988</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May 2016'!$A$1:$I$252,9,FALSE)</f>
        <v>755559.81</v>
      </c>
      <c r="F15" s="30">
        <v>0</v>
      </c>
      <c r="G15" s="33">
        <v>-236352</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May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2230587.52</v>
      </c>
      <c r="K17" s="115">
        <f t="shared" ref="K17" si="1">I17+J17</f>
        <v>2230587.52</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-236352</v>
      </c>
      <c r="H19" s="29">
        <f t="shared" si="2"/>
        <v>0</v>
      </c>
      <c r="I19" s="123">
        <f t="shared" si="2"/>
        <v>1959353.81</v>
      </c>
      <c r="J19" s="49">
        <f t="shared" si="2"/>
        <v>2230587.52</v>
      </c>
      <c r="K19" s="123">
        <f t="shared" si="2"/>
        <v>4189941.33</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May 2016'!$A$1:$I$252,9,FALSE)</f>
        <v>1610348.9700000016</v>
      </c>
      <c r="F22" s="33">
        <v>0</v>
      </c>
      <c r="G22" s="33">
        <v>0</v>
      </c>
      <c r="H22" s="33">
        <v>-22206.16</v>
      </c>
      <c r="I22" s="115">
        <f>E22+F22+G22+H22</f>
        <v>1588142.8100000017</v>
      </c>
      <c r="J22" s="33">
        <v>-266473.92</v>
      </c>
      <c r="K22" s="115">
        <f>I22+J22</f>
        <v>1321668.8900000018</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1610348.9700000016</v>
      </c>
      <c r="F24" s="29">
        <f t="shared" ref="F24:K24" si="3">SUM(F22:F23)</f>
        <v>0</v>
      </c>
      <c r="G24" s="29">
        <f t="shared" si="3"/>
        <v>0</v>
      </c>
      <c r="H24" s="29">
        <f t="shared" si="3"/>
        <v>-22206.16</v>
      </c>
      <c r="I24" s="123">
        <f t="shared" si="3"/>
        <v>1588142.8100000017</v>
      </c>
      <c r="J24" s="49">
        <f t="shared" si="3"/>
        <v>-266473.92</v>
      </c>
      <c r="K24" s="123">
        <f t="shared" si="3"/>
        <v>1321668.8900000018</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May 2016'!$A$1:$I$252,9,FALSE)</f>
        <v>2084617</v>
      </c>
      <c r="F27" s="33">
        <v>0</v>
      </c>
      <c r="G27" s="33">
        <v>23870</v>
      </c>
      <c r="H27" s="29">
        <v>0</v>
      </c>
      <c r="I27" s="115">
        <f>E27+F27+G27+H27</f>
        <v>2108487</v>
      </c>
      <c r="J27" s="33">
        <v>0</v>
      </c>
      <c r="K27" s="115">
        <f>I27+J27</f>
        <v>2108487</v>
      </c>
      <c r="L27" s="210" t="s">
        <v>22</v>
      </c>
      <c r="M27" s="226"/>
      <c r="S27" s="28" t="s">
        <v>23</v>
      </c>
    </row>
    <row r="28" spans="1:21" ht="13.5" customHeight="1" x14ac:dyDescent="0.2">
      <c r="A28" s="100" t="s">
        <v>80</v>
      </c>
      <c r="B28" s="28"/>
      <c r="C28" s="28" t="s">
        <v>24</v>
      </c>
      <c r="D28" s="4" t="s">
        <v>204</v>
      </c>
      <c r="E28" s="32">
        <f>VLOOKUP(A28,'DEK May 2016'!$A$1:$I$252,9,FALSE)</f>
        <v>-473677.79999999981</v>
      </c>
      <c r="F28" s="33">
        <v>0</v>
      </c>
      <c r="G28" s="33">
        <v>3796385</v>
      </c>
      <c r="H28" s="32">
        <v>0</v>
      </c>
      <c r="I28" s="115">
        <f>E28+F28+G28+H28</f>
        <v>3322707.2</v>
      </c>
      <c r="J28" s="33">
        <v>0</v>
      </c>
      <c r="K28" s="115">
        <f>I28+J28</f>
        <v>3322707.2</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1610939.2000000002</v>
      </c>
      <c r="F30" s="44">
        <f t="shared" ref="F30:K30" si="4">SUM(F27:F28)</f>
        <v>0</v>
      </c>
      <c r="G30" s="33">
        <f t="shared" si="4"/>
        <v>3820255</v>
      </c>
      <c r="H30" s="33">
        <f t="shared" si="4"/>
        <v>0</v>
      </c>
      <c r="I30" s="123">
        <f t="shared" si="4"/>
        <v>5431194.2000000002</v>
      </c>
      <c r="J30" s="33">
        <f t="shared" si="4"/>
        <v>0</v>
      </c>
      <c r="K30" s="123">
        <f t="shared" si="4"/>
        <v>5431194.2000000002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May 2016'!$A$1:$I$252,9,FALSE)</f>
        <v>3340758.9600000014</v>
      </c>
      <c r="F52" s="33">
        <v>0</v>
      </c>
      <c r="G52" s="33">
        <v>-722660.73</v>
      </c>
      <c r="H52" s="33">
        <v>0</v>
      </c>
      <c r="I52" s="115">
        <f>E52+F52+G52+H52</f>
        <v>2618098.2300000014</v>
      </c>
      <c r="J52" s="33">
        <v>-1964113.6</v>
      </c>
      <c r="K52" s="115">
        <f>I52+J52</f>
        <v>653984.63000000129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May 2016'!$A$1:$I$252,9,FALSE)</f>
        <v>6417538</v>
      </c>
      <c r="F53" s="33">
        <v>0</v>
      </c>
      <c r="G53" s="33">
        <v>683790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May 2016'!$A$1:$I$252,9,FALSE)</f>
        <v>1450000</v>
      </c>
      <c r="F59" s="33">
        <v>0</v>
      </c>
      <c r="G59" s="33">
        <v>50000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May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May 2016'!$A$1:$I$252,9,FALSE)</f>
        <v>18257203.399999999</v>
      </c>
      <c r="F67" s="172"/>
      <c r="G67" s="33">
        <v>848438.04</v>
      </c>
      <c r="H67" s="172"/>
      <c r="I67" s="115">
        <f t="shared" si="5"/>
        <v>19105641.439999998</v>
      </c>
      <c r="J67" s="172"/>
      <c r="K67" s="115">
        <f t="shared" si="6"/>
        <v>19105641.439999998</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May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May 2016'!$A$1:$I$252,9,FALSE)</f>
        <v>5834314.3900000006</v>
      </c>
      <c r="F71" s="172"/>
      <c r="G71" s="33">
        <v>293149.7</v>
      </c>
      <c r="H71" s="144">
        <v>0</v>
      </c>
      <c r="I71" s="115">
        <f t="shared" si="5"/>
        <v>6127464.0900000008</v>
      </c>
      <c r="J71" s="33"/>
      <c r="K71" s="115">
        <f t="shared" si="6"/>
        <v>6127464.0900000008</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May 2016'!$A$1:$I$252,9,FALSE)</f>
        <v>-65112.22</v>
      </c>
      <c r="F73" s="172"/>
      <c r="G73" s="33">
        <v>-23920.69</v>
      </c>
      <c r="H73" s="144">
        <v>0</v>
      </c>
      <c r="I73" s="115">
        <f t="shared" si="5"/>
        <v>-89032.91</v>
      </c>
      <c r="J73" s="33"/>
      <c r="K73" s="115">
        <f t="shared" si="6"/>
        <v>-89032.91</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May 2016'!$A$1:$I$252,9,FALSE)</f>
        <v>6146104.4700000007</v>
      </c>
      <c r="F75" s="172"/>
      <c r="G75" s="33">
        <v>379248.18</v>
      </c>
      <c r="H75" s="144">
        <v>0</v>
      </c>
      <c r="I75" s="115">
        <f t="shared" ref="I75" si="7">E75+F75+G75+H75</f>
        <v>6525352.6500000004</v>
      </c>
      <c r="J75" s="33"/>
      <c r="K75" s="115">
        <f t="shared" ref="K75" si="8">I75+J75</f>
        <v>6525352.6500000004</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May 2016'!$A$1:$I$252,9,FALSE)</f>
        <v>0</v>
      </c>
      <c r="F77" s="174"/>
      <c r="G77" s="33">
        <v>0.5</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May 2016'!$A$1:$I$252,9,FALSE)</f>
        <v>0</v>
      </c>
      <c r="F79" s="174"/>
      <c r="G79" s="36">
        <v>0</v>
      </c>
      <c r="H79" s="36">
        <v>0</v>
      </c>
      <c r="I79" s="116">
        <f t="shared" si="9"/>
        <v>0</v>
      </c>
      <c r="J79" s="36"/>
      <c r="K79" s="116">
        <f t="shared" si="10"/>
        <v>0</v>
      </c>
      <c r="M79" s="20"/>
      <c r="S79" s="18"/>
    </row>
    <row r="80" spans="1:19" x14ac:dyDescent="0.2">
      <c r="B80" s="54"/>
      <c r="C80" s="28"/>
      <c r="E80" s="32">
        <f>SUM(E42:E79)</f>
        <v>46293491</v>
      </c>
      <c r="F80" s="29">
        <f>SUM(F39:F65)+F36</f>
        <v>0</v>
      </c>
      <c r="G80" s="29">
        <f>SUM(G39:G79)+G36</f>
        <v>1508045</v>
      </c>
      <c r="H80" s="29">
        <f>SUM(H39:H79)+H36</f>
        <v>0</v>
      </c>
      <c r="I80" s="123">
        <f>SUM(I39:I79)+I36</f>
        <v>47801536.000000007</v>
      </c>
      <c r="J80" s="49">
        <f>SUM(J39:J79)+J36</f>
        <v>-1964113.6</v>
      </c>
      <c r="K80" s="123">
        <f>SUM(K39:K79)+K36</f>
        <v>45837422.400000006</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May 2016'!$A$1:$I$252,9,FALSE)</f>
        <v>1736969.55</v>
      </c>
      <c r="F82" s="29"/>
      <c r="G82" s="29">
        <v>330176.49</v>
      </c>
      <c r="H82" s="29">
        <v>0</v>
      </c>
      <c r="I82" s="123">
        <f>E82+F82+G82+H82</f>
        <v>2067146.04</v>
      </c>
      <c r="J82" s="49">
        <v>0</v>
      </c>
      <c r="K82" s="123">
        <f t="shared" ref="K82" si="11">I82+J82</f>
        <v>2067146.04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May 2016'!$A$1:$I$252,9,FALSE)</f>
        <v>24622497.440000001</v>
      </c>
      <c r="F86" s="30">
        <v>0</v>
      </c>
      <c r="G86" s="33">
        <v>-140031</v>
      </c>
      <c r="H86" s="30">
        <v>0</v>
      </c>
      <c r="I86" s="115">
        <f>E86+F86+G86+H86</f>
        <v>24482466.440000001</v>
      </c>
      <c r="J86" s="30">
        <v>0</v>
      </c>
      <c r="K86" s="115">
        <f t="shared" ref="K86:K88" si="12">I86+J86</f>
        <v>24482466.440000001</v>
      </c>
      <c r="L86" s="210" t="s">
        <v>22</v>
      </c>
      <c r="M86" s="20"/>
      <c r="P86" s="58"/>
      <c r="S86" s="18">
        <v>186801</v>
      </c>
    </row>
    <row r="87" spans="1:21" x14ac:dyDescent="0.2">
      <c r="A87" s="108" t="s">
        <v>171</v>
      </c>
      <c r="B87" s="28"/>
      <c r="C87" s="28" t="s">
        <v>122</v>
      </c>
      <c r="D87" s="4" t="s">
        <v>225</v>
      </c>
      <c r="E87" s="32">
        <f>VLOOKUP(A87,'DEK May 2016'!$A$1:$I$252,9,FALSE)</f>
        <v>2787939.55</v>
      </c>
      <c r="F87" s="30">
        <v>0</v>
      </c>
      <c r="G87" s="33">
        <v>-25398</v>
      </c>
      <c r="H87" s="30">
        <v>0</v>
      </c>
      <c r="I87" s="115">
        <f>E87+F87+G87+H87</f>
        <v>2762541.55</v>
      </c>
      <c r="J87" s="30">
        <v>0</v>
      </c>
      <c r="K87" s="115">
        <f t="shared" si="12"/>
        <v>2762541.55</v>
      </c>
      <c r="L87" s="210" t="s">
        <v>22</v>
      </c>
      <c r="M87" s="20"/>
      <c r="P87" s="58"/>
      <c r="S87" s="18"/>
    </row>
    <row r="88" spans="1:21" x14ac:dyDescent="0.2">
      <c r="A88" s="108" t="s">
        <v>172</v>
      </c>
      <c r="B88" s="28"/>
      <c r="C88" s="28" t="s">
        <v>123</v>
      </c>
      <c r="D88" s="4" t="s">
        <v>226</v>
      </c>
      <c r="E88" s="32">
        <f>VLOOKUP(A88,'DEK May 2016'!$A$1:$I$252,9,FALSE)</f>
        <v>49504.05</v>
      </c>
      <c r="F88" s="30">
        <v>0</v>
      </c>
      <c r="G88" s="33">
        <v>-392</v>
      </c>
      <c r="H88" s="30">
        <v>0</v>
      </c>
      <c r="I88" s="115">
        <f>E88+F88+G88+H88</f>
        <v>49112.05</v>
      </c>
      <c r="J88" s="30">
        <v>0</v>
      </c>
      <c r="K88" s="115">
        <f t="shared" si="12"/>
        <v>49112.05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27459941.040000003</v>
      </c>
      <c r="F90" s="29">
        <f t="shared" ref="F90:K90" si="13">SUM(F85:F89)</f>
        <v>0</v>
      </c>
      <c r="G90" s="29">
        <f>SUM(G85:G89)</f>
        <v>-165821</v>
      </c>
      <c r="H90" s="29">
        <f t="shared" si="13"/>
        <v>0</v>
      </c>
      <c r="I90" s="123">
        <f t="shared" si="13"/>
        <v>27294120.040000003</v>
      </c>
      <c r="J90" s="29">
        <f t="shared" si="13"/>
        <v>0</v>
      </c>
      <c r="K90" s="123">
        <f t="shared" si="13"/>
        <v>27294120.040000003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80907395.570000008</v>
      </c>
      <c r="F96" s="133">
        <f>+F12+F24+F30+F80+F90+F92+F19+F93</f>
        <v>0</v>
      </c>
      <c r="G96" s="133">
        <f>+G12+G24+G30+G80+G82+G90+G92+G19+G93</f>
        <v>7049543.6500000004</v>
      </c>
      <c r="H96" s="133">
        <f>+H12+H24+H30+H80+H82+H90+H92+H19+H93</f>
        <v>-22206.16</v>
      </c>
      <c r="I96" s="134">
        <f>+I12+I24+I30+I80+I82+I90+I92+I19+I93</f>
        <v>87934733.060000017</v>
      </c>
      <c r="J96" s="133">
        <f>+J12+J24+J30+J80+J82+J90+J92+J19+J93</f>
        <v>0</v>
      </c>
      <c r="K96" s="134">
        <f>+K12+K24+K30+K80+K82+K90+K92+K19+K93</f>
        <v>87934733.060000002</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May 2016'!$A$1:$I$252,9,FALSE)</f>
        <v>2303156.2400000007</v>
      </c>
      <c r="F99" s="30">
        <v>0</v>
      </c>
      <c r="G99" s="33">
        <f>(-70699.86+-2210354.36)</f>
        <v>-2281054.2199999997</v>
      </c>
      <c r="H99" s="33">
        <v>-22102.02</v>
      </c>
      <c r="I99" s="115">
        <f t="shared" ref="I99:I104" si="15">E99+F99+G99+H99</f>
        <v>9.4951246865093708E-10</v>
      </c>
      <c r="J99" s="30">
        <v>0</v>
      </c>
      <c r="K99" s="115">
        <f t="shared" ref="K99:K104" si="16">I99+J99</f>
        <v>9.4951246865093708E-10</v>
      </c>
      <c r="L99" s="210" t="s">
        <v>22</v>
      </c>
      <c r="M99" s="33"/>
      <c r="N99" s="42"/>
      <c r="O99" s="42"/>
      <c r="S99" s="18">
        <v>191400</v>
      </c>
      <c r="T99" s="58"/>
    </row>
    <row r="100" spans="1:20" x14ac:dyDescent="0.2">
      <c r="A100" s="100" t="s">
        <v>115</v>
      </c>
      <c r="B100" s="18"/>
      <c r="C100" s="28" t="s">
        <v>53</v>
      </c>
      <c r="D100" s="4" t="s">
        <v>115</v>
      </c>
      <c r="E100" s="32">
        <f>VLOOKUP(A100,'DEK May 2016'!$A$1:$I$252,9,FALSE)</f>
        <v>-639925</v>
      </c>
      <c r="F100" s="30">
        <v>0</v>
      </c>
      <c r="G100" s="33">
        <v>639925</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May 2016'!$A$1:$I$252,9,FALSE)</f>
        <v>-61157</v>
      </c>
      <c r="F101" s="30">
        <v>0</v>
      </c>
      <c r="G101" s="30">
        <v>-147435.1</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May 2016'!$A$1:$I$252,9,FALSE)</f>
        <v>-632476.65000000049</v>
      </c>
      <c r="F102" s="30">
        <v>0</v>
      </c>
      <c r="G102" s="30">
        <v>-1824.82</v>
      </c>
      <c r="H102" s="33">
        <v>0</v>
      </c>
      <c r="I102" s="115">
        <f t="shared" si="15"/>
        <v>-634301.47000000044</v>
      </c>
      <c r="J102" s="30">
        <v>0</v>
      </c>
      <c r="K102" s="115">
        <f t="shared" si="16"/>
        <v>-634301.47000000044</v>
      </c>
      <c r="L102" s="210" t="s">
        <v>22</v>
      </c>
      <c r="M102" s="20"/>
      <c r="N102" s="42"/>
      <c r="O102" s="42"/>
      <c r="S102" s="18">
        <v>242997</v>
      </c>
      <c r="T102" s="58"/>
    </row>
    <row r="103" spans="1:20" x14ac:dyDescent="0.2">
      <c r="A103" s="100" t="s">
        <v>120</v>
      </c>
      <c r="B103" s="18"/>
      <c r="C103" s="28" t="s">
        <v>54</v>
      </c>
      <c r="D103" s="4" t="s">
        <v>120</v>
      </c>
      <c r="E103" s="32">
        <f>VLOOKUP(A103,'DEK May 2016'!$A$1:$I$252,9,FALSE)</f>
        <v>439943.72000000026</v>
      </c>
      <c r="F103" s="33">
        <v>0</v>
      </c>
      <c r="G103" s="33">
        <v>0</v>
      </c>
      <c r="H103" s="33">
        <v>-10244.77</v>
      </c>
      <c r="I103" s="115">
        <f t="shared" si="15"/>
        <v>429698.95000000024</v>
      </c>
      <c r="J103" s="33">
        <v>0</v>
      </c>
      <c r="K103" s="115">
        <f t="shared" si="16"/>
        <v>429698.95000000024</v>
      </c>
      <c r="L103" s="210" t="s">
        <v>22</v>
      </c>
      <c r="M103" s="42"/>
      <c r="N103" s="42"/>
      <c r="O103" s="42"/>
      <c r="S103" s="18">
        <v>253130</v>
      </c>
      <c r="T103" s="58"/>
    </row>
    <row r="104" spans="1:20" x14ac:dyDescent="0.2">
      <c r="A104" s="100" t="s">
        <v>156</v>
      </c>
      <c r="B104" s="18"/>
      <c r="C104" s="28" t="s">
        <v>116</v>
      </c>
      <c r="D104" s="4" t="s">
        <v>211</v>
      </c>
      <c r="E104" s="32">
        <f>VLOOKUP(A104,'DEK May 2016'!$A$1:$I$252,9,FALSE)</f>
        <v>-640750.09999999963</v>
      </c>
      <c r="F104" s="33"/>
      <c r="G104" s="33">
        <v>-1322589.51</v>
      </c>
      <c r="H104" s="33">
        <v>0</v>
      </c>
      <c r="I104" s="115">
        <f t="shared" si="15"/>
        <v>-1963339.6099999996</v>
      </c>
      <c r="J104" s="30">
        <v>0</v>
      </c>
      <c r="K104" s="115">
        <f t="shared" si="16"/>
        <v>-1963339.6099999996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768791.21000000089</v>
      </c>
      <c r="F106" s="33">
        <f t="shared" si="17"/>
        <v>0</v>
      </c>
      <c r="G106" s="33">
        <f t="shared" si="17"/>
        <v>-3112978.65</v>
      </c>
      <c r="H106" s="33">
        <f t="shared" si="17"/>
        <v>-32346.79</v>
      </c>
      <c r="I106" s="123">
        <f t="shared" si="17"/>
        <v>-2376534.2299999991</v>
      </c>
      <c r="J106" s="33">
        <f t="shared" si="17"/>
        <v>0</v>
      </c>
      <c r="K106" s="123">
        <f t="shared" si="17"/>
        <v>-2376534.2299999991</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May 2016'!$A$1:$I$252,9,FALSE)</f>
        <v>-4708212.7300000004</v>
      </c>
      <c r="F114" s="30">
        <v>0</v>
      </c>
      <c r="G114" s="33">
        <v>45859</v>
      </c>
      <c r="H114" s="33">
        <v>0</v>
      </c>
      <c r="I114" s="123">
        <f>E114+G114+H114+F114</f>
        <v>-4662353.7300000004</v>
      </c>
      <c r="J114" s="91">
        <v>0</v>
      </c>
      <c r="K114" s="123">
        <f>I114+J114</f>
        <v>-4662353.7300000004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May 2016'!$A$1:$I$252,9,FALSE)</f>
        <v>0</v>
      </c>
      <c r="F117" s="30">
        <v>0</v>
      </c>
      <c r="G117" s="33">
        <v>-3791681</v>
      </c>
      <c r="H117" s="33">
        <v>0</v>
      </c>
      <c r="I117" s="115">
        <f>E117+F117+G117+H117</f>
        <v>-3791681</v>
      </c>
      <c r="J117" s="30">
        <v>0</v>
      </c>
      <c r="K117" s="115">
        <f t="shared" ref="K117:K119" si="19">I117+J117</f>
        <v>-3791681</v>
      </c>
      <c r="M117" s="62"/>
      <c r="P117" s="51"/>
      <c r="Q117" s="18"/>
      <c r="R117" s="58"/>
      <c r="S117" s="18">
        <v>254998</v>
      </c>
    </row>
    <row r="118" spans="1:23" x14ac:dyDescent="0.2">
      <c r="A118" s="100" t="s">
        <v>179</v>
      </c>
      <c r="B118" s="18"/>
      <c r="C118" s="28" t="s">
        <v>47</v>
      </c>
      <c r="D118" s="4" t="s">
        <v>196</v>
      </c>
      <c r="E118" s="32">
        <f>VLOOKUP(A118,'DEK May 2016'!$A$1:$I$252,9,FALSE)</f>
        <v>0</v>
      </c>
      <c r="F118" s="30">
        <v>0</v>
      </c>
      <c r="G118" s="152">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May 2016'!$A$1:$I$252,9,FALSE)</f>
        <v>-15082.960000000005</v>
      </c>
      <c r="F119" s="30">
        <v>0</v>
      </c>
      <c r="G119" s="33">
        <v>32.200000000000003</v>
      </c>
      <c r="H119" s="33">
        <v>0</v>
      </c>
      <c r="I119" s="117">
        <f>E119+F119+G119+H119</f>
        <v>-15050.760000000004</v>
      </c>
      <c r="J119" s="30">
        <v>0</v>
      </c>
      <c r="K119" s="117">
        <f t="shared" si="19"/>
        <v>-15050.760000000004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-15082.960000000005</v>
      </c>
      <c r="F121" s="30">
        <f t="shared" ref="F121:K121" si="21">SUM(F117:F120)</f>
        <v>0</v>
      </c>
      <c r="G121" s="30">
        <f t="shared" si="21"/>
        <v>-3791648.8</v>
      </c>
      <c r="H121" s="30">
        <f t="shared" si="21"/>
        <v>0</v>
      </c>
      <c r="I121" s="122">
        <f t="shared" si="21"/>
        <v>-3806731.76</v>
      </c>
      <c r="J121" s="30">
        <f t="shared" si="21"/>
        <v>0</v>
      </c>
      <c r="K121" s="122">
        <f t="shared" si="21"/>
        <v>-3806731.76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May 2016'!$A$1:$I$252,9,FALSE)</f>
        <v>-18101674.270000007</v>
      </c>
      <c r="F123" s="30">
        <v>0</v>
      </c>
      <c r="G123" s="30">
        <v>-377345.66</v>
      </c>
      <c r="H123" s="30">
        <v>0</v>
      </c>
      <c r="I123" s="115">
        <f t="shared" ref="I123:I129" si="22">E123+F123+G123+H123</f>
        <v>-18479019.930000007</v>
      </c>
      <c r="J123" s="30">
        <v>0</v>
      </c>
      <c r="K123" s="115">
        <f t="shared" ref="K123:K129" si="23">I123+J123</f>
        <v>-18479019.930000007</v>
      </c>
      <c r="L123" s="210" t="s">
        <v>241</v>
      </c>
      <c r="M123" s="20"/>
      <c r="N123" s="42"/>
      <c r="O123" s="42"/>
      <c r="Q123" s="241">
        <v>75086</v>
      </c>
      <c r="R123" s="58" t="s">
        <v>44</v>
      </c>
      <c r="S123" s="18">
        <v>108201</v>
      </c>
      <c r="T123" s="58"/>
    </row>
    <row r="124" spans="1:23" x14ac:dyDescent="0.2">
      <c r="A124" s="100" t="s">
        <v>166</v>
      </c>
      <c r="B124" s="18"/>
      <c r="C124" s="28" t="s">
        <v>45</v>
      </c>
      <c r="D124" s="4" t="s">
        <v>198</v>
      </c>
      <c r="E124" s="32">
        <f>VLOOKUP(A124,'DEK May 2016'!$A$1:$I$252,9,FALSE)</f>
        <v>-48288806.659999996</v>
      </c>
      <c r="F124" s="30">
        <v>0</v>
      </c>
      <c r="G124" s="30">
        <v>-59151.22</v>
      </c>
      <c r="H124" s="30">
        <v>0</v>
      </c>
      <c r="I124" s="115">
        <f t="shared" si="22"/>
        <v>-48347957.879999995</v>
      </c>
      <c r="J124" s="30">
        <v>0</v>
      </c>
      <c r="K124" s="115">
        <f t="shared" si="23"/>
        <v>-48347957.879999995</v>
      </c>
      <c r="L124" s="210" t="s">
        <v>242</v>
      </c>
      <c r="M124" s="20"/>
      <c r="N124" s="42"/>
      <c r="O124" s="42"/>
      <c r="R124" s="58" t="s">
        <v>44</v>
      </c>
      <c r="S124" s="18">
        <v>108301</v>
      </c>
      <c r="T124" s="58"/>
    </row>
    <row r="125" spans="1:23" x14ac:dyDescent="0.2">
      <c r="A125" s="100" t="s">
        <v>167</v>
      </c>
      <c r="B125" s="18"/>
      <c r="C125" s="28" t="s">
        <v>46</v>
      </c>
      <c r="D125" s="4" t="s">
        <v>199</v>
      </c>
      <c r="E125" s="32">
        <f>VLOOKUP(A125,'DEK May 2016'!$A$1:$I$252,9,FALSE)</f>
        <v>12204931.649999999</v>
      </c>
      <c r="F125" s="30">
        <v>0</v>
      </c>
      <c r="G125" s="30">
        <v>452548.94</v>
      </c>
      <c r="H125" s="30">
        <v>0</v>
      </c>
      <c r="I125" s="115">
        <f t="shared" si="22"/>
        <v>12657480.589999998</v>
      </c>
      <c r="J125" s="30">
        <v>0</v>
      </c>
      <c r="K125" s="115">
        <f>I125+J125</f>
        <v>12657480.589999998</v>
      </c>
      <c r="L125" s="210" t="s">
        <v>242</v>
      </c>
      <c r="M125" s="20"/>
      <c r="N125" s="42"/>
      <c r="O125" s="42"/>
      <c r="S125" s="18">
        <v>108410</v>
      </c>
      <c r="T125" s="58"/>
    </row>
    <row r="126" spans="1:23" x14ac:dyDescent="0.2">
      <c r="A126" s="100" t="s">
        <v>168</v>
      </c>
      <c r="B126" s="18"/>
      <c r="C126" s="28" t="s">
        <v>74</v>
      </c>
      <c r="D126" s="4" t="s">
        <v>217</v>
      </c>
      <c r="E126" s="32">
        <f>VLOOKUP(A126,'DEK May 2016'!$A$1:$I$252,9,FALSE)</f>
        <v>2378600.6700000004</v>
      </c>
      <c r="F126" s="30">
        <v>0</v>
      </c>
      <c r="G126" s="30">
        <v>21641.67</v>
      </c>
      <c r="H126" s="30">
        <v>0</v>
      </c>
      <c r="I126" s="115">
        <f t="shared" si="22"/>
        <v>2400242.3400000003</v>
      </c>
      <c r="J126" s="30">
        <v>0</v>
      </c>
      <c r="K126" s="115">
        <f>I126+J126</f>
        <v>2400242.3400000003</v>
      </c>
      <c r="M126" s="20"/>
      <c r="N126" s="42"/>
      <c r="O126" s="42"/>
      <c r="Q126" s="4" t="s">
        <v>50</v>
      </c>
      <c r="R126" s="4" t="s">
        <v>51</v>
      </c>
      <c r="S126" s="18">
        <v>182303</v>
      </c>
      <c r="T126" s="58"/>
    </row>
    <row r="127" spans="1:23" x14ac:dyDescent="0.2">
      <c r="A127" s="100" t="s">
        <v>169</v>
      </c>
      <c r="B127" s="18"/>
      <c r="C127" s="28" t="s">
        <v>49</v>
      </c>
      <c r="D127" s="4" t="s">
        <v>218</v>
      </c>
      <c r="E127" s="32">
        <f>VLOOKUP(A127,'DEK May 2016'!$A$1:$I$252,9,FALSE)</f>
        <v>4439434.6100000013</v>
      </c>
      <c r="F127" s="30">
        <v>0</v>
      </c>
      <c r="G127" s="30">
        <v>26024.39</v>
      </c>
      <c r="H127" s="30">
        <v>0</v>
      </c>
      <c r="I127" s="115">
        <f t="shared" si="22"/>
        <v>4465459.0000000009</v>
      </c>
      <c r="J127" s="30">
        <v>0</v>
      </c>
      <c r="K127" s="115">
        <f t="shared" si="23"/>
        <v>4465459.0000000009</v>
      </c>
      <c r="M127" s="20"/>
      <c r="N127" s="42"/>
      <c r="O127" s="42"/>
      <c r="Q127" s="4" t="s">
        <v>50</v>
      </c>
      <c r="S127" s="18">
        <v>182304</v>
      </c>
      <c r="T127" s="58"/>
    </row>
    <row r="128" spans="1:23" x14ac:dyDescent="0.2">
      <c r="A128" s="100" t="s">
        <v>170</v>
      </c>
      <c r="B128" s="18"/>
      <c r="C128" s="28" t="s">
        <v>42</v>
      </c>
      <c r="D128" s="4" t="s">
        <v>200</v>
      </c>
      <c r="E128" s="32">
        <f>VLOOKUP(A128,'DEK May 2016'!$A$1:$I$252,9,FALSE)</f>
        <v>-170378.31000000008</v>
      </c>
      <c r="F128" s="30">
        <v>0</v>
      </c>
      <c r="G128" s="30">
        <v>-6112.76</v>
      </c>
      <c r="H128" s="30">
        <v>0</v>
      </c>
      <c r="I128" s="115">
        <f t="shared" si="22"/>
        <v>-176491.07000000009</v>
      </c>
      <c r="J128" s="30">
        <v>0</v>
      </c>
      <c r="K128" s="115">
        <f t="shared" si="23"/>
        <v>-176491.07000000009</v>
      </c>
      <c r="L128" s="210" t="s">
        <v>241</v>
      </c>
      <c r="M128" s="20"/>
      <c r="N128" s="42"/>
      <c r="O128" s="42"/>
      <c r="R128" s="58" t="s">
        <v>44</v>
      </c>
      <c r="S128" s="18">
        <v>108101</v>
      </c>
      <c r="T128" s="58"/>
    </row>
    <row r="129" spans="1:22" x14ac:dyDescent="0.2">
      <c r="A129" s="100" t="s">
        <v>272</v>
      </c>
      <c r="B129" s="18"/>
      <c r="C129" s="28" t="s">
        <v>271</v>
      </c>
      <c r="D129" s="4" t="s">
        <v>272</v>
      </c>
      <c r="E129" s="32">
        <f>VLOOKUP(A129,'DEK May 2016'!$A$1:$I$252,9,FALSE)</f>
        <v>398392.43999999994</v>
      </c>
      <c r="F129" s="30">
        <v>0</v>
      </c>
      <c r="G129" s="30">
        <v>50360.160000000003</v>
      </c>
      <c r="H129" s="30">
        <v>0</v>
      </c>
      <c r="I129" s="115">
        <f t="shared" si="22"/>
        <v>448752.6</v>
      </c>
      <c r="J129" s="30">
        <v>0</v>
      </c>
      <c r="K129" s="115">
        <f t="shared" si="23"/>
        <v>448752.6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-47139499.870000012</v>
      </c>
      <c r="F131" s="33">
        <f t="shared" si="24"/>
        <v>0</v>
      </c>
      <c r="G131" s="33">
        <f t="shared" si="24"/>
        <v>107965.51999999999</v>
      </c>
      <c r="H131" s="33">
        <f t="shared" si="24"/>
        <v>0</v>
      </c>
      <c r="I131" s="123">
        <f t="shared" si="24"/>
        <v>-47031534.350000001</v>
      </c>
      <c r="J131" s="33">
        <f t="shared" si="24"/>
        <v>0</v>
      </c>
      <c r="K131" s="123">
        <f t="shared" si="24"/>
        <v>-47031534.350000001</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-51094004.350000009</v>
      </c>
      <c r="F133" s="133">
        <f t="shared" ref="F133:H133" si="25">+F106+F114+F121+F131+F111</f>
        <v>0</v>
      </c>
      <c r="G133" s="133">
        <f t="shared" si="25"/>
        <v>-6750802.9299999997</v>
      </c>
      <c r="H133" s="133">
        <f t="shared" si="25"/>
        <v>-32346.79</v>
      </c>
      <c r="I133" s="134">
        <f>+I106+I114+I121+I131+I111</f>
        <v>-57877154.07</v>
      </c>
      <c r="J133" s="133">
        <f>+J106+J114+J121+J131+J111</f>
        <v>0</v>
      </c>
      <c r="K133" s="134">
        <f>+K106+K114+K121+K131+K111</f>
        <v>-57877154.07</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29813391.219999999</v>
      </c>
      <c r="F135" s="137">
        <f>F133+F96</f>
        <v>0</v>
      </c>
      <c r="G135" s="137">
        <f>G133+G96</f>
        <v>298740.72000000067</v>
      </c>
      <c r="H135" s="137">
        <f>H133+H96</f>
        <v>-54552.95</v>
      </c>
      <c r="I135" s="138">
        <f>I96+I133</f>
        <v>30057578.990000017</v>
      </c>
      <c r="J135" s="137">
        <f>J133+J96</f>
        <v>0</v>
      </c>
      <c r="K135" s="138">
        <f>K96+K133</f>
        <v>30057578.990000002</v>
      </c>
      <c r="L135" s="50">
        <v>0</v>
      </c>
      <c r="M135" s="70"/>
      <c r="N135" s="70"/>
      <c r="O135" s="70"/>
      <c r="P135" s="50"/>
      <c r="Q135" s="50"/>
      <c r="R135" s="50"/>
      <c r="S135" s="18"/>
      <c r="T135" s="29">
        <f>+G135+H135+F135</f>
        <v>244187.77000000066</v>
      </c>
      <c r="U135" s="19">
        <v>13111056.41</v>
      </c>
      <c r="V135" s="29">
        <f>+T135-U135</f>
        <v>-12866868.639999999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72621.170000000158</v>
      </c>
      <c r="H137" s="139">
        <f>-H128-H123-H124-H125-H126-H127-H86-H16-H117-H30-H22-H53-H119-H87-H88-H114-H118-H52</f>
        <v>22206.16</v>
      </c>
      <c r="I137" s="74"/>
      <c r="J137" s="74"/>
      <c r="K137" s="74"/>
      <c r="M137" s="76"/>
      <c r="N137" s="77"/>
      <c r="O137" s="77"/>
      <c r="S137" s="18"/>
    </row>
    <row r="138" spans="1:22" ht="12.75" customHeight="1" x14ac:dyDescent="0.2">
      <c r="A138" s="107"/>
      <c r="B138" s="18"/>
      <c r="C138" s="18"/>
      <c r="D138" s="72"/>
      <c r="E138" s="224"/>
      <c r="F138" s="50"/>
      <c r="G138" s="185">
        <f>G135+H135</f>
        <v>244187.77000000066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339015.10000000079</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1793240.1599999988</v>
      </c>
      <c r="J163" s="84">
        <f>+J12</f>
        <v>0</v>
      </c>
      <c r="K163" s="84">
        <f>+K12</f>
        <v>1793240.1599999988</v>
      </c>
      <c r="M163" s="20"/>
      <c r="S163" s="18"/>
    </row>
    <row r="164" spans="1:19" hidden="1" x14ac:dyDescent="0.2">
      <c r="A164" s="109" t="s">
        <v>142</v>
      </c>
      <c r="B164" s="18"/>
      <c r="C164" s="18"/>
      <c r="D164" s="82" t="s">
        <v>142</v>
      </c>
      <c r="E164" s="83">
        <f>+E19</f>
        <v>2195705.81</v>
      </c>
      <c r="F164" s="32">
        <f t="shared" ref="F164:F169" si="26">+F94+F95</f>
        <v>0</v>
      </c>
      <c r="G164" s="165"/>
      <c r="H164" s="83"/>
      <c r="I164" s="84">
        <f>+I19</f>
        <v>1959353.81</v>
      </c>
      <c r="J164" s="84">
        <f>+J19</f>
        <v>2230587.52</v>
      </c>
      <c r="K164" s="84">
        <f>+K19</f>
        <v>4189941.33</v>
      </c>
      <c r="M164" s="20"/>
      <c r="S164" s="18"/>
    </row>
    <row r="165" spans="1:19" hidden="1" x14ac:dyDescent="0.2">
      <c r="A165" s="109" t="s">
        <v>141</v>
      </c>
      <c r="B165" s="18"/>
      <c r="C165" s="18"/>
      <c r="D165" s="82" t="s">
        <v>141</v>
      </c>
      <c r="E165" s="83">
        <f>+E24</f>
        <v>1610348.9700000016</v>
      </c>
      <c r="F165" s="32">
        <f t="shared" si="26"/>
        <v>0</v>
      </c>
      <c r="G165" s="165"/>
      <c r="H165" s="83"/>
      <c r="I165" s="84">
        <f>+I24</f>
        <v>1588142.8100000017</v>
      </c>
      <c r="J165" s="84">
        <f>+J24</f>
        <v>-266473.92</v>
      </c>
      <c r="K165" s="84">
        <f>+K24</f>
        <v>1321668.8900000018</v>
      </c>
      <c r="M165" s="20"/>
      <c r="S165" s="18"/>
    </row>
    <row r="166" spans="1:19" hidden="1" x14ac:dyDescent="0.2">
      <c r="A166" s="109" t="s">
        <v>61</v>
      </c>
      <c r="B166" s="18"/>
      <c r="C166" s="18"/>
      <c r="D166" s="82" t="s">
        <v>61</v>
      </c>
      <c r="E166" s="32">
        <f>+E30</f>
        <v>1610939.2000000002</v>
      </c>
      <c r="F166" s="32">
        <f t="shared" si="26"/>
        <v>0</v>
      </c>
      <c r="G166" s="157"/>
      <c r="H166" s="32"/>
      <c r="I166" s="84">
        <f>+I30</f>
        <v>5431194.2000000002</v>
      </c>
      <c r="J166" s="84">
        <f>+J30</f>
        <v>0</v>
      </c>
      <c r="K166" s="84">
        <f>+K30</f>
        <v>5431194.2000000002</v>
      </c>
      <c r="M166" s="20"/>
      <c r="S166" s="18"/>
    </row>
    <row r="167" spans="1:19" hidden="1" x14ac:dyDescent="0.2">
      <c r="A167" s="109" t="s">
        <v>143</v>
      </c>
      <c r="B167" s="18"/>
      <c r="C167" s="18"/>
      <c r="D167" s="82" t="s">
        <v>143</v>
      </c>
      <c r="E167" s="32">
        <f>+E80</f>
        <v>46293491</v>
      </c>
      <c r="F167" s="32">
        <f t="shared" si="26"/>
        <v>0</v>
      </c>
      <c r="G167" s="157"/>
      <c r="H167" s="32"/>
      <c r="I167" s="84">
        <f>+I80</f>
        <v>47801536.000000007</v>
      </c>
      <c r="J167" s="84">
        <f>+J80</f>
        <v>-1964113.6</v>
      </c>
      <c r="K167" s="84">
        <f>+K80</f>
        <v>45837422.400000006</v>
      </c>
      <c r="M167" s="20"/>
      <c r="S167" s="18"/>
    </row>
    <row r="168" spans="1:19" hidden="1" x14ac:dyDescent="0.2">
      <c r="A168" s="109" t="s">
        <v>151</v>
      </c>
      <c r="B168" s="18"/>
      <c r="C168" s="18"/>
      <c r="D168" s="82" t="s">
        <v>151</v>
      </c>
      <c r="E168" s="32">
        <f>+E90</f>
        <v>27459941.040000003</v>
      </c>
      <c r="F168" s="32">
        <f t="shared" si="26"/>
        <v>0</v>
      </c>
      <c r="G168" s="157"/>
      <c r="H168" s="32"/>
      <c r="I168" s="84">
        <f>+I90</f>
        <v>27294120.040000003</v>
      </c>
      <c r="J168" s="84">
        <f>+J90</f>
        <v>0</v>
      </c>
      <c r="K168" s="84">
        <f>+K90</f>
        <v>27294120.040000003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768791.21000000089</v>
      </c>
      <c r="F170" s="32" t="e">
        <f>+F100+#REF!</f>
        <v>#REF!</v>
      </c>
      <c r="G170" s="157"/>
      <c r="H170" s="32"/>
      <c r="I170" s="84">
        <f>+I106</f>
        <v>-2376534.2299999991</v>
      </c>
      <c r="J170" s="84">
        <f>+J106</f>
        <v>0</v>
      </c>
      <c r="K170" s="84">
        <f>+K106</f>
        <v>-2376534.2299999991</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-4708212.7300000004</v>
      </c>
      <c r="F172" s="32" t="e">
        <f>+#REF!+#REF!</f>
        <v>#REF!</v>
      </c>
      <c r="G172" s="157"/>
      <c r="H172" s="32"/>
      <c r="I172" s="84">
        <f>+I114</f>
        <v>-4662353.7300000004</v>
      </c>
      <c r="J172" s="84">
        <f>+J114</f>
        <v>0</v>
      </c>
      <c r="K172" s="84">
        <f>+K114</f>
        <v>-4662353.7300000004</v>
      </c>
      <c r="M172" s="20"/>
      <c r="S172" s="18"/>
    </row>
    <row r="173" spans="1:19" hidden="1" x14ac:dyDescent="0.2">
      <c r="A173" s="109" t="s">
        <v>153</v>
      </c>
      <c r="B173" s="18"/>
      <c r="C173" s="18"/>
      <c r="D173" s="82" t="s">
        <v>153</v>
      </c>
      <c r="E173" s="32">
        <f>+E121</f>
        <v>-15082.960000000005</v>
      </c>
      <c r="F173" s="32" t="e">
        <f>+#REF!+F101</f>
        <v>#REF!</v>
      </c>
      <c r="G173" s="157"/>
      <c r="H173" s="32"/>
      <c r="I173" s="84">
        <f>+I121</f>
        <v>-3806731.76</v>
      </c>
      <c r="J173" s="84">
        <f>+J121</f>
        <v>0</v>
      </c>
      <c r="K173" s="84">
        <f>+K121</f>
        <v>-3806731.76</v>
      </c>
      <c r="M173" s="20"/>
      <c r="S173" s="18"/>
    </row>
    <row r="174" spans="1:19" hidden="1" x14ac:dyDescent="0.2">
      <c r="A174" s="109" t="s">
        <v>155</v>
      </c>
      <c r="B174" s="18"/>
      <c r="C174" s="18"/>
      <c r="D174" s="82" t="s">
        <v>155</v>
      </c>
      <c r="E174" s="32">
        <f>+E131</f>
        <v>-47139499.870000012</v>
      </c>
      <c r="F174" s="32">
        <f t="shared" ref="F174" si="27">+F101+F102</f>
        <v>0</v>
      </c>
      <c r="G174" s="157"/>
      <c r="H174" s="32"/>
      <c r="I174" s="84">
        <f>+I131</f>
        <v>-47031534.350000001</v>
      </c>
      <c r="J174" s="84">
        <f>+J131</f>
        <v>0</v>
      </c>
      <c r="K174" s="84">
        <f>+K131</f>
        <v>-47031534.350000001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28076421.670000009</v>
      </c>
      <c r="F176" s="88" t="e">
        <f>SUM(F166:F175)</f>
        <v>#REF!</v>
      </c>
      <c r="G176" s="166"/>
      <c r="H176" s="88"/>
      <c r="I176" s="89">
        <f>SUM(I162:I175)</f>
        <v>27990432.949999996</v>
      </c>
      <c r="J176" s="89">
        <f>SUM(J162:J175)</f>
        <v>0</v>
      </c>
      <c r="K176" s="89">
        <f>SUM(K162:K175)</f>
        <v>27990432.949999996</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-1736969.5499999896</v>
      </c>
      <c r="F178" s="19"/>
      <c r="G178" s="148"/>
      <c r="H178" s="19"/>
      <c r="I178" s="19">
        <f>+I176-I135</f>
        <v>-2067146.0400000215</v>
      </c>
      <c r="J178" s="19">
        <f>+J176-J135</f>
        <v>0</v>
      </c>
      <c r="K178" s="19">
        <f>+K176-K135</f>
        <v>-2067146.0400000066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-186352</v>
      </c>
      <c r="H182" s="19">
        <f>+H34+H52+H42+H44+H46+H48+H85+H57+H59+H15+H50+H66+H55</f>
        <v>0</v>
      </c>
      <c r="I182" s="19"/>
      <c r="J182" s="19"/>
      <c r="K182" s="19"/>
      <c r="M182" s="20"/>
      <c r="S182" s="18"/>
    </row>
    <row r="183" spans="1:19" hidden="1" x14ac:dyDescent="0.2">
      <c r="A183" s="100" t="s">
        <v>64</v>
      </c>
      <c r="B183" s="18"/>
      <c r="C183" s="18"/>
      <c r="D183" s="34" t="s">
        <v>64</v>
      </c>
      <c r="F183" s="19"/>
      <c r="G183" s="148">
        <f>+G9+G92+G10</f>
        <v>1793240.16</v>
      </c>
      <c r="H183" s="19">
        <f>+H9+H92+H10</f>
        <v>0</v>
      </c>
      <c r="I183" s="19"/>
      <c r="J183" s="19"/>
      <c r="K183" s="19"/>
      <c r="M183" s="20"/>
      <c r="S183" s="18"/>
    </row>
    <row r="184" spans="1:19" hidden="1" x14ac:dyDescent="0.2">
      <c r="A184" s="100" t="s">
        <v>65</v>
      </c>
      <c r="B184" s="18"/>
      <c r="C184" s="18"/>
      <c r="D184" s="34" t="s">
        <v>65</v>
      </c>
      <c r="F184" s="19"/>
      <c r="G184" s="148">
        <f>+G100+G101+G102+G103+G99+G104</f>
        <v>-3112978.6499999994</v>
      </c>
      <c r="H184" s="19">
        <f>+H100+H101+H102+H103+H99</f>
        <v>-32346.79</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-1506090.4899999995</v>
      </c>
      <c r="H186" s="110">
        <f>+H182+H183+H184-H139</f>
        <v>-32346.79</v>
      </c>
      <c r="I186" s="19"/>
      <c r="J186" s="19"/>
      <c r="K186" s="19"/>
      <c r="M186" s="20"/>
      <c r="S186" s="18"/>
    </row>
    <row r="187" spans="1:19" hidden="1" x14ac:dyDescent="0.2">
      <c r="B187" s="18"/>
      <c r="C187" s="18"/>
      <c r="F187" s="19"/>
      <c r="H187" s="29">
        <f>+H183+H184+H182+G182+G183+G184</f>
        <v>-1538437.2799999996</v>
      </c>
      <c r="I187" s="19"/>
      <c r="J187" s="19"/>
      <c r="K187" s="19"/>
      <c r="M187" s="20"/>
      <c r="S187" s="18"/>
    </row>
    <row r="188" spans="1:19" hidden="1" x14ac:dyDescent="0.2">
      <c r="B188" s="18"/>
      <c r="C188" s="18"/>
      <c r="F188" s="19"/>
      <c r="G188" s="148"/>
      <c r="H188" s="29">
        <f>+H187-G139-H139</f>
        <v>-1538437.2799999996</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18"/>
  <sheetViews>
    <sheetView topLeftCell="A89" zoomScale="80" zoomScaleNormal="80" workbookViewId="0">
      <selection activeCell="E63" sqref="E63"/>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hidden="1" customWidth="1"/>
    <col min="16" max="16" width="12.28515625" style="4" hidden="1" customWidth="1"/>
    <col min="17" max="17" width="11.7109375" style="4" hidden="1" customWidth="1"/>
    <col min="18" max="18" width="16.42578125" style="4" hidden="1" customWidth="1"/>
    <col min="19" max="19" width="12.42578125" style="4" hidden="1" customWidth="1"/>
    <col min="20" max="20" width="15.85546875" style="4" hidden="1" customWidth="1"/>
    <col min="21" max="21" width="38.85546875" style="4" hidden="1"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2" t="s">
        <v>66</v>
      </c>
    </row>
    <row r="4" spans="1:22" x14ac:dyDescent="0.2">
      <c r="A4" s="99"/>
      <c r="B4" s="7"/>
      <c r="C4" s="3"/>
      <c r="D4" s="3"/>
      <c r="E4" s="212"/>
      <c r="F4" s="8"/>
      <c r="G4" s="215"/>
      <c r="H4" s="216"/>
      <c r="I4" s="202"/>
      <c r="J4" s="202"/>
      <c r="K4" s="202"/>
      <c r="M4" s="10"/>
      <c r="P4" s="242" t="s">
        <v>1</v>
      </c>
    </row>
    <row r="5" spans="1:22" x14ac:dyDescent="0.2">
      <c r="E5" s="244" t="s">
        <v>208</v>
      </c>
      <c r="F5" s="242" t="s">
        <v>3</v>
      </c>
      <c r="G5" s="242" t="s">
        <v>4</v>
      </c>
      <c r="H5" s="242"/>
      <c r="I5" s="246" t="s">
        <v>208</v>
      </c>
      <c r="J5" s="13" t="s">
        <v>180</v>
      </c>
      <c r="K5" s="246" t="s">
        <v>209</v>
      </c>
      <c r="L5" s="242" t="s">
        <v>5</v>
      </c>
      <c r="M5" s="11" t="s">
        <v>6</v>
      </c>
      <c r="N5" s="11" t="s">
        <v>0</v>
      </c>
      <c r="O5" s="11" t="s">
        <v>8</v>
      </c>
      <c r="P5" s="242" t="s">
        <v>9</v>
      </c>
      <c r="Q5" s="576" t="s">
        <v>10</v>
      </c>
      <c r="R5" s="576"/>
      <c r="U5" s="12" t="s">
        <v>11</v>
      </c>
    </row>
    <row r="6" spans="1:22" x14ac:dyDescent="0.2">
      <c r="E6" s="245">
        <v>42460</v>
      </c>
      <c r="F6" s="13" t="s">
        <v>12</v>
      </c>
      <c r="G6" s="14" t="s">
        <v>13</v>
      </c>
      <c r="H6" s="14" t="s">
        <v>8</v>
      </c>
      <c r="I6" s="247">
        <v>42551</v>
      </c>
      <c r="J6" s="13" t="s">
        <v>210</v>
      </c>
      <c r="K6" s="247">
        <f>I6</f>
        <v>42551</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Mar 2016'!$A$1:$I$252,9,FALSE)</f>
        <v>63343.919999998849</v>
      </c>
      <c r="F9" s="30">
        <v>0</v>
      </c>
      <c r="G9" s="33">
        <v>-63343.92</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Mar 2016'!$A$1:$I$252,9,FALSE)</f>
        <v>1768279.02</v>
      </c>
      <c r="F10" s="33">
        <v>0</v>
      </c>
      <c r="G10" s="33">
        <v>24961.14</v>
      </c>
      <c r="H10" s="33">
        <v>0</v>
      </c>
      <c r="I10" s="115">
        <f>E10+F10+G10+H10</f>
        <v>1793240.16</v>
      </c>
      <c r="J10" s="30">
        <v>0</v>
      </c>
      <c r="K10" s="115">
        <f>I10+J10</f>
        <v>1793240.16</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1831622.9399999988</v>
      </c>
      <c r="F12" s="29">
        <f t="shared" ref="F12:J12" si="0">SUM(F9:F10)</f>
        <v>0</v>
      </c>
      <c r="G12" s="29">
        <f t="shared" si="0"/>
        <v>-38382.78</v>
      </c>
      <c r="H12" s="29">
        <f t="shared" si="0"/>
        <v>0</v>
      </c>
      <c r="I12" s="117">
        <f t="shared" si="0"/>
        <v>1793240.1599999988</v>
      </c>
      <c r="J12" s="29">
        <f t="shared" si="0"/>
        <v>0</v>
      </c>
      <c r="K12" s="123">
        <f>SUM(K9:K10)</f>
        <v>1793240.1599999988</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Mar 2016'!$A$1:$I$252,9,FALSE)</f>
        <v>755559.81</v>
      </c>
      <c r="F15" s="30">
        <v>0</v>
      </c>
      <c r="G15" s="33">
        <v>-236352</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Mar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2195705.81</v>
      </c>
      <c r="F19" s="29">
        <f t="shared" ref="F19:K19" si="2">SUM(F15:F18)</f>
        <v>0</v>
      </c>
      <c r="G19" s="29">
        <f t="shared" si="2"/>
        <v>-236352</v>
      </c>
      <c r="H19" s="29">
        <f t="shared" si="2"/>
        <v>0</v>
      </c>
      <c r="I19" s="123">
        <f t="shared" si="2"/>
        <v>1959353.81</v>
      </c>
      <c r="J19" s="49">
        <f t="shared" si="2"/>
        <v>2884572.15</v>
      </c>
      <c r="K19" s="123">
        <f t="shared" si="2"/>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Mar 2016'!$A$1:$I$252,9,FALSE)</f>
        <v>1654761.3200000015</v>
      </c>
      <c r="F22" s="33">
        <v>0</v>
      </c>
      <c r="G22" s="33">
        <v>0</v>
      </c>
      <c r="H22" s="33">
        <v>-66618.509999999995</v>
      </c>
      <c r="I22" s="115">
        <f>E22+F22+G22+H22</f>
        <v>1588142.8100000015</v>
      </c>
      <c r="J22" s="33">
        <v>-266473.92</v>
      </c>
      <c r="K22" s="115">
        <f>I22+J22</f>
        <v>1321668.8900000015</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1654761.3200000015</v>
      </c>
      <c r="F24" s="29">
        <f t="shared" ref="F24:K24" si="3">SUM(F22:F23)</f>
        <v>0</v>
      </c>
      <c r="G24" s="29">
        <f t="shared" si="3"/>
        <v>0</v>
      </c>
      <c r="H24" s="29">
        <f t="shared" si="3"/>
        <v>-66618.509999999995</v>
      </c>
      <c r="I24" s="123">
        <f t="shared" si="3"/>
        <v>1588142.8100000015</v>
      </c>
      <c r="J24" s="49">
        <f t="shared" si="3"/>
        <v>-266473.92</v>
      </c>
      <c r="K24" s="123">
        <f t="shared" si="3"/>
        <v>1321668.8900000015</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Mar 2016'!$A$1:$I$252,9,FALSE)</f>
        <v>2036876</v>
      </c>
      <c r="F27" s="33">
        <v>0</v>
      </c>
      <c r="G27" s="33">
        <v>71611</v>
      </c>
      <c r="H27" s="29">
        <v>0</v>
      </c>
      <c r="I27" s="115">
        <f>E27+F27+G27+H27</f>
        <v>2108487</v>
      </c>
      <c r="J27" s="33">
        <v>0</v>
      </c>
      <c r="K27" s="115">
        <f>I27+J27</f>
        <v>2108487</v>
      </c>
      <c r="L27" s="210" t="s">
        <v>22</v>
      </c>
      <c r="M27" s="226"/>
      <c r="S27" s="28" t="s">
        <v>23</v>
      </c>
    </row>
    <row r="28" spans="1:21" ht="13.5" customHeight="1" x14ac:dyDescent="0.2">
      <c r="A28" s="100" t="s">
        <v>80</v>
      </c>
      <c r="B28" s="28"/>
      <c r="C28" s="28" t="s">
        <v>24</v>
      </c>
      <c r="D28" s="4" t="s">
        <v>204</v>
      </c>
      <c r="E28" s="32">
        <f>VLOOKUP(A28,'DEK Mar 2016'!$A$1:$I$252,9,FALSE)</f>
        <v>-483084.79999999981</v>
      </c>
      <c r="F28" s="33">
        <v>0</v>
      </c>
      <c r="G28" s="33">
        <v>3805792</v>
      </c>
      <c r="H28" s="32">
        <v>0</v>
      </c>
      <c r="I28" s="115">
        <f>E28+F28+G28+H28</f>
        <v>3322707.2</v>
      </c>
      <c r="J28" s="33">
        <v>0</v>
      </c>
      <c r="K28" s="115">
        <f>I28+J28</f>
        <v>3322707.2</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1553791.2000000002</v>
      </c>
      <c r="F30" s="44">
        <f t="shared" ref="F30:K30" si="4">SUM(F27:F28)</f>
        <v>0</v>
      </c>
      <c r="G30" s="33">
        <f t="shared" si="4"/>
        <v>3877403</v>
      </c>
      <c r="H30" s="33">
        <f t="shared" si="4"/>
        <v>0</v>
      </c>
      <c r="I30" s="123">
        <f t="shared" si="4"/>
        <v>5431194.2000000002</v>
      </c>
      <c r="J30" s="33">
        <f t="shared" si="4"/>
        <v>0</v>
      </c>
      <c r="K30" s="123">
        <f t="shared" si="4"/>
        <v>5431194.2000000002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Mar 2016'!$A$1:$I$252,9,FALSE)</f>
        <v>3894181.2700000009</v>
      </c>
      <c r="F52" s="33">
        <v>0</v>
      </c>
      <c r="G52" s="33">
        <v>-1276083.04</v>
      </c>
      <c r="H52" s="33">
        <v>0</v>
      </c>
      <c r="I52" s="115">
        <f>E52+F52+G52+H52</f>
        <v>2618098.2300000009</v>
      </c>
      <c r="J52" s="33">
        <v>-2618098.23</v>
      </c>
      <c r="K52" s="115">
        <f>I52+J52</f>
        <v>0</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Mar 2016'!$A$1:$I$252,9,FALSE)</f>
        <v>6417538</v>
      </c>
      <c r="F53" s="33">
        <v>0</v>
      </c>
      <c r="G53" s="33">
        <v>683790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Mar 2016'!$A$1:$I$252,9,FALSE)</f>
        <v>1450000</v>
      </c>
      <c r="F59" s="33">
        <v>0</v>
      </c>
      <c r="G59" s="33">
        <v>50000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Mar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Mar 2016'!$A$1:$I$252,9,FALSE)</f>
        <v>14812496.859999998</v>
      </c>
      <c r="F67" s="172"/>
      <c r="G67" s="33">
        <v>4293144.58</v>
      </c>
      <c r="H67" s="172"/>
      <c r="I67" s="115">
        <f t="shared" si="5"/>
        <v>19105641.439999998</v>
      </c>
      <c r="J67" s="172"/>
      <c r="K67" s="115">
        <f t="shared" si="6"/>
        <v>19105641.439999998</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Mar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Mar 2016'!$A$1:$I$252,9,FALSE)</f>
        <v>4504212.6100000003</v>
      </c>
      <c r="F71" s="172"/>
      <c r="G71" s="33">
        <v>1623251.48</v>
      </c>
      <c r="H71" s="144">
        <v>0</v>
      </c>
      <c r="I71" s="115">
        <f t="shared" si="5"/>
        <v>6127464.0899999999</v>
      </c>
      <c r="J71" s="33"/>
      <c r="K71" s="115">
        <f t="shared" si="6"/>
        <v>6127464.0899999999</v>
      </c>
      <c r="L71" s="210"/>
      <c r="M71" s="20"/>
      <c r="S71" s="18"/>
    </row>
    <row r="72" spans="1:19" ht="12.75" customHeight="1" x14ac:dyDescent="0.35">
      <c r="B72" s="28"/>
      <c r="C72" s="28"/>
      <c r="E72" s="32"/>
      <c r="F72" s="172"/>
      <c r="G72" s="144"/>
      <c r="H72" s="144"/>
      <c r="I72" s="115"/>
      <c r="J72" s="33"/>
      <c r="K72" s="115"/>
      <c r="L72" s="210"/>
      <c r="M72" s="20"/>
      <c r="S72" s="18"/>
    </row>
    <row r="73" spans="1:19" ht="12.75" customHeight="1" x14ac:dyDescent="0.35">
      <c r="A73" s="100" t="s">
        <v>257</v>
      </c>
      <c r="B73" s="28"/>
      <c r="C73" s="28" t="s">
        <v>256</v>
      </c>
      <c r="D73" s="4" t="s">
        <v>257</v>
      </c>
      <c r="E73" s="32">
        <f>VLOOKUP(A73,'DEK Mar 2016'!$A$1:$I$252,9,FALSE)</f>
        <v>-26937.71</v>
      </c>
      <c r="F73" s="172"/>
      <c r="G73" s="33">
        <v>-62095.199999999997</v>
      </c>
      <c r="H73" s="144">
        <v>0</v>
      </c>
      <c r="I73" s="115">
        <f t="shared" si="5"/>
        <v>-89032.91</v>
      </c>
      <c r="J73" s="33"/>
      <c r="K73" s="115">
        <f t="shared" si="6"/>
        <v>-89032.91</v>
      </c>
      <c r="L73" s="210"/>
      <c r="M73" s="20"/>
      <c r="S73" s="18"/>
    </row>
    <row r="74" spans="1:19" ht="12.75" customHeight="1" x14ac:dyDescent="0.35">
      <c r="B74" s="28"/>
      <c r="C74" s="28"/>
      <c r="E74" s="32"/>
      <c r="F74" s="172"/>
      <c r="G74" s="144"/>
      <c r="H74" s="144"/>
      <c r="I74" s="115"/>
      <c r="J74" s="33"/>
      <c r="K74" s="115" t="s">
        <v>222</v>
      </c>
      <c r="M74" s="20"/>
      <c r="S74" s="18"/>
    </row>
    <row r="75" spans="1:19" ht="16.5" customHeight="1" x14ac:dyDescent="0.35">
      <c r="A75" s="100" t="s">
        <v>240</v>
      </c>
      <c r="B75" s="28"/>
      <c r="C75" s="28" t="s">
        <v>239</v>
      </c>
      <c r="D75" s="4" t="s">
        <v>240</v>
      </c>
      <c r="E75" s="32">
        <f>VLOOKUP(A75,'DEK Mar 2016'!$A$1:$I$252,9,FALSE)</f>
        <v>5390698.5</v>
      </c>
      <c r="F75" s="172"/>
      <c r="G75" s="33">
        <v>1134654.1499999999</v>
      </c>
      <c r="H75" s="144">
        <v>0</v>
      </c>
      <c r="I75" s="115">
        <f t="shared" ref="I75" si="7">E75+F75+G75+H75</f>
        <v>6525352.6500000004</v>
      </c>
      <c r="J75" s="33"/>
      <c r="K75" s="115">
        <f t="shared" ref="K75" si="8">I75+J75</f>
        <v>6525352.6500000004</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Mar 2016'!$A$1:$I$252,9,FALSE)</f>
        <v>0</v>
      </c>
      <c r="F77" s="174"/>
      <c r="G77" s="33">
        <v>0.5</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253</v>
      </c>
      <c r="B79" s="28"/>
      <c r="C79" s="28" t="s">
        <v>252</v>
      </c>
      <c r="D79" s="4" t="s">
        <v>253</v>
      </c>
      <c r="E79" s="35">
        <f>VLOOKUP(A79,'DEK Mar 2016'!$A$1:$I$252,9,FALSE)</f>
        <v>0</v>
      </c>
      <c r="F79" s="174"/>
      <c r="G79" s="36">
        <v>0</v>
      </c>
      <c r="H79" s="36">
        <v>0</v>
      </c>
      <c r="I79" s="116">
        <f t="shared" si="9"/>
        <v>0</v>
      </c>
      <c r="J79" s="36"/>
      <c r="K79" s="116">
        <f t="shared" si="10"/>
        <v>0</v>
      </c>
      <c r="M79" s="20"/>
      <c r="S79" s="18"/>
    </row>
    <row r="80" spans="1:19" x14ac:dyDescent="0.2">
      <c r="B80" s="54"/>
      <c r="C80" s="28"/>
      <c r="E80" s="32">
        <f>SUM(E42:E79)</f>
        <v>41354873.530000001</v>
      </c>
      <c r="F80" s="29">
        <f>SUM(F39:F65)+F36</f>
        <v>0</v>
      </c>
      <c r="G80" s="29">
        <f>SUM(G39:G79)+G36</f>
        <v>6446662.4699999988</v>
      </c>
      <c r="H80" s="29">
        <f>SUM(H39:H79)+H36</f>
        <v>0</v>
      </c>
      <c r="I80" s="123">
        <f>SUM(I39:I79)+I36</f>
        <v>47801536.000000007</v>
      </c>
      <c r="J80" s="49">
        <f>SUM(J39:J79)+J36</f>
        <v>-2618098.23</v>
      </c>
      <c r="K80" s="123">
        <f>SUM(K39:K79)+K36</f>
        <v>45183437.770000003</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Mar 2016'!$A$1:$I$252,9,FALSE)</f>
        <v>1787378.76</v>
      </c>
      <c r="F82" s="29"/>
      <c r="G82" s="29">
        <v>279767.28000000003</v>
      </c>
      <c r="H82" s="29">
        <v>0</v>
      </c>
      <c r="I82" s="123">
        <f>E82+F82+G82+H82</f>
        <v>2067146.04</v>
      </c>
      <c r="J82" s="49">
        <v>0</v>
      </c>
      <c r="K82" s="123">
        <f t="shared" ref="K82" si="11">I82+J82</f>
        <v>2067146.04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Mar 2016'!$A$1:$I$252,9,FALSE)</f>
        <v>24902559.440000001</v>
      </c>
      <c r="F86" s="30">
        <v>0</v>
      </c>
      <c r="G86" s="33">
        <v>-420093</v>
      </c>
      <c r="H86" s="30">
        <v>0</v>
      </c>
      <c r="I86" s="115">
        <f>E86+F86+G86+H86</f>
        <v>24482466.440000001</v>
      </c>
      <c r="J86" s="30">
        <v>0</v>
      </c>
      <c r="K86" s="115">
        <f t="shared" ref="K86:K88" si="12">I86+J86</f>
        <v>24482466.440000001</v>
      </c>
      <c r="L86" s="210" t="s">
        <v>22</v>
      </c>
      <c r="M86" s="20"/>
      <c r="P86" s="58"/>
      <c r="S86" s="18">
        <v>186801</v>
      </c>
    </row>
    <row r="87" spans="1:21" x14ac:dyDescent="0.2">
      <c r="A87" s="108" t="s">
        <v>171</v>
      </c>
      <c r="B87" s="28"/>
      <c r="C87" s="28" t="s">
        <v>122</v>
      </c>
      <c r="D87" s="4" t="s">
        <v>225</v>
      </c>
      <c r="E87" s="32">
        <f>VLOOKUP(A87,'DEK Mar 2016'!$A$1:$I$252,9,FALSE)</f>
        <v>2838735.55</v>
      </c>
      <c r="F87" s="30">
        <v>0</v>
      </c>
      <c r="G87" s="33">
        <v>-76194</v>
      </c>
      <c r="H87" s="30">
        <v>0</v>
      </c>
      <c r="I87" s="115">
        <f>E87+F87+G87+H87</f>
        <v>2762541.55</v>
      </c>
      <c r="J87" s="30">
        <v>0</v>
      </c>
      <c r="K87" s="115">
        <f t="shared" si="12"/>
        <v>2762541.55</v>
      </c>
      <c r="L87" s="210" t="s">
        <v>22</v>
      </c>
      <c r="M87" s="20"/>
      <c r="P87" s="58"/>
      <c r="S87" s="18"/>
    </row>
    <row r="88" spans="1:21" x14ac:dyDescent="0.2">
      <c r="A88" s="108" t="s">
        <v>172</v>
      </c>
      <c r="B88" s="28"/>
      <c r="C88" s="28" t="s">
        <v>123</v>
      </c>
      <c r="D88" s="4" t="s">
        <v>226</v>
      </c>
      <c r="E88" s="32">
        <f>VLOOKUP(A88,'DEK Mar 2016'!$A$1:$I$252,9,FALSE)</f>
        <v>50288.05</v>
      </c>
      <c r="F88" s="30">
        <v>0</v>
      </c>
      <c r="G88" s="33">
        <v>-1176</v>
      </c>
      <c r="H88" s="30">
        <v>0</v>
      </c>
      <c r="I88" s="115">
        <f>E88+F88+G88+H88</f>
        <v>49112.05</v>
      </c>
      <c r="J88" s="30">
        <v>0</v>
      </c>
      <c r="K88" s="115">
        <f t="shared" si="12"/>
        <v>49112.05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27791583.040000003</v>
      </c>
      <c r="F90" s="29">
        <f t="shared" ref="F90:K90" si="13">SUM(F85:F89)</f>
        <v>0</v>
      </c>
      <c r="G90" s="29">
        <f>SUM(G85:G89)</f>
        <v>-497463</v>
      </c>
      <c r="H90" s="29">
        <f t="shared" si="13"/>
        <v>0</v>
      </c>
      <c r="I90" s="123">
        <f t="shared" si="13"/>
        <v>27294120.040000003</v>
      </c>
      <c r="J90" s="29">
        <f t="shared" si="13"/>
        <v>0</v>
      </c>
      <c r="K90" s="123">
        <f t="shared" si="13"/>
        <v>27294120.040000003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78169716.600000009</v>
      </c>
      <c r="F96" s="133">
        <f>+F12+F24+F30+F80+F90+F92+F19+F93</f>
        <v>0</v>
      </c>
      <c r="G96" s="133">
        <f>+G12+G24+G30+G80+G82+G90+G92+G19+G93</f>
        <v>9831634.9699999988</v>
      </c>
      <c r="H96" s="133">
        <f>+H12+H24+H30+H80+H82+H90+H92+H19+H93</f>
        <v>-66618.509999999995</v>
      </c>
      <c r="I96" s="134">
        <f>+I12+I24+I30+I80+I82+I90+I92+I19+I93</f>
        <v>87934733.060000017</v>
      </c>
      <c r="J96" s="133">
        <f>+J12+J24+J30+J80+J82+J90+J92+J19+J93</f>
        <v>0</v>
      </c>
      <c r="K96" s="134">
        <f>+K12+K24+K30+K80+K82+K90+K92+K19+K93</f>
        <v>87934733.060000002</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Mar 2016'!$A$1:$I$252,9,FALSE)</f>
        <v>3.92901711165905E-10</v>
      </c>
      <c r="F99" s="30">
        <v>0</v>
      </c>
      <c r="G99" s="33">
        <v>0</v>
      </c>
      <c r="H99" s="144">
        <v>0</v>
      </c>
      <c r="I99" s="115">
        <f t="shared" ref="I99:I104" si="15">E99+F99+G99+H99</f>
        <v>3.92901711165905E-10</v>
      </c>
      <c r="J99" s="30">
        <v>0</v>
      </c>
      <c r="K99" s="115">
        <f t="shared" ref="K99:K104" si="16">I99+J99</f>
        <v>3.92901711165905E-10</v>
      </c>
      <c r="L99" s="210" t="s">
        <v>22</v>
      </c>
      <c r="M99" s="33"/>
      <c r="N99" s="42"/>
      <c r="O99" s="42"/>
      <c r="S99" s="18">
        <v>191400</v>
      </c>
      <c r="T99" s="58"/>
    </row>
    <row r="100" spans="1:20" x14ac:dyDescent="0.2">
      <c r="A100" s="100" t="s">
        <v>115</v>
      </c>
      <c r="B100" s="18"/>
      <c r="C100" s="28" t="s">
        <v>53</v>
      </c>
      <c r="D100" s="4" t="s">
        <v>115</v>
      </c>
      <c r="E100" s="32">
        <f>VLOOKUP(A100,'DEK Mar 2016'!$A$1:$I$252,9,FALSE)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Mar 2016'!$A$1:$I$252,9,FALSE)</f>
        <v>0</v>
      </c>
      <c r="F101" s="30">
        <v>0</v>
      </c>
      <c r="G101" s="30">
        <v>-208592.1</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Mar 2016'!$A$1:$I$252,9,FALSE)</f>
        <v>-4.6566128730773926E-10</v>
      </c>
      <c r="F102" s="30">
        <v>0</v>
      </c>
      <c r="G102" s="30">
        <v>-634301.47</v>
      </c>
      <c r="H102" s="33">
        <v>0</v>
      </c>
      <c r="I102" s="115">
        <f t="shared" si="15"/>
        <v>-634301.47000000044</v>
      </c>
      <c r="J102" s="30">
        <v>0</v>
      </c>
      <c r="K102" s="115">
        <f t="shared" si="16"/>
        <v>-634301.47000000044</v>
      </c>
      <c r="L102" s="210" t="s">
        <v>22</v>
      </c>
      <c r="M102" s="20"/>
      <c r="N102" s="42"/>
      <c r="O102" s="42"/>
      <c r="S102" s="18">
        <v>242997</v>
      </c>
      <c r="T102" s="58"/>
    </row>
    <row r="103" spans="1:20" x14ac:dyDescent="0.2">
      <c r="A103" s="100" t="s">
        <v>120</v>
      </c>
      <c r="B103" s="18"/>
      <c r="C103" s="28" t="s">
        <v>54</v>
      </c>
      <c r="D103" s="4" t="s">
        <v>120</v>
      </c>
      <c r="E103" s="32">
        <f>VLOOKUP(A103,'DEK Mar 2016'!$A$1:$I$252,9,FALSE)</f>
        <v>-182710.54999999976</v>
      </c>
      <c r="F103" s="33">
        <v>0</v>
      </c>
      <c r="G103" s="33">
        <v>557036.4</v>
      </c>
      <c r="H103" s="33">
        <v>55373.1</v>
      </c>
      <c r="I103" s="115">
        <f t="shared" si="15"/>
        <v>429698.95000000024</v>
      </c>
      <c r="J103" s="33">
        <v>0</v>
      </c>
      <c r="K103" s="115">
        <f t="shared" si="16"/>
        <v>429698.95000000024</v>
      </c>
      <c r="L103" s="210" t="s">
        <v>22</v>
      </c>
      <c r="M103" s="42"/>
      <c r="N103" s="42"/>
      <c r="O103" s="42"/>
      <c r="S103" s="18">
        <v>253130</v>
      </c>
      <c r="T103" s="58"/>
    </row>
    <row r="104" spans="1:20" x14ac:dyDescent="0.2">
      <c r="A104" s="100" t="s">
        <v>156</v>
      </c>
      <c r="B104" s="18"/>
      <c r="C104" s="28" t="s">
        <v>116</v>
      </c>
      <c r="D104" s="4" t="s">
        <v>211</v>
      </c>
      <c r="E104" s="32">
        <f>VLOOKUP(A104,'DEK Mar 2016'!$A$1:$I$252,9,FALSE)</f>
        <v>-2344637.7599999998</v>
      </c>
      <c r="F104" s="33"/>
      <c r="G104" s="33">
        <v>381298.15</v>
      </c>
      <c r="H104" s="33">
        <v>0</v>
      </c>
      <c r="I104" s="115">
        <f t="shared" si="15"/>
        <v>-1963339.6099999999</v>
      </c>
      <c r="J104" s="30">
        <v>0</v>
      </c>
      <c r="K104" s="115">
        <f t="shared" si="16"/>
        <v>-1963339.6099999999</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-2527348.3099999996</v>
      </c>
      <c r="F106" s="33">
        <f t="shared" si="17"/>
        <v>0</v>
      </c>
      <c r="G106" s="33">
        <f t="shared" si="17"/>
        <v>95440.980000000098</v>
      </c>
      <c r="H106" s="33">
        <f t="shared" si="17"/>
        <v>55373.1</v>
      </c>
      <c r="I106" s="123">
        <f t="shared" si="17"/>
        <v>-2376534.2299999995</v>
      </c>
      <c r="J106" s="33">
        <f t="shared" si="17"/>
        <v>0</v>
      </c>
      <c r="K106" s="123">
        <f t="shared" si="17"/>
        <v>-2376534.2299999995</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Mar 2016'!$A$1:$I$252,9,FALSE)</f>
        <v>-4799930.7300000004</v>
      </c>
      <c r="F114" s="30">
        <v>0</v>
      </c>
      <c r="G114" s="33">
        <v>137577</v>
      </c>
      <c r="H114" s="33">
        <v>0</v>
      </c>
      <c r="I114" s="123">
        <f>E114+G114+H114+F114</f>
        <v>-4662353.7300000004</v>
      </c>
      <c r="J114" s="91">
        <v>0</v>
      </c>
      <c r="K114" s="123">
        <f>I114+J114</f>
        <v>-4662353.7300000004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Mar 2016'!$A$1:$I$252,9,FALSE)</f>
        <v>0</v>
      </c>
      <c r="F117" s="30">
        <v>0</v>
      </c>
      <c r="G117" s="33">
        <v>-3791681</v>
      </c>
      <c r="H117" s="33">
        <v>0</v>
      </c>
      <c r="I117" s="115">
        <f>E117+F117+G117+H117</f>
        <v>-3791681</v>
      </c>
      <c r="J117" s="30">
        <v>0</v>
      </c>
      <c r="K117" s="115">
        <f t="shared" ref="K117:K119" si="19">I117+J117</f>
        <v>-3791681</v>
      </c>
      <c r="M117" s="62"/>
      <c r="P117" s="51"/>
      <c r="Q117" s="18"/>
      <c r="R117" s="58"/>
      <c r="S117" s="18">
        <v>254998</v>
      </c>
    </row>
    <row r="118" spans="1:23" x14ac:dyDescent="0.2">
      <c r="A118" s="100" t="s">
        <v>179</v>
      </c>
      <c r="B118" s="18"/>
      <c r="C118" s="28" t="s">
        <v>47</v>
      </c>
      <c r="D118" s="4" t="s">
        <v>196</v>
      </c>
      <c r="E118" s="32">
        <f>VLOOKUP(A118,'DEK Mar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Mar 2016'!$A$1:$I$252,9,FALSE)</f>
        <v>-15722.210000000005</v>
      </c>
      <c r="F119" s="30">
        <v>0</v>
      </c>
      <c r="G119" s="33">
        <v>671.45</v>
      </c>
      <c r="H119" s="33">
        <v>0</v>
      </c>
      <c r="I119" s="117">
        <f>E119+F119+G119+H119</f>
        <v>-15050.760000000004</v>
      </c>
      <c r="J119" s="30">
        <v>0</v>
      </c>
      <c r="K119" s="117">
        <f t="shared" si="19"/>
        <v>-15050.760000000004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-15722.210000000005</v>
      </c>
      <c r="F121" s="30">
        <f t="shared" ref="F121:K121" si="21">SUM(F117:F120)</f>
        <v>0</v>
      </c>
      <c r="G121" s="30">
        <f t="shared" si="21"/>
        <v>-3791009.55</v>
      </c>
      <c r="H121" s="30">
        <f t="shared" si="21"/>
        <v>0</v>
      </c>
      <c r="I121" s="122">
        <f t="shared" si="21"/>
        <v>-3806731.76</v>
      </c>
      <c r="J121" s="30">
        <f t="shared" si="21"/>
        <v>0</v>
      </c>
      <c r="K121" s="122">
        <f t="shared" si="21"/>
        <v>-3806731.76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Mar 2016'!$A$1:$I$252,9,FALSE)</f>
        <v>-17662505.870000005</v>
      </c>
      <c r="F123" s="30">
        <v>0</v>
      </c>
      <c r="G123" s="30">
        <f>-58610.38+10303.87+-58894.16+-59151.22</f>
        <v>-166351.89000000001</v>
      </c>
      <c r="H123" s="30">
        <v>0</v>
      </c>
      <c r="I123" s="115">
        <f t="shared" ref="I123:I129" si="22">E123+F123+G123+H123</f>
        <v>-17828857.760000005</v>
      </c>
      <c r="J123" s="30">
        <v>0</v>
      </c>
      <c r="K123" s="115">
        <f t="shared" ref="K123:K129" si="23">I123+J123</f>
        <v>-17828857.760000005</v>
      </c>
      <c r="L123" s="210" t="s">
        <v>241</v>
      </c>
      <c r="M123" s="20"/>
      <c r="N123" s="42"/>
      <c r="O123" s="42"/>
      <c r="Q123" s="242">
        <v>75086</v>
      </c>
      <c r="R123" s="58" t="s">
        <v>44</v>
      </c>
      <c r="S123" s="18">
        <v>108201</v>
      </c>
      <c r="T123" s="58"/>
    </row>
    <row r="124" spans="1:23" x14ac:dyDescent="0.2">
      <c r="A124" s="100" t="s">
        <v>166</v>
      </c>
      <c r="B124" s="18"/>
      <c r="C124" s="28" t="s">
        <v>45</v>
      </c>
      <c r="D124" s="4" t="s">
        <v>198</v>
      </c>
      <c r="E124" s="32">
        <f>VLOOKUP(A124,'DEK Mar 2016'!$A$1:$I$252,9,FALSE)</f>
        <v>-47879887.810000002</v>
      </c>
      <c r="F124" s="30">
        <v>0</v>
      </c>
      <c r="G124" s="30">
        <f>-1284584.13+166351.89</f>
        <v>-1118232.2399999998</v>
      </c>
      <c r="H124" s="30">
        <v>0</v>
      </c>
      <c r="I124" s="115">
        <f t="shared" si="22"/>
        <v>-48998120.050000004</v>
      </c>
      <c r="J124" s="30">
        <v>0</v>
      </c>
      <c r="K124" s="115">
        <f t="shared" si="23"/>
        <v>-48998120.050000004</v>
      </c>
      <c r="L124" s="210" t="s">
        <v>242</v>
      </c>
      <c r="M124" s="20"/>
      <c r="N124" s="42"/>
      <c r="O124" s="42"/>
      <c r="R124" s="58" t="s">
        <v>44</v>
      </c>
      <c r="S124" s="18">
        <v>108301</v>
      </c>
      <c r="T124" s="58"/>
    </row>
    <row r="125" spans="1:23" x14ac:dyDescent="0.2">
      <c r="A125" s="100" t="s">
        <v>167</v>
      </c>
      <c r="B125" s="18"/>
      <c r="C125" s="28" t="s">
        <v>46</v>
      </c>
      <c r="D125" s="4" t="s">
        <v>199</v>
      </c>
      <c r="E125" s="32">
        <f>VLOOKUP(A125,'DEK Mar 2016'!$A$1:$I$252,9,FALSE)</f>
        <v>10664497.079999998</v>
      </c>
      <c r="F125" s="30">
        <v>0</v>
      </c>
      <c r="G125" s="30">
        <v>1992983.51</v>
      </c>
      <c r="H125" s="30">
        <v>0</v>
      </c>
      <c r="I125" s="115">
        <f t="shared" si="22"/>
        <v>12657480.589999998</v>
      </c>
      <c r="J125" s="30">
        <v>0</v>
      </c>
      <c r="K125" s="115">
        <f>I125+J125</f>
        <v>12657480.589999998</v>
      </c>
      <c r="L125" s="210" t="s">
        <v>242</v>
      </c>
      <c r="M125" s="20"/>
      <c r="N125" s="42"/>
      <c r="O125" s="42"/>
      <c r="S125" s="18">
        <v>108410</v>
      </c>
      <c r="T125" s="58"/>
    </row>
    <row r="126" spans="1:23" x14ac:dyDescent="0.2">
      <c r="A126" s="100" t="s">
        <v>168</v>
      </c>
      <c r="B126" s="18"/>
      <c r="C126" s="28" t="s">
        <v>74</v>
      </c>
      <c r="D126" s="4" t="s">
        <v>217</v>
      </c>
      <c r="E126" s="32">
        <f>VLOOKUP(A126,'DEK Mar 2016'!$A$1:$I$252,9,FALSE)</f>
        <v>2335565.75</v>
      </c>
      <c r="F126" s="30">
        <v>0</v>
      </c>
      <c r="G126" s="30">
        <v>64676.59</v>
      </c>
      <c r="H126" s="30">
        <v>0</v>
      </c>
      <c r="I126" s="115">
        <f t="shared" si="22"/>
        <v>2400242.34</v>
      </c>
      <c r="J126" s="30">
        <v>0</v>
      </c>
      <c r="K126" s="115">
        <f>I126+J126</f>
        <v>2400242.34</v>
      </c>
      <c r="M126" s="20"/>
      <c r="N126" s="42"/>
      <c r="O126" s="42"/>
      <c r="Q126" s="4" t="s">
        <v>50</v>
      </c>
      <c r="R126" s="4" t="s">
        <v>51</v>
      </c>
      <c r="S126" s="18">
        <v>182303</v>
      </c>
      <c r="T126" s="58"/>
    </row>
    <row r="127" spans="1:23" x14ac:dyDescent="0.2">
      <c r="A127" s="100" t="s">
        <v>169</v>
      </c>
      <c r="B127" s="18"/>
      <c r="C127" s="28" t="s">
        <v>49</v>
      </c>
      <c r="D127" s="4" t="s">
        <v>218</v>
      </c>
      <c r="E127" s="32">
        <f>VLOOKUP(A127,'DEK Mar 2016'!$A$1:$I$252,9,FALSE)</f>
        <v>4387727.870000002</v>
      </c>
      <c r="F127" s="30">
        <v>0</v>
      </c>
      <c r="G127" s="30">
        <v>77731.13</v>
      </c>
      <c r="H127" s="30">
        <v>0</v>
      </c>
      <c r="I127" s="115">
        <f t="shared" si="22"/>
        <v>4465459.0000000019</v>
      </c>
      <c r="J127" s="30">
        <v>0</v>
      </c>
      <c r="K127" s="115">
        <f t="shared" si="23"/>
        <v>4465459.0000000019</v>
      </c>
      <c r="M127" s="20"/>
      <c r="N127" s="42"/>
      <c r="O127" s="42"/>
      <c r="Q127" s="4" t="s">
        <v>50</v>
      </c>
      <c r="S127" s="18">
        <v>182304</v>
      </c>
      <c r="T127" s="58"/>
    </row>
    <row r="128" spans="1:23" x14ac:dyDescent="0.2">
      <c r="A128" s="100" t="s">
        <v>170</v>
      </c>
      <c r="B128" s="18"/>
      <c r="C128" s="28" t="s">
        <v>42</v>
      </c>
      <c r="D128" s="4" t="s">
        <v>200</v>
      </c>
      <c r="E128" s="32">
        <f>VLOOKUP(A128,'DEK Mar 2016'!$A$1:$I$252,9,FALSE)</f>
        <v>-158152.79000000007</v>
      </c>
      <c r="F128" s="30">
        <v>0</v>
      </c>
      <c r="G128" s="30">
        <v>-18338.28</v>
      </c>
      <c r="H128" s="30">
        <v>0</v>
      </c>
      <c r="I128" s="115">
        <f t="shared" si="22"/>
        <v>-176491.07000000007</v>
      </c>
      <c r="J128" s="30">
        <v>0</v>
      </c>
      <c r="K128" s="115">
        <f t="shared" si="23"/>
        <v>-176491.07000000007</v>
      </c>
      <c r="L128" s="210" t="s">
        <v>241</v>
      </c>
      <c r="M128" s="20"/>
      <c r="N128" s="42"/>
      <c r="O128" s="42"/>
      <c r="R128" s="58" t="s">
        <v>44</v>
      </c>
      <c r="S128" s="18">
        <v>108101</v>
      </c>
      <c r="T128" s="58"/>
    </row>
    <row r="129" spans="1:22" x14ac:dyDescent="0.2">
      <c r="A129" s="100" t="s">
        <v>272</v>
      </c>
      <c r="B129" s="18"/>
      <c r="C129" s="28" t="s">
        <v>271</v>
      </c>
      <c r="D129" s="4" t="s">
        <v>272</v>
      </c>
      <c r="E129" s="32">
        <f>VLOOKUP(A129,'DEK Mar 2016'!$A$1:$I$252,9,FALSE)</f>
        <v>261428.66999999995</v>
      </c>
      <c r="F129" s="30">
        <v>0</v>
      </c>
      <c r="G129" s="30">
        <v>187323.93</v>
      </c>
      <c r="H129" s="30">
        <v>0</v>
      </c>
      <c r="I129" s="115">
        <f t="shared" si="22"/>
        <v>448752.6</v>
      </c>
      <c r="J129" s="30">
        <v>0</v>
      </c>
      <c r="K129" s="115">
        <f t="shared" si="23"/>
        <v>448752.6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-48051327.100000001</v>
      </c>
      <c r="F131" s="33">
        <f t="shared" si="24"/>
        <v>0</v>
      </c>
      <c r="G131" s="33">
        <f t="shared" si="24"/>
        <v>1019792.75</v>
      </c>
      <c r="H131" s="33">
        <f t="shared" si="24"/>
        <v>0</v>
      </c>
      <c r="I131" s="123">
        <f t="shared" si="24"/>
        <v>-47031534.350000009</v>
      </c>
      <c r="J131" s="33">
        <f t="shared" si="24"/>
        <v>0</v>
      </c>
      <c r="K131" s="123">
        <f t="shared" si="24"/>
        <v>-47031534.350000009</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-55394328.350000001</v>
      </c>
      <c r="F133" s="133">
        <f t="shared" ref="F133:H133" si="25">+F106+F114+F121+F131+F111</f>
        <v>0</v>
      </c>
      <c r="G133" s="133">
        <f t="shared" si="25"/>
        <v>-2538198.8199999998</v>
      </c>
      <c r="H133" s="133">
        <f t="shared" si="25"/>
        <v>55373.1</v>
      </c>
      <c r="I133" s="134">
        <f>+I106+I114+I121+I131+I111</f>
        <v>-57877154.070000008</v>
      </c>
      <c r="J133" s="133">
        <f>+J106+J114+J121+J131+J111</f>
        <v>0</v>
      </c>
      <c r="K133" s="134">
        <f>+K106+K114+K121+K131+K111</f>
        <v>-57877154.070000008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22775388.250000007</v>
      </c>
      <c r="F135" s="137">
        <f>F133+F96</f>
        <v>0</v>
      </c>
      <c r="G135" s="137">
        <f>G133+G96</f>
        <v>7293436.1499999985</v>
      </c>
      <c r="H135" s="137">
        <f>H133+H96</f>
        <v>-11245.409999999996</v>
      </c>
      <c r="I135" s="138">
        <f>I96+I133</f>
        <v>30057578.99000001</v>
      </c>
      <c r="J135" s="137">
        <f>J133+J96</f>
        <v>0</v>
      </c>
      <c r="K135" s="138">
        <f>K96+K133</f>
        <v>30057578.989999995</v>
      </c>
      <c r="L135" s="50">
        <v>0</v>
      </c>
      <c r="M135" s="70"/>
      <c r="N135" s="70"/>
      <c r="O135" s="70"/>
      <c r="P135" s="50"/>
      <c r="Q135" s="50"/>
      <c r="R135" s="50"/>
      <c r="S135" s="18"/>
      <c r="T135" s="29">
        <f>+G135+H135+F135</f>
        <v>7282190.7399999984</v>
      </c>
      <c r="U135" s="19">
        <v>13111056.41</v>
      </c>
      <c r="V135" s="29">
        <f>+T135-U135</f>
        <v>-5828865.6700000018</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33316.769999999786</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85">
        <f>G135+H135</f>
        <v>7282190.7399999984</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7382126.0199999977</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1831622.9399999988</v>
      </c>
      <c r="F163" s="32">
        <f>+F93+F94</f>
        <v>0</v>
      </c>
      <c r="G163" s="165"/>
      <c r="H163" s="83"/>
      <c r="I163" s="84">
        <f>+I12</f>
        <v>1793240.1599999988</v>
      </c>
      <c r="J163" s="84">
        <f>+J12</f>
        <v>0</v>
      </c>
      <c r="K163" s="84">
        <f>+K12</f>
        <v>1793240.1599999988</v>
      </c>
      <c r="M163" s="20"/>
      <c r="S163" s="18"/>
    </row>
    <row r="164" spans="1:19" hidden="1" x14ac:dyDescent="0.2">
      <c r="A164" s="109" t="s">
        <v>142</v>
      </c>
      <c r="B164" s="18"/>
      <c r="C164" s="18"/>
      <c r="D164" s="82" t="s">
        <v>142</v>
      </c>
      <c r="E164" s="83">
        <f>+E19</f>
        <v>2195705.81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1654761.3200000015</v>
      </c>
      <c r="F165" s="32">
        <f t="shared" si="26"/>
        <v>0</v>
      </c>
      <c r="G165" s="165"/>
      <c r="H165" s="83"/>
      <c r="I165" s="84">
        <f>+I24</f>
        <v>1588142.8100000015</v>
      </c>
      <c r="J165" s="84">
        <f>+J24</f>
        <v>-266473.92</v>
      </c>
      <c r="K165" s="84">
        <f>+K24</f>
        <v>1321668.8900000015</v>
      </c>
      <c r="M165" s="20"/>
      <c r="S165" s="18"/>
    </row>
    <row r="166" spans="1:19" hidden="1" x14ac:dyDescent="0.2">
      <c r="A166" s="109" t="s">
        <v>61</v>
      </c>
      <c r="B166" s="18"/>
      <c r="C166" s="18"/>
      <c r="D166" s="82" t="s">
        <v>61</v>
      </c>
      <c r="E166" s="32">
        <f>+E30</f>
        <v>1553791.2000000002</v>
      </c>
      <c r="F166" s="32">
        <f t="shared" si="26"/>
        <v>0</v>
      </c>
      <c r="G166" s="157"/>
      <c r="H166" s="32"/>
      <c r="I166" s="84">
        <f>+I30</f>
        <v>5431194.2000000002</v>
      </c>
      <c r="J166" s="84">
        <f>+J30</f>
        <v>0</v>
      </c>
      <c r="K166" s="84">
        <f>+K30</f>
        <v>5431194.2000000002</v>
      </c>
      <c r="M166" s="20"/>
      <c r="S166" s="18"/>
    </row>
    <row r="167" spans="1:19" hidden="1" x14ac:dyDescent="0.2">
      <c r="A167" s="109" t="s">
        <v>143</v>
      </c>
      <c r="B167" s="18"/>
      <c r="C167" s="18"/>
      <c r="D167" s="82" t="s">
        <v>143</v>
      </c>
      <c r="E167" s="32">
        <f>+E80</f>
        <v>41354873.530000001</v>
      </c>
      <c r="F167" s="32">
        <f t="shared" si="26"/>
        <v>0</v>
      </c>
      <c r="G167" s="157"/>
      <c r="H167" s="32"/>
      <c r="I167" s="84">
        <f>+I80</f>
        <v>47801536.000000007</v>
      </c>
      <c r="J167" s="84">
        <f>+J80</f>
        <v>-2618098.23</v>
      </c>
      <c r="K167" s="84">
        <f>+K80</f>
        <v>45183437.770000003</v>
      </c>
      <c r="M167" s="20"/>
      <c r="S167" s="18"/>
    </row>
    <row r="168" spans="1:19" hidden="1" x14ac:dyDescent="0.2">
      <c r="A168" s="109" t="s">
        <v>151</v>
      </c>
      <c r="B168" s="18"/>
      <c r="C168" s="18"/>
      <c r="D168" s="82" t="s">
        <v>151</v>
      </c>
      <c r="E168" s="32">
        <f>+E90</f>
        <v>27791583.040000003</v>
      </c>
      <c r="F168" s="32">
        <f t="shared" si="26"/>
        <v>0</v>
      </c>
      <c r="G168" s="157"/>
      <c r="H168" s="32"/>
      <c r="I168" s="84">
        <f>+I90</f>
        <v>27294120.040000003</v>
      </c>
      <c r="J168" s="84">
        <f>+J90</f>
        <v>0</v>
      </c>
      <c r="K168" s="84">
        <f>+K90</f>
        <v>27294120.040000003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-2527348.3099999996</v>
      </c>
      <c r="F170" s="32" t="e">
        <f>+F100+#REF!</f>
        <v>#REF!</v>
      </c>
      <c r="G170" s="157"/>
      <c r="H170" s="32"/>
      <c r="I170" s="84">
        <f>+I106</f>
        <v>-2376534.2299999995</v>
      </c>
      <c r="J170" s="84">
        <f>+J106</f>
        <v>0</v>
      </c>
      <c r="K170" s="84">
        <f>+K106</f>
        <v>-2376534.2299999995</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-4799930.7300000004</v>
      </c>
      <c r="F172" s="32" t="e">
        <f>+#REF!+#REF!</f>
        <v>#REF!</v>
      </c>
      <c r="G172" s="157"/>
      <c r="H172" s="32"/>
      <c r="I172" s="84">
        <f>+I114</f>
        <v>-4662353.7300000004</v>
      </c>
      <c r="J172" s="84">
        <f>+J114</f>
        <v>0</v>
      </c>
      <c r="K172" s="84">
        <f>+K114</f>
        <v>-4662353.7300000004</v>
      </c>
      <c r="M172" s="20"/>
      <c r="S172" s="18"/>
    </row>
    <row r="173" spans="1:19" hidden="1" x14ac:dyDescent="0.2">
      <c r="A173" s="109" t="s">
        <v>153</v>
      </c>
      <c r="B173" s="18"/>
      <c r="C173" s="18"/>
      <c r="D173" s="82" t="s">
        <v>153</v>
      </c>
      <c r="E173" s="32">
        <f>+E121</f>
        <v>-15722.210000000005</v>
      </c>
      <c r="F173" s="32" t="e">
        <f>+#REF!+F101</f>
        <v>#REF!</v>
      </c>
      <c r="G173" s="157"/>
      <c r="H173" s="32"/>
      <c r="I173" s="84">
        <f>+I121</f>
        <v>-3806731.76</v>
      </c>
      <c r="J173" s="84">
        <f>+J121</f>
        <v>0</v>
      </c>
      <c r="K173" s="84">
        <f>+K121</f>
        <v>-3806731.76</v>
      </c>
      <c r="M173" s="20"/>
      <c r="S173" s="18"/>
    </row>
    <row r="174" spans="1:19" hidden="1" x14ac:dyDescent="0.2">
      <c r="A174" s="109" t="s">
        <v>155</v>
      </c>
      <c r="B174" s="18"/>
      <c r="C174" s="18"/>
      <c r="D174" s="82" t="s">
        <v>155</v>
      </c>
      <c r="E174" s="32">
        <f>+E131</f>
        <v>-48051327.100000001</v>
      </c>
      <c r="F174" s="32">
        <f t="shared" ref="F174" si="27">+F101+F102</f>
        <v>0</v>
      </c>
      <c r="G174" s="157"/>
      <c r="H174" s="32"/>
      <c r="I174" s="84">
        <f>+I131</f>
        <v>-47031534.350000009</v>
      </c>
      <c r="J174" s="84">
        <f>+J131</f>
        <v>0</v>
      </c>
      <c r="K174" s="84">
        <f>+K131</f>
        <v>-47031534.350000009</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20988009.490000002</v>
      </c>
      <c r="F176" s="88" t="e">
        <f>SUM(F166:F175)</f>
        <v>#REF!</v>
      </c>
      <c r="G176" s="166"/>
      <c r="H176" s="88"/>
      <c r="I176" s="89">
        <f>SUM(I162:I175)</f>
        <v>27990432.949999988</v>
      </c>
      <c r="J176" s="89">
        <f>SUM(J162:J175)</f>
        <v>0</v>
      </c>
      <c r="K176" s="89">
        <f>SUM(K162:K175)</f>
        <v>27990432.949999988</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-1787378.7600000054</v>
      </c>
      <c r="F178" s="19"/>
      <c r="G178" s="148"/>
      <c r="H178" s="19"/>
      <c r="I178" s="19">
        <f>+I176-I135</f>
        <v>-2067146.0400000215</v>
      </c>
      <c r="J178" s="19">
        <f>+J176-J135</f>
        <v>0</v>
      </c>
      <c r="K178" s="19">
        <f>+K176-K135</f>
        <v>-2067146.0400000066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-186352</v>
      </c>
      <c r="H182" s="19">
        <f>+H34+H52+H42+H44+H46+H48+H85+H57+H59+H15+H50+H66+H55</f>
        <v>0</v>
      </c>
      <c r="I182" s="19"/>
      <c r="J182" s="19"/>
      <c r="K182" s="19"/>
      <c r="M182" s="20"/>
      <c r="S182" s="18"/>
    </row>
    <row r="183" spans="1:19" hidden="1" x14ac:dyDescent="0.2">
      <c r="A183" s="100" t="s">
        <v>64</v>
      </c>
      <c r="B183" s="18"/>
      <c r="C183" s="18"/>
      <c r="D183" s="34" t="s">
        <v>64</v>
      </c>
      <c r="F183" s="19"/>
      <c r="G183" s="148">
        <f>+G9+G92+G10</f>
        <v>-38382.78</v>
      </c>
      <c r="H183" s="19">
        <f>+H9+H92+H10</f>
        <v>0</v>
      </c>
      <c r="I183" s="19"/>
      <c r="J183" s="19"/>
      <c r="K183" s="19"/>
      <c r="M183" s="20"/>
      <c r="S183" s="18"/>
    </row>
    <row r="184" spans="1:19" hidden="1" x14ac:dyDescent="0.2">
      <c r="A184" s="100" t="s">
        <v>65</v>
      </c>
      <c r="B184" s="18"/>
      <c r="C184" s="18"/>
      <c r="D184" s="34" t="s">
        <v>65</v>
      </c>
      <c r="F184" s="19"/>
      <c r="G184" s="148">
        <f>+G100+G101+G102+G103+G99+G104</f>
        <v>95440.980000000098</v>
      </c>
      <c r="H184" s="19">
        <f>+H100+H101+H102+H103+H99</f>
        <v>55373.1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-129293.7999999999</v>
      </c>
      <c r="H186" s="110">
        <f>+H182+H183+H184-H139</f>
        <v>55373.1</v>
      </c>
      <c r="I186" s="19"/>
      <c r="J186" s="19"/>
      <c r="K186" s="19"/>
      <c r="M186" s="20"/>
      <c r="S186" s="18"/>
    </row>
    <row r="187" spans="1:19" hidden="1" x14ac:dyDescent="0.2">
      <c r="B187" s="18"/>
      <c r="C187" s="18"/>
      <c r="F187" s="19"/>
      <c r="H187" s="29">
        <f>+H183+H184+H182+G182+G183+G184</f>
        <v>-73920.699999999895</v>
      </c>
      <c r="I187" s="19"/>
      <c r="J187" s="19"/>
      <c r="K187" s="19"/>
      <c r="M187" s="20"/>
      <c r="S187" s="18"/>
    </row>
    <row r="188" spans="1:19" hidden="1" x14ac:dyDescent="0.2">
      <c r="B188" s="18"/>
      <c r="C188" s="18"/>
      <c r="F188" s="19"/>
      <c r="G188" s="148"/>
      <c r="H188" s="29">
        <f>+H187-G139-H139</f>
        <v>-73920.699999999895</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22" zoomScale="80" zoomScaleNormal="80" workbookViewId="0">
      <selection activeCell="A79" sqref="A79"/>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3" t="s">
        <v>66</v>
      </c>
    </row>
    <row r="4" spans="1:22" x14ac:dyDescent="0.2">
      <c r="A4" s="99"/>
      <c r="B4" s="7"/>
      <c r="C4" s="3"/>
      <c r="D4" s="3"/>
      <c r="E4" s="212"/>
      <c r="F4" s="8"/>
      <c r="G4" s="215"/>
      <c r="H4" s="216"/>
      <c r="I4" s="202"/>
      <c r="J4" s="202"/>
      <c r="K4" s="202"/>
      <c r="M4" s="10"/>
      <c r="P4" s="243" t="s">
        <v>1</v>
      </c>
    </row>
    <row r="5" spans="1:22" x14ac:dyDescent="0.2">
      <c r="E5" s="217" t="s">
        <v>208</v>
      </c>
      <c r="F5" s="243" t="s">
        <v>3</v>
      </c>
      <c r="G5" s="243" t="s">
        <v>4</v>
      </c>
      <c r="H5" s="243"/>
      <c r="I5" s="204" t="s">
        <v>208</v>
      </c>
      <c r="J5" s="13" t="s">
        <v>180</v>
      </c>
      <c r="K5" s="204" t="s">
        <v>209</v>
      </c>
      <c r="L5" s="243" t="s">
        <v>5</v>
      </c>
      <c r="M5" s="11" t="s">
        <v>6</v>
      </c>
      <c r="N5" s="11" t="s">
        <v>0</v>
      </c>
      <c r="O5" s="11" t="s">
        <v>8</v>
      </c>
      <c r="P5" s="243" t="s">
        <v>9</v>
      </c>
      <c r="Q5" s="576" t="s">
        <v>10</v>
      </c>
      <c r="R5" s="576"/>
      <c r="U5" s="12" t="s">
        <v>11</v>
      </c>
    </row>
    <row r="6" spans="1:22" x14ac:dyDescent="0.2">
      <c r="E6" s="218">
        <v>42551</v>
      </c>
      <c r="F6" s="13" t="s">
        <v>12</v>
      </c>
      <c r="G6" s="14" t="s">
        <v>13</v>
      </c>
      <c r="H6" s="14" t="s">
        <v>8</v>
      </c>
      <c r="I6" s="205">
        <v>42582</v>
      </c>
      <c r="J6" s="13" t="s">
        <v>210</v>
      </c>
      <c r="K6" s="205">
        <f>I6</f>
        <v>42582</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Jun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Jun 2016'!$A$1:$I$252,9,FALSE)</f>
        <v>1793240.16</v>
      </c>
      <c r="F10" s="33">
        <v>0</v>
      </c>
      <c r="G10" s="33">
        <v>-1793240.16</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1793240.1599999988</v>
      </c>
      <c r="F12" s="29">
        <f t="shared" ref="F12:J12" si="0">SUM(F9:F10)</f>
        <v>0</v>
      </c>
      <c r="G12" s="29">
        <f t="shared" si="0"/>
        <v>-1793240.16</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Jun 2016'!$A$1:$I$252,9,FALSE)</f>
        <v>519207.81000000006</v>
      </c>
      <c r="F15" s="30">
        <v>0</v>
      </c>
      <c r="G15" s="33">
        <v>0</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Jun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32">
        <f>SUM(E15:E18)</f>
        <v>1959353.81</v>
      </c>
      <c r="F19" s="29">
        <f t="shared" ref="F19:J19" si="2">SUM(F15:F18)</f>
        <v>0</v>
      </c>
      <c r="G19" s="29">
        <f t="shared" si="2"/>
        <v>0</v>
      </c>
      <c r="H19" s="29">
        <f t="shared" si="2"/>
        <v>0</v>
      </c>
      <c r="I19" s="123">
        <f t="shared" si="2"/>
        <v>1959353.81</v>
      </c>
      <c r="J19" s="49">
        <f t="shared" si="2"/>
        <v>2884572.15</v>
      </c>
      <c r="K19" s="123">
        <f>SUM(K15:K18)</f>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Jun 2016'!$A$1:$I$252,9,FALSE)</f>
        <v>1588142.8100000017</v>
      </c>
      <c r="F22" s="33">
        <v>0</v>
      </c>
      <c r="G22" s="33">
        <v>0</v>
      </c>
      <c r="H22" s="33">
        <v>-22206.18</v>
      </c>
      <c r="I22" s="115">
        <f>E22+F22+G22+H22</f>
        <v>1565936.6300000018</v>
      </c>
      <c r="J22" s="33">
        <v>-266473.92</v>
      </c>
      <c r="K22" s="115">
        <f>I22+J22</f>
        <v>1299462.7100000018</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1588142.8100000017</v>
      </c>
      <c r="F24" s="29">
        <f t="shared" ref="F24:K24" si="3">SUM(F22:F23)</f>
        <v>0</v>
      </c>
      <c r="G24" s="29">
        <f t="shared" si="3"/>
        <v>0</v>
      </c>
      <c r="H24" s="29">
        <f t="shared" si="3"/>
        <v>-22206.18</v>
      </c>
      <c r="I24" s="123">
        <f t="shared" si="3"/>
        <v>1565936.6300000018</v>
      </c>
      <c r="J24" s="49">
        <f t="shared" si="3"/>
        <v>-266473.92</v>
      </c>
      <c r="K24" s="123">
        <f t="shared" si="3"/>
        <v>1299462.7100000018</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Jun 2016'!$A$1:$I$252,9,FALSE)</f>
        <v>2108487</v>
      </c>
      <c r="F27" s="33">
        <v>0</v>
      </c>
      <c r="G27" s="33">
        <v>23872</v>
      </c>
      <c r="H27" s="29">
        <v>0</v>
      </c>
      <c r="I27" s="115">
        <f>E27+F27+G27+H27</f>
        <v>2132359</v>
      </c>
      <c r="J27" s="33">
        <v>0</v>
      </c>
      <c r="K27" s="115">
        <f>I27+J27</f>
        <v>2132359</v>
      </c>
      <c r="L27" s="210" t="s">
        <v>22</v>
      </c>
      <c r="M27" s="226"/>
      <c r="S27" s="28" t="s">
        <v>23</v>
      </c>
    </row>
    <row r="28" spans="1:21" ht="13.5" customHeight="1" x14ac:dyDescent="0.2">
      <c r="A28" s="100" t="s">
        <v>80</v>
      </c>
      <c r="B28" s="28"/>
      <c r="C28" s="28" t="s">
        <v>24</v>
      </c>
      <c r="D28" s="4" t="s">
        <v>204</v>
      </c>
      <c r="E28" s="32">
        <f>VLOOKUP(A28,'DEK Jun 2016'!$A$1:$I$252,9,FALSE)</f>
        <v>3322707.2</v>
      </c>
      <c r="F28" s="33">
        <v>0</v>
      </c>
      <c r="G28" s="33">
        <v>-3787019</v>
      </c>
      <c r="H28" s="32">
        <v>0</v>
      </c>
      <c r="I28" s="115">
        <f>E28+F28+G28+H28</f>
        <v>-464311.79999999981</v>
      </c>
      <c r="J28" s="33">
        <v>0</v>
      </c>
      <c r="K28" s="115">
        <f>I28+J28</f>
        <v>-464311.79999999981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5431194.2000000002</v>
      </c>
      <c r="F30" s="44">
        <f t="shared" ref="F30:K30" si="4">SUM(F27:F28)</f>
        <v>0</v>
      </c>
      <c r="G30" s="33">
        <f t="shared" si="4"/>
        <v>-3763147</v>
      </c>
      <c r="H30" s="33">
        <f t="shared" si="4"/>
        <v>0</v>
      </c>
      <c r="I30" s="123">
        <f t="shared" si="4"/>
        <v>1668047.2000000002</v>
      </c>
      <c r="J30" s="33">
        <f t="shared" si="4"/>
        <v>0</v>
      </c>
      <c r="K30" s="123">
        <f t="shared" si="4"/>
        <v>1668047.2000000002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Jun 2016'!$A$1:$I$252,9,FALSE)</f>
        <v>2618098.2300000014</v>
      </c>
      <c r="F52" s="33">
        <v>0</v>
      </c>
      <c r="G52" s="33">
        <v>-413369.52</v>
      </c>
      <c r="H52" s="33">
        <v>0</v>
      </c>
      <c r="I52" s="115">
        <f>E52+F52+G52+H52</f>
        <v>2204728.7100000014</v>
      </c>
      <c r="J52" s="33">
        <v>-2618098.23</v>
      </c>
      <c r="K52" s="115">
        <f>I52+J52</f>
        <v>-413369.51999999862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Jun 2016'!$A$1:$I$252,9,FALSE)</f>
        <v>7101328</v>
      </c>
      <c r="F53" s="33">
        <v>0</v>
      </c>
      <c r="G53" s="33">
        <v>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Jun 2016'!$A$1:$I$252,9,FALSE)</f>
        <v>1500000</v>
      </c>
      <c r="F59" s="33">
        <v>0</v>
      </c>
      <c r="G59" s="33">
        <v>0</v>
      </c>
      <c r="H59" s="33">
        <v>0</v>
      </c>
      <c r="I59" s="115">
        <f>E59+F59+G59+H59</f>
        <v>1500000</v>
      </c>
      <c r="J59" s="33">
        <v>0</v>
      </c>
      <c r="K59" s="115">
        <f>I59+J59</f>
        <v>1500000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Jun 2016'!$A$1:$I$252,9,FALSE)</f>
        <v>19105641.439999998</v>
      </c>
      <c r="F67" s="172"/>
      <c r="G67" s="33">
        <v>562943.57999999996</v>
      </c>
      <c r="H67" s="172"/>
      <c r="I67" s="115">
        <f t="shared" si="5"/>
        <v>19668585.019999996</v>
      </c>
      <c r="J67" s="172"/>
      <c r="K67" s="115">
        <f t="shared" si="6"/>
        <v>19668585.019999996</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Jun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Jun 2016'!$A$1:$I$252,9,FALSE)</f>
        <v>6127464.0900000008</v>
      </c>
      <c r="F71" s="172"/>
      <c r="G71" s="33">
        <v>749141.03</v>
      </c>
      <c r="H71" s="33">
        <v>0</v>
      </c>
      <c r="I71" s="115">
        <f t="shared" si="5"/>
        <v>6876605.120000001</v>
      </c>
      <c r="J71" s="33"/>
      <c r="K71" s="115">
        <f t="shared" si="6"/>
        <v>6876605.120000001</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Jun 2016'!$A$1:$I$252,9,FALSE)</f>
        <v>-89032.91</v>
      </c>
      <c r="F73" s="172"/>
      <c r="G73" s="33">
        <v>-25122.6</v>
      </c>
      <c r="H73" s="33">
        <v>0</v>
      </c>
      <c r="I73" s="115">
        <f t="shared" si="5"/>
        <v>-114155.51000000001</v>
      </c>
      <c r="J73" s="33"/>
      <c r="K73" s="115">
        <f t="shared" si="6"/>
        <v>-114155.51000000001</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Jun 2016'!$A$1:$I$252,9,FALSE)</f>
        <v>6525352.6500000004</v>
      </c>
      <c r="F75" s="172"/>
      <c r="G75" s="33">
        <v>380452.84</v>
      </c>
      <c r="H75" s="33">
        <v>0</v>
      </c>
      <c r="I75" s="115">
        <f t="shared" ref="I75" si="7">E75+F75+G75+H75</f>
        <v>6905805.4900000002</v>
      </c>
      <c r="J75" s="33"/>
      <c r="K75" s="115">
        <f t="shared" ref="K75" si="8">I75+J75</f>
        <v>6905805.4900000002</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Jun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v>0</v>
      </c>
      <c r="F79" s="174"/>
      <c r="G79" s="36">
        <v>276457.53999999998</v>
      </c>
      <c r="H79" s="36">
        <v>0</v>
      </c>
      <c r="I79" s="116">
        <f t="shared" si="9"/>
        <v>276457.53999999998</v>
      </c>
      <c r="J79" s="36"/>
      <c r="K79" s="116">
        <f t="shared" si="10"/>
        <v>276457.53999999998</v>
      </c>
      <c r="M79" s="20"/>
      <c r="S79" s="18"/>
    </row>
    <row r="80" spans="1:19" x14ac:dyDescent="0.2">
      <c r="B80" s="54"/>
      <c r="C80" s="28"/>
      <c r="E80" s="32">
        <f>SUM(E42:E79)</f>
        <v>47801536.000000007</v>
      </c>
      <c r="F80" s="29">
        <f>SUM(F39:F65)+F36</f>
        <v>0</v>
      </c>
      <c r="G80" s="29">
        <f>SUM(G39:G79)+G36</f>
        <v>1530502.87</v>
      </c>
      <c r="H80" s="29">
        <f>SUM(H39:H79)+H36</f>
        <v>0</v>
      </c>
      <c r="I80" s="123">
        <f>SUM(I39:I79)+I36</f>
        <v>49332038.869999997</v>
      </c>
      <c r="J80" s="49">
        <f>SUM(J39:J79)+J36</f>
        <v>-2618098.23</v>
      </c>
      <c r="K80" s="123">
        <f>SUM(K39:K79)+K36</f>
        <v>46713940.640000001</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32">
        <f>VLOOKUP(A82,'DEK Jun 2016'!$A$1:$I$252,9,FALSE)</f>
        <v>2067146.04</v>
      </c>
      <c r="F82" s="29"/>
      <c r="G82" s="29">
        <v>-97068.05</v>
      </c>
      <c r="H82" s="29">
        <v>0</v>
      </c>
      <c r="I82" s="123">
        <f>E82+F82+G82+H82</f>
        <v>1970077.99</v>
      </c>
      <c r="J82" s="49">
        <v>0</v>
      </c>
      <c r="K82" s="123">
        <f t="shared" ref="K82" si="11">I82+J82</f>
        <v>1970077.99</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Jun 2016'!$A$1:$I$252,9,FALSE)</f>
        <v>24482466.440000001</v>
      </c>
      <c r="F86" s="30">
        <v>0</v>
      </c>
      <c r="G86" s="33">
        <v>-140031</v>
      </c>
      <c r="H86" s="30">
        <v>0</v>
      </c>
      <c r="I86" s="115">
        <f>E86+F86+G86+H86</f>
        <v>24342435.440000001</v>
      </c>
      <c r="J86" s="30">
        <v>0</v>
      </c>
      <c r="K86" s="115">
        <f t="shared" ref="K86:K88" si="12">I86+J86</f>
        <v>24342435.440000001</v>
      </c>
      <c r="L86" s="210" t="s">
        <v>22</v>
      </c>
      <c r="M86" s="20"/>
      <c r="P86" s="58"/>
      <c r="S86" s="18">
        <v>186801</v>
      </c>
    </row>
    <row r="87" spans="1:21" x14ac:dyDescent="0.2">
      <c r="A87" s="108" t="s">
        <v>171</v>
      </c>
      <c r="B87" s="28"/>
      <c r="C87" s="28" t="s">
        <v>122</v>
      </c>
      <c r="D87" s="4" t="s">
        <v>225</v>
      </c>
      <c r="E87" s="32">
        <f>VLOOKUP(A87,'DEK Jun 2016'!$A$1:$I$252,9,FALSE)</f>
        <v>2762541.55</v>
      </c>
      <c r="F87" s="30">
        <v>0</v>
      </c>
      <c r="G87" s="33">
        <v>-25398</v>
      </c>
      <c r="H87" s="30">
        <v>0</v>
      </c>
      <c r="I87" s="115">
        <f>E87+F87+G87+H87</f>
        <v>2737143.55</v>
      </c>
      <c r="J87" s="30">
        <v>0</v>
      </c>
      <c r="K87" s="115">
        <f t="shared" si="12"/>
        <v>2737143.55</v>
      </c>
      <c r="L87" s="210" t="s">
        <v>22</v>
      </c>
      <c r="M87" s="20"/>
      <c r="P87" s="58"/>
      <c r="S87" s="18"/>
    </row>
    <row r="88" spans="1:21" x14ac:dyDescent="0.2">
      <c r="A88" s="108" t="s">
        <v>172</v>
      </c>
      <c r="B88" s="28"/>
      <c r="C88" s="28" t="s">
        <v>123</v>
      </c>
      <c r="D88" s="4" t="s">
        <v>226</v>
      </c>
      <c r="E88" s="32">
        <f>VLOOKUP(A88,'DEK Jun 2016'!$A$1:$I$252,9,FALSE)</f>
        <v>49112.05</v>
      </c>
      <c r="F88" s="30">
        <v>0</v>
      </c>
      <c r="G88" s="33">
        <v>-392</v>
      </c>
      <c r="H88" s="30">
        <v>0</v>
      </c>
      <c r="I88" s="115">
        <f>E88+F88+G88+H88</f>
        <v>48720.05</v>
      </c>
      <c r="J88" s="30">
        <v>0</v>
      </c>
      <c r="K88" s="115">
        <f t="shared" si="12"/>
        <v>48720.05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27294120.040000003</v>
      </c>
      <c r="F90" s="29">
        <f t="shared" ref="F90:K90" si="13">SUM(F85:F89)</f>
        <v>0</v>
      </c>
      <c r="G90" s="29">
        <f>SUM(G85:G89)</f>
        <v>-165821</v>
      </c>
      <c r="H90" s="29">
        <f t="shared" si="13"/>
        <v>0</v>
      </c>
      <c r="I90" s="123">
        <f t="shared" si="13"/>
        <v>27128299.040000003</v>
      </c>
      <c r="J90" s="29">
        <f t="shared" si="13"/>
        <v>0</v>
      </c>
      <c r="K90" s="123">
        <f t="shared" si="13"/>
        <v>27128299.040000003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87934733.060000017</v>
      </c>
      <c r="F96" s="133">
        <f>+F12+F24+F30+F80+F90+F92+F19+F93</f>
        <v>0</v>
      </c>
      <c r="G96" s="133">
        <f>+G12+G24+G30+G80+G82+G90+G92+G19+G93</f>
        <v>-4288773.34</v>
      </c>
      <c r="H96" s="133">
        <f>+H12+H24+H30+H80+H82+H90+H92+H19+H93</f>
        <v>-22206.18</v>
      </c>
      <c r="I96" s="134">
        <f>+I12+I24+I30+I80+I82+I90+I92+I19+I93</f>
        <v>83623753.540000007</v>
      </c>
      <c r="J96" s="133">
        <f>+J12+J24+J30+J80+J82+J90+J92+J19+J93</f>
        <v>0</v>
      </c>
      <c r="K96" s="134">
        <f>+K12+K24+K30+K80+K82+K90+K92+K19+K93</f>
        <v>83623753.540000007</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Jun 2016'!$A$1:$I$252,9,FALSE)</f>
        <v>9.4951246865093708E-10</v>
      </c>
      <c r="F99" s="30">
        <v>0</v>
      </c>
      <c r="G99" s="33">
        <f>(156793.51+2210354.36)</f>
        <v>2367147.87</v>
      </c>
      <c r="H99" s="33">
        <v>-16324.07</v>
      </c>
      <c r="I99" s="115">
        <f t="shared" ref="I99:I104" si="15">E99+F99+G99+H99</f>
        <v>2350823.8000000012</v>
      </c>
      <c r="J99" s="30">
        <v>0</v>
      </c>
      <c r="K99" s="115">
        <f t="shared" ref="K99:K104" si="16">I99+J99</f>
        <v>2350823.8000000012</v>
      </c>
      <c r="L99" s="210" t="s">
        <v>22</v>
      </c>
      <c r="M99" s="33"/>
      <c r="N99" s="42"/>
      <c r="O99" s="42"/>
      <c r="S99" s="18">
        <v>191400</v>
      </c>
      <c r="T99" s="58"/>
    </row>
    <row r="100" spans="1:20" x14ac:dyDescent="0.2">
      <c r="A100" s="100" t="s">
        <v>115</v>
      </c>
      <c r="B100" s="18"/>
      <c r="C100" s="28" t="s">
        <v>53</v>
      </c>
      <c r="D100" s="4" t="s">
        <v>115</v>
      </c>
      <c r="E100" s="32">
        <f>VLOOKUP(A100,'DEK Jun 2016'!$A$1:$I$252,9,FALSE)</f>
        <v>0</v>
      </c>
      <c r="F100" s="30">
        <v>0</v>
      </c>
      <c r="G100" s="33">
        <v>-446840.87</v>
      </c>
      <c r="H100" s="33">
        <v>0</v>
      </c>
      <c r="I100" s="115">
        <f t="shared" si="15"/>
        <v>-446840.87</v>
      </c>
      <c r="J100" s="30">
        <v>0</v>
      </c>
      <c r="K100" s="115">
        <f t="shared" si="16"/>
        <v>-446840.87</v>
      </c>
      <c r="L100" s="210" t="s">
        <v>22</v>
      </c>
      <c r="M100" s="30"/>
      <c r="N100" s="42"/>
      <c r="O100" s="42"/>
      <c r="S100" s="18">
        <v>191800</v>
      </c>
      <c r="T100" s="58"/>
    </row>
    <row r="101" spans="1:20" ht="12.75" customHeight="1" x14ac:dyDescent="0.2">
      <c r="A101" s="100" t="s">
        <v>117</v>
      </c>
      <c r="B101" s="18"/>
      <c r="C101" s="28" t="s">
        <v>77</v>
      </c>
      <c r="D101" s="4" t="s">
        <v>117</v>
      </c>
      <c r="E101" s="32">
        <f>VLOOKUP(A101,'DEK Jun 2016'!$A$1:$I$252,9,FALSE)</f>
        <v>-208592.1</v>
      </c>
      <c r="F101" s="30">
        <v>0</v>
      </c>
      <c r="G101" s="30">
        <v>0</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Jun 2016'!$A$1:$I$252,9,FALSE)</f>
        <v>-634301.47000000044</v>
      </c>
      <c r="F102" s="30">
        <v>0</v>
      </c>
      <c r="G102" s="30">
        <v>-370919.38</v>
      </c>
      <c r="H102" s="33">
        <v>0</v>
      </c>
      <c r="I102" s="115">
        <f t="shared" si="15"/>
        <v>-1005220.8500000004</v>
      </c>
      <c r="J102" s="30">
        <v>0</v>
      </c>
      <c r="K102" s="115">
        <f t="shared" si="16"/>
        <v>-1005220.8500000004</v>
      </c>
      <c r="L102" s="210" t="s">
        <v>22</v>
      </c>
      <c r="M102" s="20"/>
      <c r="N102" s="42"/>
      <c r="O102" s="42"/>
      <c r="S102" s="18">
        <v>242997</v>
      </c>
      <c r="T102" s="58"/>
    </row>
    <row r="103" spans="1:20" x14ac:dyDescent="0.2">
      <c r="A103" s="100" t="s">
        <v>120</v>
      </c>
      <c r="B103" s="18"/>
      <c r="C103" s="28" t="s">
        <v>54</v>
      </c>
      <c r="D103" s="4" t="s">
        <v>120</v>
      </c>
      <c r="E103" s="32">
        <f>VLOOKUP(A103,'DEK Jun 2016'!$A$1:$I$252,9,FALSE)</f>
        <v>429698.95000000024</v>
      </c>
      <c r="F103" s="33">
        <v>0</v>
      </c>
      <c r="G103" s="33">
        <v>0</v>
      </c>
      <c r="H103" s="33">
        <v>-7668.1</v>
      </c>
      <c r="I103" s="115">
        <f t="shared" si="15"/>
        <v>422030.85000000027</v>
      </c>
      <c r="J103" s="33">
        <v>0</v>
      </c>
      <c r="K103" s="115">
        <f t="shared" si="16"/>
        <v>422030.85000000027</v>
      </c>
      <c r="L103" s="210" t="s">
        <v>22</v>
      </c>
      <c r="M103" s="42"/>
      <c r="N103" s="42"/>
      <c r="O103" s="42"/>
      <c r="S103" s="18">
        <v>253130</v>
      </c>
      <c r="T103" s="58"/>
    </row>
    <row r="104" spans="1:20" x14ac:dyDescent="0.2">
      <c r="A104" s="100" t="s">
        <v>156</v>
      </c>
      <c r="B104" s="18"/>
      <c r="C104" s="28" t="s">
        <v>116</v>
      </c>
      <c r="D104" s="4" t="s">
        <v>211</v>
      </c>
      <c r="E104" s="32">
        <f>VLOOKUP(A104,'DEK Jun 2016'!$A$1:$I$252,9,FALSE)</f>
        <v>-1963339.6099999996</v>
      </c>
      <c r="F104" s="33"/>
      <c r="G104" s="33">
        <v>97358.7</v>
      </c>
      <c r="H104" s="33">
        <v>0</v>
      </c>
      <c r="I104" s="115">
        <f t="shared" si="15"/>
        <v>-1865980.9099999997</v>
      </c>
      <c r="J104" s="30">
        <v>0</v>
      </c>
      <c r="K104" s="115">
        <f t="shared" si="16"/>
        <v>-1865980.9099999997</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-2376534.2299999991</v>
      </c>
      <c r="F106" s="33">
        <f t="shared" si="17"/>
        <v>0</v>
      </c>
      <c r="G106" s="33">
        <f t="shared" si="17"/>
        <v>1646746.32</v>
      </c>
      <c r="H106" s="33">
        <f t="shared" si="17"/>
        <v>-23992.17</v>
      </c>
      <c r="I106" s="123">
        <f t="shared" si="17"/>
        <v>-753780.07999999891</v>
      </c>
      <c r="J106" s="33">
        <f t="shared" si="17"/>
        <v>0</v>
      </c>
      <c r="K106" s="123">
        <f t="shared" si="17"/>
        <v>-753780.07999999891</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Jun 2016'!$A$1:$I$252,9,FALSE)</f>
        <v>-4662353.7300000004</v>
      </c>
      <c r="F114" s="30">
        <v>0</v>
      </c>
      <c r="G114" s="33">
        <v>45859</v>
      </c>
      <c r="H114" s="33">
        <v>0</v>
      </c>
      <c r="I114" s="123">
        <f>E114+G114+H114+F114</f>
        <v>-4616494.7300000004</v>
      </c>
      <c r="J114" s="91">
        <v>0</v>
      </c>
      <c r="K114" s="123">
        <f>I114+J114</f>
        <v>-4616494.7300000004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Jun 2016'!$A$1:$I$252,9,FALSE)</f>
        <v>-3791681</v>
      </c>
      <c r="F117" s="30">
        <v>0</v>
      </c>
      <c r="G117" s="33">
        <v>3791681</v>
      </c>
      <c r="H117" s="33">
        <v>0</v>
      </c>
      <c r="I117" s="115">
        <f>E117+F117+G117+H117</f>
        <v>0</v>
      </c>
      <c r="J117" s="30">
        <v>0</v>
      </c>
      <c r="K117" s="115">
        <f t="shared" ref="K117:K119" si="19">I117+J117</f>
        <v>0</v>
      </c>
      <c r="M117" s="62"/>
      <c r="P117" s="51"/>
      <c r="Q117" s="18"/>
      <c r="R117" s="58"/>
      <c r="S117" s="18">
        <v>254998</v>
      </c>
    </row>
    <row r="118" spans="1:23" x14ac:dyDescent="0.2">
      <c r="A118" s="100" t="s">
        <v>179</v>
      </c>
      <c r="B118" s="18"/>
      <c r="C118" s="28" t="s">
        <v>47</v>
      </c>
      <c r="D118" s="4" t="s">
        <v>196</v>
      </c>
      <c r="E118" s="32">
        <f>VLOOKUP(A118,'DEK Jun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Jun 2016'!$A$1:$I$252,9,FALSE)</f>
        <v>-15050.760000000004</v>
      </c>
      <c r="F119" s="30">
        <v>0</v>
      </c>
      <c r="G119" s="33">
        <v>51.54</v>
      </c>
      <c r="H119" s="33">
        <v>0</v>
      </c>
      <c r="I119" s="117">
        <f>E119+F119+G119+H119</f>
        <v>-14999.220000000003</v>
      </c>
      <c r="J119" s="30">
        <v>0</v>
      </c>
      <c r="K119" s="117">
        <f t="shared" si="19"/>
        <v>-14999.220000000003</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-3806731.76</v>
      </c>
      <c r="F121" s="30">
        <f t="shared" ref="F121:K121" si="21">SUM(F117:F120)</f>
        <v>0</v>
      </c>
      <c r="G121" s="30">
        <f t="shared" si="21"/>
        <v>3791732.54</v>
      </c>
      <c r="H121" s="30">
        <f t="shared" si="21"/>
        <v>0</v>
      </c>
      <c r="I121" s="122">
        <f t="shared" si="21"/>
        <v>-14999.220000000003</v>
      </c>
      <c r="J121" s="30">
        <f t="shared" si="21"/>
        <v>0</v>
      </c>
      <c r="K121" s="122">
        <f t="shared" si="21"/>
        <v>-14999.220000000003</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Jun 2016'!$A$1:$I$252,9,FALSE)</f>
        <v>-18479019.930000007</v>
      </c>
      <c r="F123" s="30">
        <v>0</v>
      </c>
      <c r="G123" s="30">
        <v>529512.68000000005</v>
      </c>
      <c r="H123" s="30">
        <v>0</v>
      </c>
      <c r="I123" s="115">
        <f t="shared" ref="I123:I129" si="22">E123+F123+G123+H123</f>
        <v>-17949507.250000007</v>
      </c>
      <c r="J123" s="30">
        <v>0</v>
      </c>
      <c r="K123" s="115">
        <f t="shared" ref="K123:K129" si="23">I123+J123</f>
        <v>-17949507.250000007</v>
      </c>
      <c r="L123" s="210" t="s">
        <v>241</v>
      </c>
      <c r="M123" s="20"/>
      <c r="N123" s="42"/>
      <c r="O123" s="42"/>
      <c r="Q123" s="243">
        <v>75086</v>
      </c>
      <c r="R123" s="58" t="s">
        <v>44</v>
      </c>
      <c r="S123" s="18">
        <v>108201</v>
      </c>
      <c r="T123" s="58"/>
    </row>
    <row r="124" spans="1:23" x14ac:dyDescent="0.2">
      <c r="A124" s="100" t="s">
        <v>166</v>
      </c>
      <c r="B124" s="18"/>
      <c r="C124" s="28" t="s">
        <v>45</v>
      </c>
      <c r="D124" s="4" t="s">
        <v>198</v>
      </c>
      <c r="E124" s="32">
        <f>VLOOKUP(A124,'DEK Jun 2016'!$A$1:$I$252,9,FALSE)</f>
        <v>-48347957.879999995</v>
      </c>
      <c r="F124" s="30">
        <v>0</v>
      </c>
      <c r="G124" s="30">
        <v>-51685.02</v>
      </c>
      <c r="H124" s="30">
        <v>0</v>
      </c>
      <c r="I124" s="115">
        <f t="shared" si="22"/>
        <v>-48399642.899999999</v>
      </c>
      <c r="J124" s="30">
        <v>0</v>
      </c>
      <c r="K124" s="115">
        <f t="shared" si="23"/>
        <v>-48399642.899999999</v>
      </c>
      <c r="L124" s="210" t="s">
        <v>242</v>
      </c>
      <c r="M124" s="20"/>
      <c r="N124" s="42"/>
      <c r="O124" s="42"/>
      <c r="R124" s="58" t="s">
        <v>44</v>
      </c>
      <c r="S124" s="18">
        <v>108301</v>
      </c>
      <c r="T124" s="58"/>
    </row>
    <row r="125" spans="1:23" x14ac:dyDescent="0.2">
      <c r="A125" s="100" t="s">
        <v>167</v>
      </c>
      <c r="B125" s="18"/>
      <c r="C125" s="28" t="s">
        <v>46</v>
      </c>
      <c r="D125" s="4" t="s">
        <v>199</v>
      </c>
      <c r="E125" s="32">
        <f>VLOOKUP(A125,'DEK Jun 2016'!$A$1:$I$252,9,FALSE)</f>
        <v>12657480.589999998</v>
      </c>
      <c r="F125" s="30">
        <v>0</v>
      </c>
      <c r="G125" s="30">
        <v>-68865.05</v>
      </c>
      <c r="H125" s="30">
        <v>0</v>
      </c>
      <c r="I125" s="115">
        <f t="shared" si="22"/>
        <v>12588615.539999997</v>
      </c>
      <c r="J125" s="30">
        <v>0</v>
      </c>
      <c r="K125" s="115">
        <f>I125+J125</f>
        <v>12588615.539999997</v>
      </c>
      <c r="L125" s="210" t="s">
        <v>242</v>
      </c>
      <c r="M125" s="20"/>
      <c r="N125" s="42"/>
      <c r="O125" s="42"/>
      <c r="S125" s="18">
        <v>108410</v>
      </c>
      <c r="T125" s="58"/>
    </row>
    <row r="126" spans="1:23" x14ac:dyDescent="0.2">
      <c r="A126" s="100" t="s">
        <v>168</v>
      </c>
      <c r="B126" s="18"/>
      <c r="C126" s="28" t="s">
        <v>74</v>
      </c>
      <c r="D126" s="4" t="s">
        <v>217</v>
      </c>
      <c r="E126" s="32">
        <f>VLOOKUP(A126,'DEK Jun 2016'!$A$1:$I$252,9,FALSE)</f>
        <v>2400242.3400000003</v>
      </c>
      <c r="F126" s="30">
        <v>0</v>
      </c>
      <c r="G126" s="30">
        <v>21724.98</v>
      </c>
      <c r="H126" s="30">
        <v>0</v>
      </c>
      <c r="I126" s="115">
        <f t="shared" si="22"/>
        <v>2421967.3200000003</v>
      </c>
      <c r="J126" s="30">
        <v>0</v>
      </c>
      <c r="K126" s="115">
        <f>I126+J126</f>
        <v>2421967.3200000003</v>
      </c>
      <c r="M126" s="20"/>
      <c r="N126" s="42"/>
      <c r="O126" s="42"/>
      <c r="Q126" s="4" t="s">
        <v>50</v>
      </c>
      <c r="R126" s="4" t="s">
        <v>51</v>
      </c>
      <c r="S126" s="18">
        <v>182303</v>
      </c>
      <c r="T126" s="58"/>
    </row>
    <row r="127" spans="1:23" x14ac:dyDescent="0.2">
      <c r="A127" s="100" t="s">
        <v>169</v>
      </c>
      <c r="B127" s="18"/>
      <c r="C127" s="28" t="s">
        <v>49</v>
      </c>
      <c r="D127" s="4" t="s">
        <v>218</v>
      </c>
      <c r="E127" s="32">
        <f>VLOOKUP(A127,'DEK Jun 2016'!$A$1:$I$252,9,FALSE)</f>
        <v>4465459.0000000009</v>
      </c>
      <c r="F127" s="30">
        <v>0</v>
      </c>
      <c r="G127" s="30">
        <v>26138.98</v>
      </c>
      <c r="H127" s="30">
        <v>0</v>
      </c>
      <c r="I127" s="115">
        <f t="shared" si="22"/>
        <v>4491597.9800000014</v>
      </c>
      <c r="J127" s="30">
        <v>0</v>
      </c>
      <c r="K127" s="115">
        <f t="shared" si="23"/>
        <v>4491597.9800000014</v>
      </c>
      <c r="M127" s="20"/>
      <c r="N127" s="42"/>
      <c r="O127" s="42"/>
      <c r="Q127" s="4" t="s">
        <v>50</v>
      </c>
      <c r="S127" s="18">
        <v>182304</v>
      </c>
      <c r="T127" s="58"/>
    </row>
    <row r="128" spans="1:23" x14ac:dyDescent="0.2">
      <c r="A128" s="100" t="s">
        <v>170</v>
      </c>
      <c r="B128" s="18"/>
      <c r="C128" s="28" t="s">
        <v>42</v>
      </c>
      <c r="D128" s="4" t="s">
        <v>200</v>
      </c>
      <c r="E128" s="32">
        <f>VLOOKUP(A128,'DEK Jun 2016'!$A$1:$I$252,9,FALSE)</f>
        <v>-176491.07000000009</v>
      </c>
      <c r="F128" s="30">
        <v>0</v>
      </c>
      <c r="G128" s="30">
        <v>-13881.54</v>
      </c>
      <c r="H128" s="30">
        <v>0</v>
      </c>
      <c r="I128" s="115">
        <f t="shared" si="22"/>
        <v>-190372.6100000001</v>
      </c>
      <c r="J128" s="30">
        <v>0</v>
      </c>
      <c r="K128" s="115">
        <f t="shared" si="23"/>
        <v>-190372.6100000001</v>
      </c>
      <c r="L128" s="210" t="s">
        <v>241</v>
      </c>
      <c r="M128" s="20"/>
      <c r="N128" s="42"/>
      <c r="O128" s="42"/>
      <c r="R128" s="58" t="s">
        <v>44</v>
      </c>
      <c r="S128" s="18">
        <v>108101</v>
      </c>
      <c r="T128" s="58"/>
    </row>
    <row r="129" spans="1:22" x14ac:dyDescent="0.2">
      <c r="A129" s="100" t="s">
        <v>272</v>
      </c>
      <c r="B129" s="18"/>
      <c r="C129" s="28" t="s">
        <v>271</v>
      </c>
      <c r="D129" s="4" t="s">
        <v>272</v>
      </c>
      <c r="E129" s="32">
        <f>VLOOKUP(A129,'DEK Jun 2016'!$A$1:$I$252,9,FALSE)</f>
        <v>448752.6</v>
      </c>
      <c r="F129" s="30">
        <v>0</v>
      </c>
      <c r="G129" s="30">
        <v>-43001.33</v>
      </c>
      <c r="H129" s="30">
        <v>0</v>
      </c>
      <c r="I129" s="115">
        <f t="shared" si="22"/>
        <v>405751.26999999996</v>
      </c>
      <c r="J129" s="30">
        <v>0</v>
      </c>
      <c r="K129" s="115">
        <f t="shared" si="23"/>
        <v>405751.26999999996</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-47031534.350000001</v>
      </c>
      <c r="F131" s="33">
        <f t="shared" si="24"/>
        <v>0</v>
      </c>
      <c r="G131" s="33">
        <f t="shared" si="24"/>
        <v>399943.7</v>
      </c>
      <c r="H131" s="33">
        <f t="shared" si="24"/>
        <v>0</v>
      </c>
      <c r="I131" s="123">
        <f t="shared" si="24"/>
        <v>-46631590.649999999</v>
      </c>
      <c r="J131" s="33">
        <f t="shared" si="24"/>
        <v>0</v>
      </c>
      <c r="K131" s="123">
        <f t="shared" si="24"/>
        <v>-46631590.649999999</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-57877154.07</v>
      </c>
      <c r="F133" s="133">
        <f t="shared" ref="F133:H133" si="25">+F106+F114+F121+F131+F111</f>
        <v>0</v>
      </c>
      <c r="G133" s="133">
        <f t="shared" si="25"/>
        <v>5884281.5600000005</v>
      </c>
      <c r="H133" s="133">
        <f t="shared" si="25"/>
        <v>-23992.17</v>
      </c>
      <c r="I133" s="134">
        <f>+I106+I114+I121+I131+I111</f>
        <v>-52016864.68</v>
      </c>
      <c r="J133" s="133">
        <f>+J106+J114+J121+J131+J111</f>
        <v>0</v>
      </c>
      <c r="K133" s="134">
        <f>+K106+K114+K121+K131+K111</f>
        <v>-52016864.68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30057578.990000017</v>
      </c>
      <c r="F135" s="137">
        <f>F133+F96</f>
        <v>0</v>
      </c>
      <c r="G135" s="137">
        <f>G133+G96</f>
        <v>1595508.2200000007</v>
      </c>
      <c r="H135" s="137">
        <f>H133+H96</f>
        <v>-46198.35</v>
      </c>
      <c r="I135" s="138">
        <f>I96+I133</f>
        <v>31606888.860000007</v>
      </c>
      <c r="J135" s="137">
        <f>J133+J96</f>
        <v>0</v>
      </c>
      <c r="K135" s="138">
        <f>K96+K133</f>
        <v>31606888.860000007</v>
      </c>
      <c r="L135" s="50">
        <v>0</v>
      </c>
      <c r="M135" s="70"/>
      <c r="N135" s="70"/>
      <c r="O135" s="70"/>
      <c r="P135" s="50"/>
      <c r="Q135" s="50"/>
      <c r="R135" s="50"/>
      <c r="S135" s="18"/>
      <c r="T135" s="29">
        <f>+G135+H135+F135</f>
        <v>1549309.8700000006</v>
      </c>
      <c r="U135" s="19">
        <v>13111056.41</v>
      </c>
      <c r="V135" s="29">
        <f>+T135-U135</f>
        <v>-11561746.539999999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61800.949999999779</v>
      </c>
      <c r="H137" s="139">
        <f>-H128-H123-H124-H125-H126-H127-H86-H16-H117-H30-H22-H53-H119-H87-H88-H114-H118-H52</f>
        <v>22206.18</v>
      </c>
      <c r="I137" s="74"/>
      <c r="J137" s="74"/>
      <c r="K137" s="74"/>
      <c r="M137" s="76"/>
      <c r="N137" s="77"/>
      <c r="O137" s="77"/>
      <c r="S137" s="18"/>
    </row>
    <row r="138" spans="1:22" ht="12.75" customHeight="1" x14ac:dyDescent="0.2">
      <c r="A138" s="107"/>
      <c r="B138" s="18"/>
      <c r="C138" s="18"/>
      <c r="D138" s="72"/>
      <c r="E138" s="224"/>
      <c r="F138" s="50"/>
      <c r="G138" s="185">
        <f>G135+H135</f>
        <v>1549309.8700000006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1633317.0000000002</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1793240.1599999988</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1959353.81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1588142.8100000017</v>
      </c>
      <c r="F165" s="32">
        <f t="shared" si="26"/>
        <v>0</v>
      </c>
      <c r="G165" s="165"/>
      <c r="H165" s="83"/>
      <c r="I165" s="84">
        <f>+I24</f>
        <v>1565936.6300000018</v>
      </c>
      <c r="J165" s="84">
        <f>+J24</f>
        <v>-266473.92</v>
      </c>
      <c r="K165" s="84">
        <f>+K24</f>
        <v>1299462.7100000018</v>
      </c>
      <c r="M165" s="20"/>
      <c r="S165" s="18"/>
    </row>
    <row r="166" spans="1:19" hidden="1" x14ac:dyDescent="0.2">
      <c r="A166" s="109" t="s">
        <v>61</v>
      </c>
      <c r="B166" s="18"/>
      <c r="C166" s="18"/>
      <c r="D166" s="82" t="s">
        <v>61</v>
      </c>
      <c r="E166" s="32">
        <f>+E30</f>
        <v>5431194.2000000002</v>
      </c>
      <c r="F166" s="32">
        <f t="shared" si="26"/>
        <v>0</v>
      </c>
      <c r="G166" s="157"/>
      <c r="H166" s="32"/>
      <c r="I166" s="84">
        <f>+I30</f>
        <v>1668047.2000000002</v>
      </c>
      <c r="J166" s="84">
        <f>+J30</f>
        <v>0</v>
      </c>
      <c r="K166" s="84">
        <f>+K30</f>
        <v>1668047.2000000002</v>
      </c>
      <c r="M166" s="20"/>
      <c r="S166" s="18"/>
    </row>
    <row r="167" spans="1:19" hidden="1" x14ac:dyDescent="0.2">
      <c r="A167" s="109" t="s">
        <v>143</v>
      </c>
      <c r="B167" s="18"/>
      <c r="C167" s="18"/>
      <c r="D167" s="82" t="s">
        <v>143</v>
      </c>
      <c r="E167" s="32">
        <f>+E80</f>
        <v>47801536.000000007</v>
      </c>
      <c r="F167" s="32">
        <f t="shared" si="26"/>
        <v>0</v>
      </c>
      <c r="G167" s="157"/>
      <c r="H167" s="32"/>
      <c r="I167" s="84">
        <f>+I80</f>
        <v>49332038.869999997</v>
      </c>
      <c r="J167" s="84">
        <f>+J80</f>
        <v>-2618098.23</v>
      </c>
      <c r="K167" s="84">
        <f>+K80</f>
        <v>46713940.640000001</v>
      </c>
      <c r="M167" s="20"/>
      <c r="S167" s="18"/>
    </row>
    <row r="168" spans="1:19" hidden="1" x14ac:dyDescent="0.2">
      <c r="A168" s="109" t="s">
        <v>151</v>
      </c>
      <c r="B168" s="18"/>
      <c r="C168" s="18"/>
      <c r="D168" s="82" t="s">
        <v>151</v>
      </c>
      <c r="E168" s="32">
        <f>+E90</f>
        <v>27294120.040000003</v>
      </c>
      <c r="F168" s="32">
        <f t="shared" si="26"/>
        <v>0</v>
      </c>
      <c r="G168" s="157"/>
      <c r="H168" s="32"/>
      <c r="I168" s="84">
        <f>+I90</f>
        <v>27128299.040000003</v>
      </c>
      <c r="J168" s="84">
        <f>+J90</f>
        <v>0</v>
      </c>
      <c r="K168" s="84">
        <f>+K90</f>
        <v>27128299.040000003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-2376534.2299999991</v>
      </c>
      <c r="F170" s="32" t="e">
        <f>+F100+#REF!</f>
        <v>#REF!</v>
      </c>
      <c r="G170" s="157"/>
      <c r="H170" s="32"/>
      <c r="I170" s="84">
        <f>+I106</f>
        <v>-753780.07999999891</v>
      </c>
      <c r="J170" s="84">
        <f>+J106</f>
        <v>0</v>
      </c>
      <c r="K170" s="84">
        <f>+K106</f>
        <v>-753780.07999999891</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-4662353.7300000004</v>
      </c>
      <c r="F172" s="32" t="e">
        <f>+#REF!+#REF!</f>
        <v>#REF!</v>
      </c>
      <c r="G172" s="157"/>
      <c r="H172" s="32"/>
      <c r="I172" s="84">
        <f>+I114</f>
        <v>-4616494.7300000004</v>
      </c>
      <c r="J172" s="84">
        <f>+J114</f>
        <v>0</v>
      </c>
      <c r="K172" s="84">
        <f>+K114</f>
        <v>-4616494.7300000004</v>
      </c>
      <c r="M172" s="20"/>
      <c r="S172" s="18"/>
    </row>
    <row r="173" spans="1:19" hidden="1" x14ac:dyDescent="0.2">
      <c r="A173" s="109" t="s">
        <v>153</v>
      </c>
      <c r="B173" s="18"/>
      <c r="C173" s="18"/>
      <c r="D173" s="82" t="s">
        <v>153</v>
      </c>
      <c r="E173" s="32">
        <f>+E121</f>
        <v>-3806731.76</v>
      </c>
      <c r="F173" s="32" t="e">
        <f>+#REF!+F101</f>
        <v>#REF!</v>
      </c>
      <c r="G173" s="157"/>
      <c r="H173" s="32"/>
      <c r="I173" s="84">
        <f>+I121</f>
        <v>-14999.220000000003</v>
      </c>
      <c r="J173" s="84">
        <f>+J121</f>
        <v>0</v>
      </c>
      <c r="K173" s="84">
        <f>+K121</f>
        <v>-14999.220000000003</v>
      </c>
      <c r="M173" s="20"/>
      <c r="S173" s="18"/>
    </row>
    <row r="174" spans="1:19" hidden="1" x14ac:dyDescent="0.2">
      <c r="A174" s="109" t="s">
        <v>155</v>
      </c>
      <c r="B174" s="18"/>
      <c r="C174" s="18"/>
      <c r="D174" s="82" t="s">
        <v>155</v>
      </c>
      <c r="E174" s="32">
        <f>+E131</f>
        <v>-47031534.350000001</v>
      </c>
      <c r="F174" s="32">
        <f t="shared" ref="F174" si="27">+F101+F102</f>
        <v>0</v>
      </c>
      <c r="G174" s="157"/>
      <c r="H174" s="32"/>
      <c r="I174" s="84">
        <f>+I131</f>
        <v>-46631590.649999999</v>
      </c>
      <c r="J174" s="84">
        <f>+J131</f>
        <v>0</v>
      </c>
      <c r="K174" s="84">
        <f>+K131</f>
        <v>-46631590.649999999</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27990432.949999996</v>
      </c>
      <c r="F176" s="88" t="e">
        <f>SUM(F166:F175)</f>
        <v>#REF!</v>
      </c>
      <c r="G176" s="166"/>
      <c r="H176" s="88"/>
      <c r="I176" s="89">
        <f>SUM(I162:I175)</f>
        <v>29636810.869999997</v>
      </c>
      <c r="J176" s="89">
        <f>SUM(J162:J175)</f>
        <v>0</v>
      </c>
      <c r="K176" s="89">
        <f>SUM(K162:K175)</f>
        <v>29636810.870000012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-2067146.0400000215</v>
      </c>
      <c r="F178" s="19"/>
      <c r="G178" s="148"/>
      <c r="H178" s="19"/>
      <c r="I178" s="19">
        <f>+I176-I135</f>
        <v>-1970077.9900000095</v>
      </c>
      <c r="J178" s="19">
        <f>+J176-J135</f>
        <v>0</v>
      </c>
      <c r="K178" s="19">
        <f>+K176-K135</f>
        <v>-1970077.9899999946</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-1793240.16</v>
      </c>
      <c r="H183" s="19">
        <f>+H9+H92+H10</f>
        <v>0</v>
      </c>
      <c r="I183" s="19"/>
      <c r="J183" s="19"/>
      <c r="K183" s="19"/>
      <c r="M183" s="20"/>
      <c r="S183" s="18"/>
    </row>
    <row r="184" spans="1:19" hidden="1" x14ac:dyDescent="0.2">
      <c r="A184" s="100" t="s">
        <v>65</v>
      </c>
      <c r="B184" s="18"/>
      <c r="C184" s="18"/>
      <c r="D184" s="34" t="s">
        <v>65</v>
      </c>
      <c r="F184" s="19"/>
      <c r="G184" s="148">
        <f>+G100+G101+G102+G103+G99+G104</f>
        <v>1646746.32</v>
      </c>
      <c r="H184" s="19">
        <f>+H100+H101+H102+H103+H99</f>
        <v>-23992.17</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-146493.83999999985</v>
      </c>
      <c r="H186" s="110">
        <f>+H182+H183+H184-H139</f>
        <v>-23992.17</v>
      </c>
      <c r="I186" s="19"/>
      <c r="J186" s="19"/>
      <c r="K186" s="19"/>
      <c r="M186" s="20"/>
      <c r="S186" s="18"/>
    </row>
    <row r="187" spans="1:19" hidden="1" x14ac:dyDescent="0.2">
      <c r="B187" s="18"/>
      <c r="C187" s="18"/>
      <c r="F187" s="19"/>
      <c r="H187" s="29">
        <f>+H183+H184+H182+G182+G183+G184</f>
        <v>-170486.00999999978</v>
      </c>
      <c r="I187" s="19"/>
      <c r="J187" s="19"/>
      <c r="K187" s="19"/>
      <c r="M187" s="20"/>
      <c r="S187" s="18"/>
    </row>
    <row r="188" spans="1:19" hidden="1" x14ac:dyDescent="0.2">
      <c r="B188" s="18"/>
      <c r="C188" s="18"/>
      <c r="F188" s="19"/>
      <c r="G188" s="148"/>
      <c r="H188" s="29">
        <f>+H187-G139-H139</f>
        <v>-170486.00999999978</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zoomScale="80" zoomScaleNormal="80" workbookViewId="0">
      <selection activeCell="D77" sqref="D77"/>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8" t="s">
        <v>66</v>
      </c>
    </row>
    <row r="4" spans="1:22" x14ac:dyDescent="0.2">
      <c r="A4" s="99"/>
      <c r="B4" s="7"/>
      <c r="C4" s="3"/>
      <c r="D4" s="3"/>
      <c r="E4" s="212"/>
      <c r="F4" s="8"/>
      <c r="G4" s="215"/>
      <c r="H4" s="216"/>
      <c r="I4" s="202"/>
      <c r="J4" s="202"/>
      <c r="K4" s="202"/>
      <c r="M4" s="10"/>
      <c r="P4" s="248" t="s">
        <v>1</v>
      </c>
    </row>
    <row r="5" spans="1:22" x14ac:dyDescent="0.2">
      <c r="E5" s="217" t="s">
        <v>208</v>
      </c>
      <c r="F5" s="248" t="s">
        <v>3</v>
      </c>
      <c r="G5" s="248" t="s">
        <v>4</v>
      </c>
      <c r="H5" s="248"/>
      <c r="I5" s="204" t="s">
        <v>208</v>
      </c>
      <c r="J5" s="13" t="s">
        <v>180</v>
      </c>
      <c r="K5" s="204" t="s">
        <v>209</v>
      </c>
      <c r="L5" s="248" t="s">
        <v>5</v>
      </c>
      <c r="M5" s="11" t="s">
        <v>6</v>
      </c>
      <c r="N5" s="11" t="s">
        <v>0</v>
      </c>
      <c r="O5" s="11" t="s">
        <v>8</v>
      </c>
      <c r="P5" s="248" t="s">
        <v>9</v>
      </c>
      <c r="Q5" s="576" t="s">
        <v>10</v>
      </c>
      <c r="R5" s="576"/>
      <c r="U5" s="12" t="s">
        <v>11</v>
      </c>
    </row>
    <row r="6" spans="1:22" x14ac:dyDescent="0.2">
      <c r="E6" s="218">
        <v>42581</v>
      </c>
      <c r="F6" s="13" t="s">
        <v>12</v>
      </c>
      <c r="G6" s="14" t="s">
        <v>13</v>
      </c>
      <c r="H6" s="14" t="s">
        <v>8</v>
      </c>
      <c r="I6" s="205">
        <v>42613</v>
      </c>
      <c r="J6" s="13" t="s">
        <v>210</v>
      </c>
      <c r="K6" s="205">
        <f>I6</f>
        <v>42613</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Jul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Jul 2016'!$A$1:$I$252,9,FALSE)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-1.1496013030409813E-9</v>
      </c>
      <c r="F12" s="29">
        <f t="shared" ref="F12:J12" si="0">SUM(F9:F10)</f>
        <v>0</v>
      </c>
      <c r="G12" s="29">
        <f t="shared" si="0"/>
        <v>0</v>
      </c>
      <c r="H12" s="29">
        <f t="shared" si="0"/>
        <v>0</v>
      </c>
      <c r="I12" s="117">
        <f t="shared" si="0"/>
        <v>-1.1496013030409813E-9</v>
      </c>
      <c r="J12" s="29">
        <f t="shared" si="0"/>
        <v>0</v>
      </c>
      <c r="K12" s="117">
        <f>SUM(K9:K10)</f>
        <v>-1.1496013030409813E-9</v>
      </c>
      <c r="L12" s="231"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Jul 2016'!$A$1:$I$252,9,FALSE)</f>
        <v>519207.81000000006</v>
      </c>
      <c r="F15" s="30">
        <v>0</v>
      </c>
      <c r="G15" s="33">
        <v>0</v>
      </c>
      <c r="H15" s="30">
        <v>0</v>
      </c>
      <c r="I15" s="115">
        <f>E15+F15+G15+H15</f>
        <v>519207.81000000006</v>
      </c>
      <c r="J15" s="30">
        <v>0</v>
      </c>
      <c r="K15" s="115">
        <f>I15+J15</f>
        <v>519207.81000000006</v>
      </c>
      <c r="L15" s="210" t="s">
        <v>22</v>
      </c>
      <c r="M15" s="20"/>
      <c r="S15" s="18"/>
    </row>
    <row r="16" spans="1:22" x14ac:dyDescent="0.2">
      <c r="A16" s="100" t="s">
        <v>157</v>
      </c>
      <c r="B16" s="28"/>
      <c r="C16" s="28" t="s">
        <v>37</v>
      </c>
      <c r="D16" s="4" t="s">
        <v>192</v>
      </c>
      <c r="E16" s="32">
        <f>VLOOKUP(A16,'DEK Jul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2884572.15</v>
      </c>
      <c r="K17" s="115">
        <f t="shared" ref="K17" si="1">I17+J17</f>
        <v>2884572.15</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1959353.81</v>
      </c>
      <c r="F19" s="29">
        <f t="shared" ref="F19:J19" si="2">SUM(F15:F18)</f>
        <v>0</v>
      </c>
      <c r="G19" s="29">
        <f t="shared" si="2"/>
        <v>0</v>
      </c>
      <c r="H19" s="29">
        <f t="shared" si="2"/>
        <v>0</v>
      </c>
      <c r="I19" s="123">
        <f t="shared" si="2"/>
        <v>1959353.81</v>
      </c>
      <c r="J19" s="49">
        <f t="shared" si="2"/>
        <v>2884572.15</v>
      </c>
      <c r="K19" s="123">
        <f>SUM(K15:K18)</f>
        <v>4843925.96</v>
      </c>
      <c r="L19" s="231"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Jul 2016'!$A$1:$I$252,9,FALSE)</f>
        <v>1565936.6300000018</v>
      </c>
      <c r="F22" s="33">
        <v>0</v>
      </c>
      <c r="G22" s="33">
        <v>0</v>
      </c>
      <c r="H22" s="33">
        <v>-22206.16</v>
      </c>
      <c r="I22" s="115">
        <f>E22+F22+G22+H22</f>
        <v>1543730.4700000018</v>
      </c>
      <c r="J22" s="33">
        <v>-266473.92</v>
      </c>
      <c r="K22" s="115">
        <f>I22+J22</f>
        <v>1277256.5500000019</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1565936.6300000018</v>
      </c>
      <c r="F24" s="29">
        <f t="shared" ref="F24:K24" si="3">SUM(F22:F23)</f>
        <v>0</v>
      </c>
      <c r="G24" s="29">
        <f t="shared" si="3"/>
        <v>0</v>
      </c>
      <c r="H24" s="29">
        <f t="shared" si="3"/>
        <v>-22206.16</v>
      </c>
      <c r="I24" s="123">
        <f t="shared" si="3"/>
        <v>1543730.4700000018</v>
      </c>
      <c r="J24" s="49">
        <f t="shared" si="3"/>
        <v>-266473.92</v>
      </c>
      <c r="K24" s="123">
        <f t="shared" si="3"/>
        <v>1277256.5500000019</v>
      </c>
      <c r="L24" s="231"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Jul 2016'!$A$1:$I$252,9,FALSE)</f>
        <v>2132359</v>
      </c>
      <c r="F27" s="33">
        <v>0</v>
      </c>
      <c r="G27" s="33">
        <v>23871</v>
      </c>
      <c r="H27" s="29">
        <v>0</v>
      </c>
      <c r="I27" s="115">
        <f>E27+F27+G27+H27</f>
        <v>2156230</v>
      </c>
      <c r="J27" s="33">
        <v>0</v>
      </c>
      <c r="K27" s="115">
        <f>I27+J27</f>
        <v>2156230</v>
      </c>
      <c r="L27" s="210" t="s">
        <v>22</v>
      </c>
      <c r="M27" s="226"/>
      <c r="S27" s="28" t="s">
        <v>23</v>
      </c>
    </row>
    <row r="28" spans="1:21" ht="13.5" customHeight="1" x14ac:dyDescent="0.2">
      <c r="A28" s="100" t="s">
        <v>80</v>
      </c>
      <c r="B28" s="28"/>
      <c r="C28" s="28" t="s">
        <v>24</v>
      </c>
      <c r="D28" s="4" t="s">
        <v>204</v>
      </c>
      <c r="E28" s="32">
        <f>VLOOKUP(A28,'DEK Jul 2016'!$A$1:$I$252,9,FALSE)</f>
        <v>-464311.79999999981</v>
      </c>
      <c r="F28" s="33">
        <v>0</v>
      </c>
      <c r="G28" s="33">
        <v>464312</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1668047.2000000002</v>
      </c>
      <c r="F30" s="44">
        <f t="shared" ref="F30:K30" si="4">SUM(F27:F28)</f>
        <v>0</v>
      </c>
      <c r="G30" s="33">
        <f t="shared" si="4"/>
        <v>488183</v>
      </c>
      <c r="H30" s="33">
        <f t="shared" si="4"/>
        <v>0</v>
      </c>
      <c r="I30" s="123">
        <f t="shared" si="4"/>
        <v>2156230.2000000002</v>
      </c>
      <c r="J30" s="33">
        <f t="shared" si="4"/>
        <v>0</v>
      </c>
      <c r="K30" s="123">
        <f t="shared" si="4"/>
        <v>2156230.2000000002</v>
      </c>
      <c r="L30" s="231"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Jul 2016'!$A$1:$I$252,9,FALSE)</f>
        <v>2204728.7100000014</v>
      </c>
      <c r="F52" s="33">
        <v>0</v>
      </c>
      <c r="G52" s="33">
        <v>-498851.74</v>
      </c>
      <c r="H52" s="33">
        <v>0</v>
      </c>
      <c r="I52" s="115">
        <f>E52+F52+G52+H52</f>
        <v>1705876.9700000014</v>
      </c>
      <c r="J52" s="33">
        <v>-2618098.23</v>
      </c>
      <c r="K52" s="115">
        <f>I52+J52</f>
        <v>-912221.25999999861</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Jul 2016'!$A$1:$I$252,9,FALSE)</f>
        <v>7101328</v>
      </c>
      <c r="F53" s="33">
        <v>0</v>
      </c>
      <c r="G53" s="33">
        <v>0</v>
      </c>
      <c r="H53" s="33">
        <v>0</v>
      </c>
      <c r="I53" s="115">
        <f>E53+F53+G53+H53</f>
        <v>7101328</v>
      </c>
      <c r="J53" s="33">
        <v>0</v>
      </c>
      <c r="K53" s="115">
        <f>I53+J53</f>
        <v>7101328</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250" t="s">
        <v>134</v>
      </c>
      <c r="B59" s="251"/>
      <c r="C59" s="251" t="s">
        <v>133</v>
      </c>
      <c r="D59" s="252" t="s">
        <v>205</v>
      </c>
      <c r="E59" s="253">
        <f>VLOOKUP(A59,'DEK Jul 2016'!$A$1:$I$252,9,FALSE)</f>
        <v>1500000</v>
      </c>
      <c r="F59" s="254">
        <v>0</v>
      </c>
      <c r="G59" s="254">
        <v>0</v>
      </c>
      <c r="H59" s="254">
        <v>0</v>
      </c>
      <c r="I59" s="255">
        <f>E59+F59+G59+H59</f>
        <v>1500000</v>
      </c>
      <c r="J59" s="254">
        <v>0</v>
      </c>
      <c r="K59" s="255">
        <f>I59+J59</f>
        <v>1500000</v>
      </c>
      <c r="L59" s="256" t="s">
        <v>22</v>
      </c>
      <c r="M59" s="257"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Jul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161">
        <v>0</v>
      </c>
      <c r="H65" s="33">
        <v>0</v>
      </c>
      <c r="I65" s="115">
        <f t="shared" si="5"/>
        <v>0</v>
      </c>
      <c r="J65" s="33">
        <f>F65+G65+H65+I65</f>
        <v>0</v>
      </c>
      <c r="K65" s="115">
        <f t="shared" si="6"/>
        <v>0</v>
      </c>
      <c r="M65" s="20"/>
      <c r="S65" s="18"/>
    </row>
    <row r="66" spans="1:19" ht="12.75" hidden="1" customHeight="1" x14ac:dyDescent="0.2">
      <c r="B66" s="28"/>
      <c r="C66" s="28"/>
      <c r="E66" s="32"/>
      <c r="F66" s="33"/>
      <c r="G66" s="161"/>
      <c r="H66" s="33"/>
      <c r="I66" s="115"/>
      <c r="J66" s="33"/>
      <c r="K66" s="115"/>
      <c r="M66" s="20"/>
      <c r="S66" s="18"/>
    </row>
    <row r="67" spans="1:19" ht="15.75" customHeight="1" x14ac:dyDescent="0.35">
      <c r="A67" s="100" t="s">
        <v>231</v>
      </c>
      <c r="B67" s="28"/>
      <c r="C67" s="28" t="s">
        <v>229</v>
      </c>
      <c r="D67" s="4" t="s">
        <v>230</v>
      </c>
      <c r="E67" s="32">
        <f>VLOOKUP(A67,'DEK Jul 2016'!$A$1:$I$252,9,FALSE)</f>
        <v>19668585.019999996</v>
      </c>
      <c r="F67" s="172"/>
      <c r="G67" s="33">
        <v>803483.46</v>
      </c>
      <c r="H67" s="172"/>
      <c r="I67" s="115">
        <f t="shared" si="5"/>
        <v>20472068.479999997</v>
      </c>
      <c r="J67" s="172"/>
      <c r="K67" s="115">
        <f t="shared" si="6"/>
        <v>20472068.479999997</v>
      </c>
      <c r="L67" s="210" t="s">
        <v>250</v>
      </c>
      <c r="M67" s="20" t="s">
        <v>246</v>
      </c>
      <c r="S67" s="18"/>
    </row>
    <row r="68" spans="1:19" ht="12.75" customHeight="1" x14ac:dyDescent="0.35">
      <c r="B68" s="28"/>
      <c r="C68" s="28"/>
      <c r="E68" s="171"/>
      <c r="F68" s="172"/>
      <c r="G68" s="144"/>
      <c r="H68" s="172"/>
      <c r="I68" s="115"/>
      <c r="J68" s="172"/>
      <c r="K68" s="115"/>
      <c r="M68" s="20"/>
      <c r="S68" s="18"/>
    </row>
    <row r="69" spans="1:19" ht="20.25" customHeight="1" x14ac:dyDescent="0.35">
      <c r="A69" s="100" t="s">
        <v>238</v>
      </c>
      <c r="B69" s="28"/>
      <c r="C69" s="28" t="s">
        <v>236</v>
      </c>
      <c r="D69" s="4" t="s">
        <v>238</v>
      </c>
      <c r="E69" s="32">
        <f>VLOOKUP(A69,'DEK Jul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Jul 2016'!$A$1:$I$252,9,FALSE)</f>
        <v>6876605.120000001</v>
      </c>
      <c r="F71" s="172"/>
      <c r="G71" s="33">
        <v>-519001.67</v>
      </c>
      <c r="H71" s="33">
        <v>0</v>
      </c>
      <c r="I71" s="115">
        <f t="shared" si="5"/>
        <v>6357603.4500000011</v>
      </c>
      <c r="J71" s="33"/>
      <c r="K71" s="115">
        <f t="shared" si="6"/>
        <v>6357603.4500000011</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Jul 2016'!$A$1:$I$252,9,FALSE)</f>
        <v>-114155.51000000001</v>
      </c>
      <c r="F73" s="172"/>
      <c r="G73" s="33">
        <v>-28304.11</v>
      </c>
      <c r="H73" s="33">
        <v>0</v>
      </c>
      <c r="I73" s="115">
        <f t="shared" si="5"/>
        <v>-142459.62</v>
      </c>
      <c r="J73" s="33"/>
      <c r="K73" s="115">
        <f t="shared" si="6"/>
        <v>-142459.62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Jul 2016'!$A$1:$I$252,9,FALSE)</f>
        <v>6905805.4900000002</v>
      </c>
      <c r="F75" s="172"/>
      <c r="G75" s="33">
        <v>384474.11</v>
      </c>
      <c r="H75" s="33">
        <v>0</v>
      </c>
      <c r="I75" s="115">
        <f t="shared" ref="I75" si="7">E75+F75+G75+H75</f>
        <v>7290279.6000000006</v>
      </c>
      <c r="J75" s="33"/>
      <c r="K75" s="115">
        <f t="shared" ref="K75" si="8">I75+J75</f>
        <v>7290279.6000000006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Jul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f>VLOOKUP(A79,'DEK Jul 2016'!$A$1:$I$252,9,FALSE)</f>
        <v>276457.53999999998</v>
      </c>
      <c r="F79" s="174"/>
      <c r="G79" s="36">
        <v>175697.29</v>
      </c>
      <c r="H79" s="36">
        <v>0</v>
      </c>
      <c r="I79" s="116">
        <f t="shared" si="9"/>
        <v>452154.82999999996</v>
      </c>
      <c r="J79" s="36"/>
      <c r="K79" s="116">
        <f t="shared" si="10"/>
        <v>452154.82999999996</v>
      </c>
      <c r="M79" s="20"/>
      <c r="S79" s="18"/>
    </row>
    <row r="80" spans="1:19" x14ac:dyDescent="0.2">
      <c r="B80" s="54"/>
      <c r="C80" s="28"/>
      <c r="E80" s="221">
        <f>SUM(E42:E79)</f>
        <v>49332038.869999997</v>
      </c>
      <c r="F80" s="29">
        <f>SUM(F39:F65)+F36</f>
        <v>0</v>
      </c>
      <c r="G80" s="29">
        <f>SUM(G39:G79)+G36</f>
        <v>317497.33999999997</v>
      </c>
      <c r="H80" s="29">
        <f>SUM(H39:H79)+H36</f>
        <v>0</v>
      </c>
      <c r="I80" s="123">
        <f>SUM(I39:I79)+I36</f>
        <v>49649536.210000001</v>
      </c>
      <c r="J80" s="49">
        <f>SUM(J39:J79)+J36</f>
        <v>-2618098.23</v>
      </c>
      <c r="K80" s="123">
        <f>SUM(K39:K79)+K36</f>
        <v>47031437.980000004</v>
      </c>
      <c r="L80" s="231"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Jul 2016'!$A$1:$I$252,9,FALSE)</f>
        <v>1970077.99</v>
      </c>
      <c r="F82" s="29"/>
      <c r="G82" s="29">
        <v>1174089.4099999999</v>
      </c>
      <c r="H82" s="29">
        <v>0</v>
      </c>
      <c r="I82" s="123">
        <f>E82+F82+G82+H82</f>
        <v>3144167.4</v>
      </c>
      <c r="J82" s="49">
        <v>0</v>
      </c>
      <c r="K82" s="123">
        <f t="shared" ref="K82" si="11">I82+J82</f>
        <v>3144167.4</v>
      </c>
      <c r="L82" s="231" t="s">
        <v>270</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Jul 2016'!$A$1:$I$252,9,FALSE)</f>
        <v>24342435.440000001</v>
      </c>
      <c r="F86" s="30">
        <v>0</v>
      </c>
      <c r="G86" s="33">
        <v>-140031</v>
      </c>
      <c r="H86" s="30">
        <v>0</v>
      </c>
      <c r="I86" s="115">
        <f>E86+F86+G86+H86</f>
        <v>24202404.440000001</v>
      </c>
      <c r="J86" s="30">
        <v>0</v>
      </c>
      <c r="K86" s="115">
        <f t="shared" ref="K86:K88" si="12">I86+J86</f>
        <v>24202404.440000001</v>
      </c>
      <c r="L86" s="210" t="s">
        <v>22</v>
      </c>
      <c r="M86" s="20"/>
      <c r="P86" s="58"/>
      <c r="S86" s="18">
        <v>186801</v>
      </c>
    </row>
    <row r="87" spans="1:21" x14ac:dyDescent="0.2">
      <c r="A87" s="108" t="s">
        <v>171</v>
      </c>
      <c r="B87" s="28"/>
      <c r="C87" s="28" t="s">
        <v>122</v>
      </c>
      <c r="D87" s="4" t="s">
        <v>225</v>
      </c>
      <c r="E87" s="32">
        <f>VLOOKUP(A87,'DEK Jul 2016'!$A$1:$I$252,9,FALSE)</f>
        <v>2737143.55</v>
      </c>
      <c r="F87" s="30">
        <v>0</v>
      </c>
      <c r="G87" s="33">
        <v>-25398</v>
      </c>
      <c r="H87" s="30">
        <v>0</v>
      </c>
      <c r="I87" s="115">
        <f>E87+F87+G87+H87</f>
        <v>2711745.55</v>
      </c>
      <c r="J87" s="30">
        <v>0</v>
      </c>
      <c r="K87" s="115">
        <f t="shared" si="12"/>
        <v>2711745.55</v>
      </c>
      <c r="L87" s="210" t="s">
        <v>22</v>
      </c>
      <c r="M87" s="20"/>
      <c r="P87" s="58"/>
      <c r="S87" s="18"/>
    </row>
    <row r="88" spans="1:21" x14ac:dyDescent="0.2">
      <c r="A88" s="108" t="s">
        <v>172</v>
      </c>
      <c r="B88" s="28"/>
      <c r="C88" s="28" t="s">
        <v>123</v>
      </c>
      <c r="D88" s="4" t="s">
        <v>226</v>
      </c>
      <c r="E88" s="32">
        <f>VLOOKUP(A88,'DEK Jul 2016'!$A$1:$I$252,9,FALSE)</f>
        <v>48720.05</v>
      </c>
      <c r="F88" s="30">
        <v>0</v>
      </c>
      <c r="G88" s="33">
        <v>-392</v>
      </c>
      <c r="H88" s="30">
        <v>0</v>
      </c>
      <c r="I88" s="115">
        <f>E88+F88+G88+H88</f>
        <v>48328.05</v>
      </c>
      <c r="J88" s="30">
        <v>0</v>
      </c>
      <c r="K88" s="115">
        <f t="shared" si="12"/>
        <v>48328.05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27128299.040000003</v>
      </c>
      <c r="F90" s="29">
        <f t="shared" ref="F90:K90" si="13">SUM(F85:F89)</f>
        <v>0</v>
      </c>
      <c r="G90" s="29">
        <f>SUM(G85:G89)</f>
        <v>-165821</v>
      </c>
      <c r="H90" s="29">
        <f t="shared" si="13"/>
        <v>0</v>
      </c>
      <c r="I90" s="123">
        <f t="shared" si="13"/>
        <v>26962478.040000003</v>
      </c>
      <c r="J90" s="29">
        <f t="shared" si="13"/>
        <v>0</v>
      </c>
      <c r="K90" s="123">
        <f t="shared" si="13"/>
        <v>26962478.040000003</v>
      </c>
      <c r="L90" s="231"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83623753.540000007</v>
      </c>
      <c r="F96" s="133">
        <f>+F12+F24+F30+F80+F90+F92+F19+F93</f>
        <v>0</v>
      </c>
      <c r="G96" s="133">
        <f>+G12+G24+G30+G80+G82+G90+G92+G19+G93</f>
        <v>1813948.75</v>
      </c>
      <c r="H96" s="133">
        <f>+H12+H24+H30+H80+H82+H90+H92+H19+H93</f>
        <v>-22206.16</v>
      </c>
      <c r="I96" s="134">
        <f>+I12+I24+I30+I80+I82+I90+I92+I19+I93</f>
        <v>85415496.13000001</v>
      </c>
      <c r="J96" s="133">
        <f>+J12+J24+J30+J80+J82+J90+J92+J19+J93</f>
        <v>0</v>
      </c>
      <c r="K96" s="134">
        <f>+K12+K24+K30+K80+K82+K90+K92+K19+K93</f>
        <v>85415496.129999995</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Jul 2016'!$A$1:$I$252,9,FALSE)</f>
        <v>2350823.8000000012</v>
      </c>
      <c r="F99" s="30">
        <v>0</v>
      </c>
      <c r="G99" s="33">
        <f>(139350.65-33900.94)</f>
        <v>105449.70999999999</v>
      </c>
      <c r="H99" s="33">
        <v>-14026.52</v>
      </c>
      <c r="I99" s="115">
        <f t="shared" ref="I99:I104" si="15">E99+F99+G99+H99</f>
        <v>2442246.9900000012</v>
      </c>
      <c r="J99" s="30">
        <v>0</v>
      </c>
      <c r="K99" s="115">
        <f t="shared" ref="K99:K104" si="16">I99+J99</f>
        <v>2442246.9900000012</v>
      </c>
      <c r="L99" s="210" t="s">
        <v>22</v>
      </c>
      <c r="M99" s="33"/>
      <c r="N99" s="42"/>
      <c r="O99" s="42"/>
      <c r="S99" s="18">
        <v>191400</v>
      </c>
      <c r="T99" s="58"/>
    </row>
    <row r="100" spans="1:20" x14ac:dyDescent="0.2">
      <c r="A100" s="100" t="s">
        <v>115</v>
      </c>
      <c r="B100" s="18"/>
      <c r="C100" s="28" t="s">
        <v>53</v>
      </c>
      <c r="D100" s="4" t="s">
        <v>115</v>
      </c>
      <c r="E100" s="32">
        <f>VLOOKUP(A100,'DEK Jul 2016'!$A$1:$I$252,9,FALSE)</f>
        <v>-446840.87</v>
      </c>
      <c r="F100" s="30">
        <v>0</v>
      </c>
      <c r="G100" s="33">
        <v>43142.36</v>
      </c>
      <c r="H100" s="33">
        <v>0</v>
      </c>
      <c r="I100" s="115">
        <f t="shared" si="15"/>
        <v>-403698.51</v>
      </c>
      <c r="J100" s="30">
        <v>0</v>
      </c>
      <c r="K100" s="115">
        <f t="shared" si="16"/>
        <v>-403698.51</v>
      </c>
      <c r="L100" s="210" t="s">
        <v>22</v>
      </c>
      <c r="M100" s="30"/>
      <c r="N100" s="42"/>
      <c r="O100" s="42"/>
      <c r="S100" s="18">
        <v>191800</v>
      </c>
      <c r="T100" s="58"/>
    </row>
    <row r="101" spans="1:20" ht="12.75" customHeight="1" x14ac:dyDescent="0.2">
      <c r="A101" s="100" t="s">
        <v>117</v>
      </c>
      <c r="B101" s="18"/>
      <c r="C101" s="28" t="s">
        <v>77</v>
      </c>
      <c r="D101" s="4" t="s">
        <v>117</v>
      </c>
      <c r="E101" s="32">
        <f>VLOOKUP(A101,'DEK Jul 2016'!$A$1:$I$252,9,FALSE)</f>
        <v>-208592.1</v>
      </c>
      <c r="F101" s="30">
        <v>0</v>
      </c>
      <c r="G101" s="30">
        <v>0</v>
      </c>
      <c r="H101" s="33">
        <v>0</v>
      </c>
      <c r="I101" s="115">
        <f t="shared" si="15"/>
        <v>-208592.1</v>
      </c>
      <c r="J101" s="30">
        <v>0</v>
      </c>
      <c r="K101" s="115">
        <f t="shared" si="16"/>
        <v>-208592.1</v>
      </c>
      <c r="L101" s="210" t="s">
        <v>22</v>
      </c>
      <c r="M101" s="20"/>
      <c r="N101" s="42"/>
      <c r="O101" s="42"/>
      <c r="S101" s="18">
        <v>242995</v>
      </c>
      <c r="T101" s="58"/>
    </row>
    <row r="102" spans="1:20" x14ac:dyDescent="0.2">
      <c r="A102" s="100" t="s">
        <v>119</v>
      </c>
      <c r="B102" s="18"/>
      <c r="C102" s="28" t="s">
        <v>118</v>
      </c>
      <c r="D102" s="4" t="s">
        <v>119</v>
      </c>
      <c r="E102" s="32">
        <f>VLOOKUP(A102,'DEK Jul 2016'!$A$1:$I$252,9,FALSE)</f>
        <v>-1005220.8500000004</v>
      </c>
      <c r="F102" s="30">
        <v>0</v>
      </c>
      <c r="G102" s="30">
        <v>-303058.07</v>
      </c>
      <c r="H102" s="33">
        <v>0</v>
      </c>
      <c r="I102" s="115">
        <f t="shared" si="15"/>
        <v>-1308278.9200000004</v>
      </c>
      <c r="J102" s="30">
        <v>0</v>
      </c>
      <c r="K102" s="115">
        <f t="shared" si="16"/>
        <v>-1308278.9200000004</v>
      </c>
      <c r="L102" s="210" t="s">
        <v>22</v>
      </c>
      <c r="M102" s="20"/>
      <c r="N102" s="42"/>
      <c r="O102" s="42"/>
      <c r="S102" s="18">
        <v>242997</v>
      </c>
      <c r="T102" s="58"/>
    </row>
    <row r="103" spans="1:20" x14ac:dyDescent="0.2">
      <c r="A103" s="100" t="s">
        <v>120</v>
      </c>
      <c r="B103" s="18"/>
      <c r="C103" s="28" t="s">
        <v>54</v>
      </c>
      <c r="D103" s="4" t="s">
        <v>120</v>
      </c>
      <c r="E103" s="32">
        <f>VLOOKUP(A103,'DEK Jul 2016'!$A$1:$I$252,9,FALSE)</f>
        <v>422030.85000000027</v>
      </c>
      <c r="F103" s="33">
        <v>0</v>
      </c>
      <c r="G103" s="33">
        <v>0</v>
      </c>
      <c r="H103" s="33">
        <v>27234.87</v>
      </c>
      <c r="I103" s="115">
        <f t="shared" si="15"/>
        <v>449265.72000000026</v>
      </c>
      <c r="J103" s="33">
        <v>0</v>
      </c>
      <c r="K103" s="115">
        <f t="shared" si="16"/>
        <v>449265.72000000026</v>
      </c>
      <c r="L103" s="210" t="s">
        <v>22</v>
      </c>
      <c r="M103" s="42"/>
      <c r="N103" s="42"/>
      <c r="O103" s="42"/>
      <c r="S103" s="18">
        <v>253130</v>
      </c>
      <c r="T103" s="58"/>
    </row>
    <row r="104" spans="1:20" x14ac:dyDescent="0.2">
      <c r="A104" s="100" t="s">
        <v>156</v>
      </c>
      <c r="B104" s="18"/>
      <c r="C104" s="28" t="s">
        <v>116</v>
      </c>
      <c r="D104" s="4" t="s">
        <v>211</v>
      </c>
      <c r="E104" s="32">
        <f>VLOOKUP(A104,'DEK Jul 2016'!$A$1:$I$252,9,FALSE)</f>
        <v>-1865980.9099999997</v>
      </c>
      <c r="F104" s="33"/>
      <c r="G104" s="33">
        <v>573625.92000000004</v>
      </c>
      <c r="H104" s="33">
        <v>0</v>
      </c>
      <c r="I104" s="115">
        <f t="shared" si="15"/>
        <v>-1292354.9899999998</v>
      </c>
      <c r="J104" s="30">
        <v>0</v>
      </c>
      <c r="K104" s="115">
        <f t="shared" si="16"/>
        <v>-1292354.9899999998</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-753780.07999999891</v>
      </c>
      <c r="F106" s="33">
        <f t="shared" si="17"/>
        <v>0</v>
      </c>
      <c r="G106" s="33">
        <f t="shared" si="17"/>
        <v>419159.92000000004</v>
      </c>
      <c r="H106" s="33">
        <f t="shared" si="17"/>
        <v>13208.349999999999</v>
      </c>
      <c r="I106" s="123">
        <f t="shared" si="17"/>
        <v>-321411.80999999889</v>
      </c>
      <c r="J106" s="33">
        <f t="shared" si="17"/>
        <v>0</v>
      </c>
      <c r="K106" s="123">
        <f t="shared" si="17"/>
        <v>-321411.80999999889</v>
      </c>
      <c r="L106" s="231"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Jul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Jul 2016'!$A$1:$I$252,9,FALSE)</f>
        <v>-4616494.7300000004</v>
      </c>
      <c r="F114" s="30">
        <v>0</v>
      </c>
      <c r="G114" s="33">
        <v>45859</v>
      </c>
      <c r="H114" s="33">
        <v>0</v>
      </c>
      <c r="I114" s="123">
        <f>E114+G114+H114+F114</f>
        <v>-4570635.7300000004</v>
      </c>
      <c r="J114" s="91">
        <v>0</v>
      </c>
      <c r="K114" s="123">
        <f>I114+J114</f>
        <v>-4570635.7300000004</v>
      </c>
      <c r="L114" s="230"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Jul 2016'!$A$1:$I$252,9,FALSE)</f>
        <v>0</v>
      </c>
      <c r="F117" s="30">
        <v>0</v>
      </c>
      <c r="G117" s="33">
        <v>-459615</v>
      </c>
      <c r="H117" s="33">
        <v>0</v>
      </c>
      <c r="I117" s="115">
        <f>E117+F117+G117+H117</f>
        <v>-459615</v>
      </c>
      <c r="J117" s="30">
        <v>0</v>
      </c>
      <c r="K117" s="115">
        <f t="shared" ref="K117:K119" si="19">I117+J117</f>
        <v>-459615</v>
      </c>
      <c r="M117" s="62"/>
      <c r="P117" s="51"/>
      <c r="Q117" s="18"/>
      <c r="R117" s="58"/>
      <c r="S117" s="18">
        <v>254998</v>
      </c>
    </row>
    <row r="118" spans="1:23" x14ac:dyDescent="0.2">
      <c r="A118" s="100" t="s">
        <v>179</v>
      </c>
      <c r="B118" s="18"/>
      <c r="C118" s="28" t="s">
        <v>47</v>
      </c>
      <c r="D118" s="4" t="s">
        <v>196</v>
      </c>
      <c r="E118" s="32">
        <f>VLOOKUP(A118,'DEK Jul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Jul 2016'!$A$1:$I$252,9,FALSE)</f>
        <v>-14999.220000000003</v>
      </c>
      <c r="F119" s="30">
        <v>0</v>
      </c>
      <c r="G119" s="33">
        <v>60.26</v>
      </c>
      <c r="H119" s="33">
        <v>0</v>
      </c>
      <c r="I119" s="117">
        <f>E119+F119+G119+H119</f>
        <v>-14938.960000000003</v>
      </c>
      <c r="J119" s="30">
        <v>0</v>
      </c>
      <c r="K119" s="117">
        <f t="shared" si="19"/>
        <v>-14938.960000000003</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-14999.220000000003</v>
      </c>
      <c r="F121" s="30">
        <f t="shared" ref="F121:K121" si="21">SUM(F117:F120)</f>
        <v>0</v>
      </c>
      <c r="G121" s="30">
        <f t="shared" si="21"/>
        <v>-459554.74</v>
      </c>
      <c r="H121" s="30">
        <f t="shared" si="21"/>
        <v>0</v>
      </c>
      <c r="I121" s="122">
        <f t="shared" si="21"/>
        <v>-474553.96</v>
      </c>
      <c r="J121" s="30">
        <f t="shared" si="21"/>
        <v>0</v>
      </c>
      <c r="K121" s="122">
        <f t="shared" si="21"/>
        <v>-474553.96</v>
      </c>
      <c r="L121" s="230"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Jul 2016'!$A$1:$I$252,9,FALSE)</f>
        <v>-17949507.250000007</v>
      </c>
      <c r="F123" s="30">
        <v>0</v>
      </c>
      <c r="G123" s="30">
        <v>-59709.82</v>
      </c>
      <c r="H123" s="30">
        <v>0</v>
      </c>
      <c r="I123" s="115">
        <f t="shared" ref="I123:I129" si="22">E123+F123+G123+H123</f>
        <v>-18009217.070000008</v>
      </c>
      <c r="J123" s="30">
        <v>0</v>
      </c>
      <c r="K123" s="115">
        <f t="shared" ref="K123:K129" si="23">I123+J123</f>
        <v>-18009217.070000008</v>
      </c>
      <c r="L123" s="210" t="s">
        <v>241</v>
      </c>
      <c r="M123" s="20"/>
      <c r="N123" s="42"/>
      <c r="O123" s="42"/>
      <c r="Q123" s="248">
        <v>75086</v>
      </c>
      <c r="R123" s="58" t="s">
        <v>44</v>
      </c>
      <c r="S123" s="18">
        <v>108201</v>
      </c>
      <c r="T123" s="58"/>
    </row>
    <row r="124" spans="1:23" x14ac:dyDescent="0.2">
      <c r="A124" s="100" t="s">
        <v>166</v>
      </c>
      <c r="B124" s="18"/>
      <c r="C124" s="28" t="s">
        <v>45</v>
      </c>
      <c r="D124" s="4" t="s">
        <v>198</v>
      </c>
      <c r="E124" s="32">
        <f>VLOOKUP(A124,'DEK Jul 2016'!$A$1:$I$252,9,FALSE)</f>
        <v>-48399642.899999999</v>
      </c>
      <c r="F124" s="30">
        <v>0</v>
      </c>
      <c r="G124" s="30">
        <v>-374074.8</v>
      </c>
      <c r="H124" s="30">
        <v>0</v>
      </c>
      <c r="I124" s="115">
        <f t="shared" si="22"/>
        <v>-48773717.699999996</v>
      </c>
      <c r="J124" s="30">
        <v>0</v>
      </c>
      <c r="K124" s="115">
        <f t="shared" si="23"/>
        <v>-48773717.699999996</v>
      </c>
      <c r="L124" s="210" t="s">
        <v>242</v>
      </c>
      <c r="M124" s="20"/>
      <c r="N124" s="42"/>
      <c r="O124" s="42"/>
      <c r="R124" s="58" t="s">
        <v>44</v>
      </c>
      <c r="S124" s="18">
        <v>108301</v>
      </c>
      <c r="T124" s="58"/>
    </row>
    <row r="125" spans="1:23" x14ac:dyDescent="0.2">
      <c r="A125" s="100" t="s">
        <v>167</v>
      </c>
      <c r="B125" s="18"/>
      <c r="C125" s="28" t="s">
        <v>46</v>
      </c>
      <c r="D125" s="4" t="s">
        <v>199</v>
      </c>
      <c r="E125" s="32">
        <f>VLOOKUP(A125,'DEK Jul 2016'!$A$1:$I$252,9,FALSE)</f>
        <v>12588615.539999997</v>
      </c>
      <c r="F125" s="30">
        <v>0</v>
      </c>
      <c r="G125" s="30">
        <v>434848.63</v>
      </c>
      <c r="H125" s="30">
        <v>0</v>
      </c>
      <c r="I125" s="115">
        <f t="shared" si="22"/>
        <v>13023464.169999998</v>
      </c>
      <c r="J125" s="30">
        <v>0</v>
      </c>
      <c r="K125" s="115">
        <f>I125+J125</f>
        <v>13023464.169999998</v>
      </c>
      <c r="L125" s="210" t="s">
        <v>242</v>
      </c>
      <c r="M125" s="20"/>
      <c r="N125" s="42"/>
      <c r="O125" s="42"/>
      <c r="S125" s="18">
        <v>108410</v>
      </c>
      <c r="T125" s="58"/>
    </row>
    <row r="126" spans="1:23" x14ac:dyDescent="0.2">
      <c r="A126" s="100" t="s">
        <v>168</v>
      </c>
      <c r="B126" s="18"/>
      <c r="C126" s="28" t="s">
        <v>74</v>
      </c>
      <c r="D126" s="4" t="s">
        <v>217</v>
      </c>
      <c r="E126" s="32">
        <f>VLOOKUP(A126,'DEK Jul 2016'!$A$1:$I$252,9,FALSE)</f>
        <v>2421967.3200000003</v>
      </c>
      <c r="F126" s="30">
        <v>0</v>
      </c>
      <c r="G126" s="30">
        <v>21808.71</v>
      </c>
      <c r="H126" s="30">
        <v>0</v>
      </c>
      <c r="I126" s="115">
        <f t="shared" si="22"/>
        <v>2443776.0300000003</v>
      </c>
      <c r="J126" s="30">
        <v>0</v>
      </c>
      <c r="K126" s="115">
        <f>I126+J126</f>
        <v>2443776.0300000003</v>
      </c>
      <c r="M126" s="20"/>
      <c r="N126" s="42"/>
      <c r="O126" s="42"/>
      <c r="Q126" s="4" t="s">
        <v>50</v>
      </c>
      <c r="R126" s="4" t="s">
        <v>51</v>
      </c>
      <c r="S126" s="18">
        <v>182303</v>
      </c>
      <c r="T126" s="58"/>
    </row>
    <row r="127" spans="1:23" x14ac:dyDescent="0.2">
      <c r="A127" s="100" t="s">
        <v>169</v>
      </c>
      <c r="B127" s="18"/>
      <c r="C127" s="28" t="s">
        <v>49</v>
      </c>
      <c r="D127" s="4" t="s">
        <v>218</v>
      </c>
      <c r="E127" s="32">
        <f>VLOOKUP(A127,'DEK Jul 2016'!$A$1:$I$252,9,FALSE)</f>
        <v>4491597.9800000014</v>
      </c>
      <c r="F127" s="30">
        <v>0</v>
      </c>
      <c r="G127" s="30">
        <v>26254.31</v>
      </c>
      <c r="H127" s="30">
        <v>0</v>
      </c>
      <c r="I127" s="115">
        <f t="shared" si="22"/>
        <v>4517852.290000001</v>
      </c>
      <c r="J127" s="30">
        <v>0</v>
      </c>
      <c r="K127" s="115">
        <f t="shared" si="23"/>
        <v>4517852.290000001</v>
      </c>
      <c r="M127" s="20"/>
      <c r="N127" s="42"/>
      <c r="O127" s="42"/>
      <c r="Q127" s="4" t="s">
        <v>50</v>
      </c>
      <c r="S127" s="18">
        <v>182304</v>
      </c>
      <c r="T127" s="58"/>
    </row>
    <row r="128" spans="1:23" x14ac:dyDescent="0.2">
      <c r="A128" s="100" t="s">
        <v>170</v>
      </c>
      <c r="B128" s="18"/>
      <c r="C128" s="28" t="s">
        <v>42</v>
      </c>
      <c r="D128" s="4" t="s">
        <v>200</v>
      </c>
      <c r="E128" s="32">
        <f>VLOOKUP(A128,'DEK Jul 2016'!$A$1:$I$252,9,FALSE)</f>
        <v>-190372.6100000001</v>
      </c>
      <c r="F128" s="30">
        <v>0</v>
      </c>
      <c r="G128" s="30">
        <v>-6112.76</v>
      </c>
      <c r="H128" s="30">
        <v>0</v>
      </c>
      <c r="I128" s="115">
        <f t="shared" si="22"/>
        <v>-196485.37000000011</v>
      </c>
      <c r="J128" s="30">
        <v>0</v>
      </c>
      <c r="K128" s="115">
        <f t="shared" si="23"/>
        <v>-196485.37000000011</v>
      </c>
      <c r="L128" s="210" t="s">
        <v>241</v>
      </c>
      <c r="M128" s="20"/>
      <c r="N128" s="42"/>
      <c r="O128" s="42"/>
      <c r="R128" s="58" t="s">
        <v>44</v>
      </c>
      <c r="S128" s="18">
        <v>108101</v>
      </c>
      <c r="T128" s="58"/>
    </row>
    <row r="129" spans="1:22" x14ac:dyDescent="0.2">
      <c r="A129" s="100" t="s">
        <v>272</v>
      </c>
      <c r="B129" s="18"/>
      <c r="C129" s="28" t="s">
        <v>271</v>
      </c>
      <c r="D129" s="4" t="s">
        <v>272</v>
      </c>
      <c r="E129" s="32">
        <f>VLOOKUP(A129,'DEK Jul 2016'!$A$1:$I$252,9,FALSE)</f>
        <v>405751.26999999996</v>
      </c>
      <c r="F129" s="30">
        <v>0</v>
      </c>
      <c r="G129" s="30">
        <v>-399148.33</v>
      </c>
      <c r="H129" s="30">
        <v>0</v>
      </c>
      <c r="I129" s="115">
        <f t="shared" si="22"/>
        <v>6602.9399999999441</v>
      </c>
      <c r="J129" s="30">
        <v>0</v>
      </c>
      <c r="K129" s="115">
        <f t="shared" si="23"/>
        <v>6602.9399999999441</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-46631590.649999999</v>
      </c>
      <c r="F131" s="33">
        <f t="shared" si="24"/>
        <v>0</v>
      </c>
      <c r="G131" s="33">
        <f t="shared" si="24"/>
        <v>-356134.06</v>
      </c>
      <c r="H131" s="33">
        <f t="shared" si="24"/>
        <v>0</v>
      </c>
      <c r="I131" s="123">
        <f t="shared" si="24"/>
        <v>-46987724.710000008</v>
      </c>
      <c r="J131" s="33">
        <f t="shared" si="24"/>
        <v>0</v>
      </c>
      <c r="K131" s="123">
        <f t="shared" si="24"/>
        <v>-46987724.710000008</v>
      </c>
      <c r="L131" s="230"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-52016864.68</v>
      </c>
      <c r="F133" s="133">
        <f t="shared" ref="F133:H133" si="25">+F106+F114+F121+F131+F111</f>
        <v>0</v>
      </c>
      <c r="G133" s="133">
        <f t="shared" si="25"/>
        <v>-350669.87999999995</v>
      </c>
      <c r="H133" s="133">
        <f t="shared" si="25"/>
        <v>13208.349999999999</v>
      </c>
      <c r="I133" s="134">
        <f>+I106+I114+I121+I131+I111</f>
        <v>-52354326.210000008</v>
      </c>
      <c r="J133" s="133">
        <f>+J106+J114+J121+J131+J111</f>
        <v>0</v>
      </c>
      <c r="K133" s="134">
        <f>+K106+K114+K121+K131+K111</f>
        <v>-52354326.210000008</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31606888.860000007</v>
      </c>
      <c r="F135" s="137">
        <f>F133+F96</f>
        <v>0</v>
      </c>
      <c r="G135" s="137">
        <f>G133+G96</f>
        <v>1463278.87</v>
      </c>
      <c r="H135" s="137">
        <f>H133+H96</f>
        <v>-8997.8100000000013</v>
      </c>
      <c r="I135" s="138">
        <f>I96+I133</f>
        <v>33061169.920000002</v>
      </c>
      <c r="J135" s="137">
        <f>J133+J96</f>
        <v>0</v>
      </c>
      <c r="K135" s="138">
        <f>K96+K133</f>
        <v>33061169.919999987</v>
      </c>
      <c r="L135" s="50">
        <v>0</v>
      </c>
      <c r="M135" s="70"/>
      <c r="N135" s="70"/>
      <c r="O135" s="70"/>
      <c r="P135" s="50"/>
      <c r="Q135" s="50"/>
      <c r="R135" s="50"/>
      <c r="S135" s="18"/>
      <c r="T135" s="29">
        <f>+G135+H135+F135</f>
        <v>1454281.06</v>
      </c>
      <c r="U135" s="19">
        <v>13111056.41</v>
      </c>
      <c r="V135" s="29">
        <f>+T135-U135</f>
        <v>-11656775.35</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547171.21</v>
      </c>
      <c r="H137" s="139">
        <f>-H128-H123-H124-H125-H126-H127-H86-H16-H117-H30-H22-H53-H119-H87-H88-H114-H118-H52</f>
        <v>22206.16</v>
      </c>
      <c r="I137" s="74"/>
      <c r="J137" s="74"/>
      <c r="K137" s="74"/>
      <c r="M137" s="76"/>
      <c r="N137" s="77"/>
      <c r="O137" s="77"/>
      <c r="S137" s="18"/>
    </row>
    <row r="138" spans="1:22" ht="12.75" customHeight="1" x14ac:dyDescent="0.2">
      <c r="A138" s="107"/>
      <c r="B138" s="18"/>
      <c r="C138" s="18"/>
      <c r="D138" s="72"/>
      <c r="E138" s="224"/>
      <c r="F138" s="50"/>
      <c r="G138" s="185">
        <f>G135+H135</f>
        <v>1454281.06</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2023658.43</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-1.1496013030409813E-9</v>
      </c>
      <c r="F163" s="32">
        <f>+F93+F94</f>
        <v>0</v>
      </c>
      <c r="G163" s="165"/>
      <c r="H163" s="83"/>
      <c r="I163" s="84">
        <f>+I12</f>
        <v>-1.1496013030409813E-9</v>
      </c>
      <c r="J163" s="84">
        <f>+J12</f>
        <v>0</v>
      </c>
      <c r="K163" s="84">
        <f>+K12</f>
        <v>-1.1496013030409813E-9</v>
      </c>
      <c r="M163" s="20"/>
      <c r="S163" s="18"/>
    </row>
    <row r="164" spans="1:19" hidden="1" x14ac:dyDescent="0.2">
      <c r="A164" s="109" t="s">
        <v>142</v>
      </c>
      <c r="B164" s="18"/>
      <c r="C164" s="18"/>
      <c r="D164" s="82" t="s">
        <v>142</v>
      </c>
      <c r="E164" s="83">
        <f>+E19</f>
        <v>1959353.81</v>
      </c>
      <c r="F164" s="32">
        <f t="shared" ref="F164:F169" si="26">+F94+F95</f>
        <v>0</v>
      </c>
      <c r="G164" s="165"/>
      <c r="H164" s="83"/>
      <c r="I164" s="84">
        <f>+I19</f>
        <v>1959353.81</v>
      </c>
      <c r="J164" s="84">
        <f>+J19</f>
        <v>2884572.15</v>
      </c>
      <c r="K164" s="84">
        <f>+K19</f>
        <v>4843925.96</v>
      </c>
      <c r="M164" s="20"/>
      <c r="S164" s="18"/>
    </row>
    <row r="165" spans="1:19" hidden="1" x14ac:dyDescent="0.2">
      <c r="A165" s="109" t="s">
        <v>141</v>
      </c>
      <c r="B165" s="18"/>
      <c r="C165" s="18"/>
      <c r="D165" s="82" t="s">
        <v>141</v>
      </c>
      <c r="E165" s="83">
        <f>+E24</f>
        <v>1565936.6300000018</v>
      </c>
      <c r="F165" s="32">
        <f t="shared" si="26"/>
        <v>0</v>
      </c>
      <c r="G165" s="165"/>
      <c r="H165" s="83"/>
      <c r="I165" s="84">
        <f>+I24</f>
        <v>1543730.4700000018</v>
      </c>
      <c r="J165" s="84">
        <f>+J24</f>
        <v>-266473.92</v>
      </c>
      <c r="K165" s="84">
        <f>+K24</f>
        <v>1277256.5500000019</v>
      </c>
      <c r="M165" s="20"/>
      <c r="S165" s="18"/>
    </row>
    <row r="166" spans="1:19" hidden="1" x14ac:dyDescent="0.2">
      <c r="A166" s="109" t="s">
        <v>61</v>
      </c>
      <c r="B166" s="18"/>
      <c r="C166" s="18"/>
      <c r="D166" s="82" t="s">
        <v>61</v>
      </c>
      <c r="E166" s="32">
        <f>+E30</f>
        <v>1668047.2000000002</v>
      </c>
      <c r="F166" s="32">
        <f t="shared" si="26"/>
        <v>0</v>
      </c>
      <c r="G166" s="157"/>
      <c r="H166" s="32"/>
      <c r="I166" s="84">
        <f>+I30</f>
        <v>2156230.2000000002</v>
      </c>
      <c r="J166" s="84">
        <f>+J30</f>
        <v>0</v>
      </c>
      <c r="K166" s="84">
        <f>+K30</f>
        <v>2156230.2000000002</v>
      </c>
      <c r="M166" s="20"/>
      <c r="S166" s="18"/>
    </row>
    <row r="167" spans="1:19" hidden="1" x14ac:dyDescent="0.2">
      <c r="A167" s="109" t="s">
        <v>143</v>
      </c>
      <c r="B167" s="18"/>
      <c r="C167" s="18"/>
      <c r="D167" s="82" t="s">
        <v>143</v>
      </c>
      <c r="E167" s="32">
        <f>+E80</f>
        <v>49332038.869999997</v>
      </c>
      <c r="F167" s="32">
        <f t="shared" si="26"/>
        <v>0</v>
      </c>
      <c r="G167" s="157"/>
      <c r="H167" s="32"/>
      <c r="I167" s="84">
        <f>+I80</f>
        <v>49649536.210000001</v>
      </c>
      <c r="J167" s="84">
        <f>+J80</f>
        <v>-2618098.23</v>
      </c>
      <c r="K167" s="84">
        <f>+K80</f>
        <v>47031437.980000004</v>
      </c>
      <c r="M167" s="20"/>
      <c r="S167" s="18"/>
    </row>
    <row r="168" spans="1:19" hidden="1" x14ac:dyDescent="0.2">
      <c r="A168" s="109" t="s">
        <v>151</v>
      </c>
      <c r="B168" s="18"/>
      <c r="C168" s="18"/>
      <c r="D168" s="82" t="s">
        <v>151</v>
      </c>
      <c r="E168" s="32">
        <f>+E90</f>
        <v>27128299.040000003</v>
      </c>
      <c r="F168" s="32">
        <f t="shared" si="26"/>
        <v>0</v>
      </c>
      <c r="G168" s="157"/>
      <c r="H168" s="32"/>
      <c r="I168" s="84">
        <f>+I90</f>
        <v>26962478.040000003</v>
      </c>
      <c r="J168" s="84">
        <f>+J90</f>
        <v>0</v>
      </c>
      <c r="K168" s="84">
        <f>+K90</f>
        <v>26962478.040000003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-753780.07999999891</v>
      </c>
      <c r="F170" s="32" t="e">
        <f>+F100+#REF!</f>
        <v>#REF!</v>
      </c>
      <c r="G170" s="157"/>
      <c r="H170" s="32"/>
      <c r="I170" s="84">
        <f>+I106</f>
        <v>-321411.80999999889</v>
      </c>
      <c r="J170" s="84">
        <f>+J106</f>
        <v>0</v>
      </c>
      <c r="K170" s="84">
        <f>+K106</f>
        <v>-321411.80999999889</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-4616494.7300000004</v>
      </c>
      <c r="F172" s="32" t="e">
        <f>+#REF!+#REF!</f>
        <v>#REF!</v>
      </c>
      <c r="G172" s="157"/>
      <c r="H172" s="32"/>
      <c r="I172" s="84">
        <f>+I114</f>
        <v>-4570635.7300000004</v>
      </c>
      <c r="J172" s="84">
        <f>+J114</f>
        <v>0</v>
      </c>
      <c r="K172" s="84">
        <f>+K114</f>
        <v>-4570635.7300000004</v>
      </c>
      <c r="M172" s="20"/>
      <c r="S172" s="18"/>
    </row>
    <row r="173" spans="1:19" hidden="1" x14ac:dyDescent="0.2">
      <c r="A173" s="109" t="s">
        <v>153</v>
      </c>
      <c r="B173" s="18"/>
      <c r="C173" s="18"/>
      <c r="D173" s="82" t="s">
        <v>153</v>
      </c>
      <c r="E173" s="32">
        <f>+E121</f>
        <v>-14999.220000000003</v>
      </c>
      <c r="F173" s="32" t="e">
        <f>+#REF!+F101</f>
        <v>#REF!</v>
      </c>
      <c r="G173" s="157"/>
      <c r="H173" s="32"/>
      <c r="I173" s="84">
        <f>+I121</f>
        <v>-474553.96</v>
      </c>
      <c r="J173" s="84">
        <f>+J121</f>
        <v>0</v>
      </c>
      <c r="K173" s="84">
        <f>+K121</f>
        <v>-474553.96</v>
      </c>
      <c r="M173" s="20"/>
      <c r="S173" s="18"/>
    </row>
    <row r="174" spans="1:19" hidden="1" x14ac:dyDescent="0.2">
      <c r="A174" s="109" t="s">
        <v>155</v>
      </c>
      <c r="B174" s="18"/>
      <c r="C174" s="18"/>
      <c r="D174" s="82" t="s">
        <v>155</v>
      </c>
      <c r="E174" s="32">
        <f>+E131</f>
        <v>-46631590.649999999</v>
      </c>
      <c r="F174" s="32">
        <f t="shared" ref="F174" si="27">+F101+F102</f>
        <v>0</v>
      </c>
      <c r="G174" s="157"/>
      <c r="H174" s="32"/>
      <c r="I174" s="84">
        <f>+I131</f>
        <v>-46987724.710000008</v>
      </c>
      <c r="J174" s="84">
        <f>+J131</f>
        <v>0</v>
      </c>
      <c r="K174" s="84">
        <f>+K131</f>
        <v>-46987724.710000008</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29636810.869999997</v>
      </c>
      <c r="F176" s="88" t="e">
        <f>SUM(F166:F175)</f>
        <v>#REF!</v>
      </c>
      <c r="G176" s="166"/>
      <c r="H176" s="88"/>
      <c r="I176" s="89">
        <f>SUM(I162:I175)</f>
        <v>29917002.519999996</v>
      </c>
      <c r="J176" s="89">
        <f>SUM(J162:J175)</f>
        <v>0</v>
      </c>
      <c r="K176" s="89">
        <f>SUM(K162:K175)</f>
        <v>29917002.519999996</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-1970077.9900000095</v>
      </c>
      <c r="F178" s="19"/>
      <c r="G178" s="148"/>
      <c r="H178" s="19"/>
      <c r="I178" s="19">
        <f>+I176-I135</f>
        <v>-3144167.400000006</v>
      </c>
      <c r="J178" s="19">
        <f>+J176-J135</f>
        <v>0</v>
      </c>
      <c r="K178" s="19">
        <f>+K176-K135</f>
        <v>-3144167.3999999911</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0</v>
      </c>
      <c r="H183" s="19">
        <f>+H9+H92+H10</f>
        <v>0</v>
      </c>
      <c r="I183" s="19"/>
      <c r="J183" s="19"/>
      <c r="K183" s="19"/>
      <c r="M183" s="20"/>
      <c r="S183" s="18"/>
    </row>
    <row r="184" spans="1:19" hidden="1" x14ac:dyDescent="0.2">
      <c r="A184" s="100" t="s">
        <v>65</v>
      </c>
      <c r="B184" s="18"/>
      <c r="C184" s="18"/>
      <c r="D184" s="34" t="s">
        <v>65</v>
      </c>
      <c r="F184" s="19"/>
      <c r="G184" s="148">
        <f>+G100+G101+G102+G103+G99+G104</f>
        <v>419159.92000000004</v>
      </c>
      <c r="H184" s="19">
        <f>+H100+H101+H102+H103+H99</f>
        <v>13208.349999999999</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419159.92000000004</v>
      </c>
      <c r="H186" s="110">
        <f>+H182+H183+H184-H139</f>
        <v>13208.349999999999</v>
      </c>
      <c r="I186" s="19"/>
      <c r="J186" s="19"/>
      <c r="K186" s="19"/>
      <c r="M186" s="20"/>
      <c r="S186" s="18"/>
    </row>
    <row r="187" spans="1:19" hidden="1" x14ac:dyDescent="0.2">
      <c r="B187" s="18"/>
      <c r="C187" s="18"/>
      <c r="F187" s="19"/>
      <c r="H187" s="29">
        <f>+H183+H184+H182+G182+G183+G184</f>
        <v>432368.27</v>
      </c>
      <c r="I187" s="19"/>
      <c r="J187" s="19"/>
      <c r="K187" s="19"/>
      <c r="M187" s="20"/>
      <c r="S187" s="18"/>
    </row>
    <row r="188" spans="1:19" hidden="1" x14ac:dyDescent="0.2">
      <c r="B188" s="18"/>
      <c r="C188" s="18"/>
      <c r="F188" s="19"/>
      <c r="G188" s="148"/>
      <c r="H188" s="29">
        <f>+H187-G139-H139</f>
        <v>432368.27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18"/>
  <sheetViews>
    <sheetView topLeftCell="A86" zoomScale="80" zoomScaleNormal="80" workbookViewId="0">
      <selection activeCell="I52" sqref="I52"/>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49" t="s">
        <v>66</v>
      </c>
    </row>
    <row r="4" spans="1:22" x14ac:dyDescent="0.2">
      <c r="A4" s="99"/>
      <c r="B4" s="7"/>
      <c r="C4" s="3"/>
      <c r="D4" s="3"/>
      <c r="E4" s="212"/>
      <c r="F4" s="8"/>
      <c r="G4" s="215"/>
      <c r="H4" s="216"/>
      <c r="I4" s="202"/>
      <c r="J4" s="202"/>
      <c r="K4" s="202"/>
      <c r="M4" s="10"/>
      <c r="P4" s="249" t="s">
        <v>1</v>
      </c>
    </row>
    <row r="5" spans="1:22" x14ac:dyDescent="0.2">
      <c r="E5" s="217" t="s">
        <v>208</v>
      </c>
      <c r="F5" s="249" t="s">
        <v>3</v>
      </c>
      <c r="G5" s="249" t="s">
        <v>4</v>
      </c>
      <c r="H5" s="249"/>
      <c r="I5" s="204" t="s">
        <v>208</v>
      </c>
      <c r="J5" s="13" t="s">
        <v>180</v>
      </c>
      <c r="K5" s="204" t="s">
        <v>209</v>
      </c>
      <c r="L5" s="249" t="s">
        <v>5</v>
      </c>
      <c r="M5" s="11" t="s">
        <v>6</v>
      </c>
      <c r="N5" s="11" t="s">
        <v>0</v>
      </c>
      <c r="O5" s="11" t="s">
        <v>8</v>
      </c>
      <c r="P5" s="249" t="s">
        <v>9</v>
      </c>
      <c r="Q5" s="576" t="s">
        <v>10</v>
      </c>
      <c r="R5" s="576"/>
      <c r="U5" s="12" t="s">
        <v>11</v>
      </c>
    </row>
    <row r="6" spans="1:22" x14ac:dyDescent="0.2">
      <c r="E6" s="218">
        <v>42551</v>
      </c>
      <c r="F6" s="13" t="s">
        <v>12</v>
      </c>
      <c r="G6" s="14" t="s">
        <v>13</v>
      </c>
      <c r="H6" s="14" t="s">
        <v>8</v>
      </c>
      <c r="I6" s="205">
        <v>42643</v>
      </c>
      <c r="J6" s="13" t="s">
        <v>210</v>
      </c>
      <c r="K6" s="205">
        <f>I6</f>
        <v>42643</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Jun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Jun 2016'!$A$1:$I$252,9,FALSE)</f>
        <v>1793240.16</v>
      </c>
      <c r="F10" s="33">
        <v>0</v>
      </c>
      <c r="G10" s="33">
        <v>141503.12</v>
      </c>
      <c r="H10" s="33">
        <v>0</v>
      </c>
      <c r="I10" s="115">
        <f>E10+F10+G10+H10</f>
        <v>1934743.2799999998</v>
      </c>
      <c r="J10" s="30">
        <v>0</v>
      </c>
      <c r="K10" s="115">
        <f>I10+J10</f>
        <v>1934743.2799999998</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221">
        <f>SUM(E9:E11)</f>
        <v>1793240.1599999988</v>
      </c>
      <c r="F12" s="29">
        <f t="shared" ref="F12:J12" si="0">SUM(F9:F10)</f>
        <v>0</v>
      </c>
      <c r="G12" s="29">
        <f t="shared" si="0"/>
        <v>141503.12</v>
      </c>
      <c r="H12" s="29">
        <f t="shared" si="0"/>
        <v>0</v>
      </c>
      <c r="I12" s="117">
        <f t="shared" si="0"/>
        <v>1934743.2799999986</v>
      </c>
      <c r="J12" s="29">
        <f t="shared" si="0"/>
        <v>0</v>
      </c>
      <c r="K12" s="123">
        <f>SUM(K9:K10)</f>
        <v>1934743.2799999986</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Jun 2016'!$A$1:$I$252,9,FALSE)</f>
        <v>519207.81000000006</v>
      </c>
      <c r="F15" s="30">
        <v>0</v>
      </c>
      <c r="G15" s="33">
        <v>221794</v>
      </c>
      <c r="H15" s="30">
        <v>0</v>
      </c>
      <c r="I15" s="115">
        <f>E15+F15+G15+H15</f>
        <v>741001.81</v>
      </c>
      <c r="J15" s="30">
        <v>0</v>
      </c>
      <c r="K15" s="115">
        <f>I15+J15</f>
        <v>741001.81</v>
      </c>
      <c r="L15" s="210" t="s">
        <v>22</v>
      </c>
      <c r="M15" s="20"/>
      <c r="S15" s="18"/>
    </row>
    <row r="16" spans="1:22" x14ac:dyDescent="0.2">
      <c r="A16" s="100" t="s">
        <v>157</v>
      </c>
      <c r="B16" s="28"/>
      <c r="C16" s="28" t="s">
        <v>37</v>
      </c>
      <c r="D16" s="4" t="s">
        <v>192</v>
      </c>
      <c r="E16" s="32">
        <f>VLOOKUP(A16,'DEK Jun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30">
        <v>1955018.08</v>
      </c>
      <c r="K17" s="115">
        <f t="shared" ref="K17" si="1">I17+J17</f>
        <v>1955018.08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1959353.81</v>
      </c>
      <c r="F19" s="29">
        <f t="shared" ref="F19:J19" si="2">SUM(F15:F18)</f>
        <v>0</v>
      </c>
      <c r="G19" s="29">
        <f t="shared" si="2"/>
        <v>221794</v>
      </c>
      <c r="H19" s="29">
        <f t="shared" si="2"/>
        <v>0</v>
      </c>
      <c r="I19" s="123">
        <f t="shared" si="2"/>
        <v>2181147.81</v>
      </c>
      <c r="J19" s="49">
        <f t="shared" si="2"/>
        <v>1955018.08</v>
      </c>
      <c r="K19" s="123">
        <f>SUM(K15:K18)</f>
        <v>4136165.89</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Jun 2016'!$A$1:$I$252,9,FALSE)</f>
        <v>1588142.8100000017</v>
      </c>
      <c r="F22" s="33">
        <v>0</v>
      </c>
      <c r="G22" s="33">
        <v>0</v>
      </c>
      <c r="H22" s="33">
        <v>-66618.509999999995</v>
      </c>
      <c r="I22" s="115">
        <f>E22+F22+G22+H22</f>
        <v>1521524.3000000017</v>
      </c>
      <c r="J22" s="33">
        <v>-266474.03999999998</v>
      </c>
      <c r="K22" s="115">
        <f>I22+J22</f>
        <v>1255050.2600000016</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1588142.8100000017</v>
      </c>
      <c r="F24" s="29">
        <f t="shared" ref="F24:K24" si="3">SUM(F22:F23)</f>
        <v>0</v>
      </c>
      <c r="G24" s="29">
        <f t="shared" si="3"/>
        <v>0</v>
      </c>
      <c r="H24" s="29">
        <f t="shared" si="3"/>
        <v>-66618.509999999995</v>
      </c>
      <c r="I24" s="123">
        <f t="shared" si="3"/>
        <v>1521524.3000000017</v>
      </c>
      <c r="J24" s="49">
        <f t="shared" si="3"/>
        <v>-266474.03999999998</v>
      </c>
      <c r="K24" s="123">
        <f t="shared" si="3"/>
        <v>1255050.2600000016</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Jun 2016'!$A$1:$I$252,9,FALSE)</f>
        <v>2108487</v>
      </c>
      <c r="F27" s="33">
        <v>0</v>
      </c>
      <c r="G27" s="33">
        <v>71614</v>
      </c>
      <c r="H27" s="29">
        <v>0</v>
      </c>
      <c r="I27" s="115">
        <f>E27+F27+G27+H27</f>
        <v>2180101</v>
      </c>
      <c r="J27" s="33">
        <v>0</v>
      </c>
      <c r="K27" s="115">
        <f>I27+J27</f>
        <v>2180101</v>
      </c>
      <c r="L27" s="210" t="s">
        <v>22</v>
      </c>
      <c r="M27" s="226"/>
      <c r="S27" s="28" t="s">
        <v>23</v>
      </c>
    </row>
    <row r="28" spans="1:21" ht="13.5" customHeight="1" x14ac:dyDescent="0.2">
      <c r="A28" s="100" t="s">
        <v>80</v>
      </c>
      <c r="B28" s="28"/>
      <c r="C28" s="28" t="s">
        <v>24</v>
      </c>
      <c r="D28" s="4" t="s">
        <v>204</v>
      </c>
      <c r="E28" s="32">
        <f>VLOOKUP(A28,'DEK Jun 2016'!$A$1:$I$252,9,FALSE)</f>
        <v>3322707.2</v>
      </c>
      <c r="F28" s="33">
        <v>0</v>
      </c>
      <c r="G28" s="33">
        <v>-3330035</v>
      </c>
      <c r="H28" s="32">
        <v>0</v>
      </c>
      <c r="I28" s="115">
        <f>E28+F28+G28+H28</f>
        <v>-7327.7999999998137</v>
      </c>
      <c r="J28" s="33">
        <v>0</v>
      </c>
      <c r="K28" s="115">
        <f>I28+J28</f>
        <v>-7327.7999999998137</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5431194.2000000002</v>
      </c>
      <c r="F30" s="44">
        <f t="shared" ref="F30:K30" si="4">SUM(F27:F28)</f>
        <v>0</v>
      </c>
      <c r="G30" s="33">
        <f t="shared" si="4"/>
        <v>-3258421</v>
      </c>
      <c r="H30" s="33">
        <f t="shared" si="4"/>
        <v>0</v>
      </c>
      <c r="I30" s="123">
        <f t="shared" si="4"/>
        <v>2172773.2000000002</v>
      </c>
      <c r="J30" s="33">
        <f t="shared" si="4"/>
        <v>0</v>
      </c>
      <c r="K30" s="123">
        <f t="shared" si="4"/>
        <v>2172773.2000000002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Jun 2016'!$A$1:$I$252,9,FALSE)</f>
        <v>2618098.2300000014</v>
      </c>
      <c r="F52" s="33">
        <v>0</v>
      </c>
      <c r="G52" s="33">
        <v>-929554.2</v>
      </c>
      <c r="H52" s="33">
        <v>0</v>
      </c>
      <c r="I52" s="115">
        <f>E52+F52+G52+H52</f>
        <v>1688544.0300000014</v>
      </c>
      <c r="J52" s="33">
        <v>-1688544.04</v>
      </c>
      <c r="K52" s="115">
        <f>I52+J52</f>
        <v>-9.9999986123293638E-3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Jun 2016'!$A$1:$I$252,9,FALSE)</f>
        <v>7101328</v>
      </c>
      <c r="F53" s="33">
        <v>0</v>
      </c>
      <c r="G53" s="33">
        <v>-430447</v>
      </c>
      <c r="H53" s="33">
        <v>0</v>
      </c>
      <c r="I53" s="115">
        <f>E53+F53+G53+H53</f>
        <v>6670881</v>
      </c>
      <c r="J53" s="33">
        <v>0</v>
      </c>
      <c r="K53" s="115">
        <f>I53+J53</f>
        <v>6670881</v>
      </c>
      <c r="L53" s="210" t="s">
        <v>22</v>
      </c>
      <c r="M53" s="6" t="s">
        <v>110</v>
      </c>
      <c r="N53" s="6" t="s">
        <v>111</v>
      </c>
      <c r="S53" s="18">
        <v>182410</v>
      </c>
    </row>
    <row r="54" spans="1:23" x14ac:dyDescent="0.2">
      <c r="B54" s="28"/>
      <c r="C54" s="28"/>
      <c r="E54" s="83"/>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83"/>
      <c r="F56" s="33"/>
      <c r="G56" s="33"/>
      <c r="H56" s="33"/>
      <c r="I56" s="115"/>
      <c r="J56" s="33"/>
      <c r="K56" s="115"/>
      <c r="S56" s="18"/>
      <c r="W56" s="47"/>
    </row>
    <row r="57" spans="1:23" hidden="1" x14ac:dyDescent="0.2">
      <c r="A57" s="100" t="s">
        <v>132</v>
      </c>
      <c r="B57" s="28"/>
      <c r="C57" s="28" t="s">
        <v>131</v>
      </c>
      <c r="D57" s="4" t="s">
        <v>132</v>
      </c>
      <c r="E57" s="32">
        <v>0</v>
      </c>
      <c r="F57" s="33">
        <v>0</v>
      </c>
      <c r="G57" s="33">
        <v>0</v>
      </c>
      <c r="H57" s="33">
        <v>0</v>
      </c>
      <c r="I57" s="115">
        <f>E57+F57+G57+H57</f>
        <v>0</v>
      </c>
      <c r="J57" s="33">
        <v>0</v>
      </c>
      <c r="K57" s="115">
        <f>I57+J57</f>
        <v>0</v>
      </c>
      <c r="S57" s="18"/>
    </row>
    <row r="58" spans="1:23" hidden="1" x14ac:dyDescent="0.2">
      <c r="B58" s="28"/>
      <c r="C58" s="28"/>
      <c r="E58" s="83"/>
      <c r="F58" s="33"/>
      <c r="G58" s="33"/>
      <c r="H58" s="33"/>
      <c r="I58" s="115"/>
      <c r="J58" s="33"/>
      <c r="K58" s="115"/>
      <c r="S58" s="18"/>
    </row>
    <row r="59" spans="1:23" x14ac:dyDescent="0.2">
      <c r="A59" s="100" t="s">
        <v>134</v>
      </c>
      <c r="B59" s="28"/>
      <c r="C59" s="28" t="s">
        <v>133</v>
      </c>
      <c r="D59" s="4" t="s">
        <v>205</v>
      </c>
      <c r="E59" s="32">
        <f>VLOOKUP(A59,'DEK Jun 2016'!$A$1:$I$252,9,FALSE)</f>
        <v>1500000</v>
      </c>
      <c r="F59" s="33">
        <v>0</v>
      </c>
      <c r="G59" s="33">
        <v>50000</v>
      </c>
      <c r="H59" s="33">
        <v>0</v>
      </c>
      <c r="I59" s="115">
        <f>E59+F59+G59+H59</f>
        <v>1550000</v>
      </c>
      <c r="J59" s="33">
        <v>0</v>
      </c>
      <c r="K59" s="115">
        <f>I59+J59</f>
        <v>1550000</v>
      </c>
      <c r="L59" s="210" t="s">
        <v>22</v>
      </c>
      <c r="M59" s="20" t="s">
        <v>249</v>
      </c>
      <c r="S59" s="18"/>
    </row>
    <row r="60" spans="1:23" x14ac:dyDescent="0.2">
      <c r="B60" s="28"/>
      <c r="C60" s="28"/>
      <c r="E60" s="83"/>
      <c r="F60" s="33"/>
      <c r="G60" s="33"/>
      <c r="H60" s="33"/>
      <c r="I60" s="115"/>
      <c r="J60" s="33"/>
      <c r="K60" s="115"/>
      <c r="S60" s="18"/>
    </row>
    <row r="61" spans="1:23" hidden="1" x14ac:dyDescent="0.2">
      <c r="A61" s="100" t="s">
        <v>175</v>
      </c>
      <c r="B61" s="28"/>
      <c r="C61" s="28" t="s">
        <v>176</v>
      </c>
      <c r="D61" s="4" t="s">
        <v>175</v>
      </c>
      <c r="E61" s="32">
        <v>0</v>
      </c>
      <c r="F61" s="33">
        <v>0</v>
      </c>
      <c r="G61" s="33">
        <v>0</v>
      </c>
      <c r="H61" s="33">
        <v>0</v>
      </c>
      <c r="I61" s="115">
        <v>0</v>
      </c>
      <c r="J61" s="33">
        <v>0</v>
      </c>
      <c r="K61" s="115">
        <v>0</v>
      </c>
      <c r="S61" s="18"/>
      <c r="W61" s="47"/>
    </row>
    <row r="62" spans="1:23" hidden="1" x14ac:dyDescent="0.2">
      <c r="B62" s="28"/>
      <c r="C62" s="28"/>
      <c r="E62" s="83"/>
      <c r="F62" s="33"/>
      <c r="G62" s="33"/>
      <c r="H62" s="33"/>
      <c r="I62" s="115"/>
      <c r="J62" s="33"/>
      <c r="K62" s="115"/>
      <c r="S62" s="18"/>
      <c r="W62" s="47"/>
    </row>
    <row r="63" spans="1:23" x14ac:dyDescent="0.2">
      <c r="A63" s="100" t="s">
        <v>39</v>
      </c>
      <c r="B63" s="28"/>
      <c r="C63" s="28" t="s">
        <v>38</v>
      </c>
      <c r="D63" s="4" t="s">
        <v>39</v>
      </c>
      <c r="E63" s="32">
        <f>VLOOKUP(A63,'DEK Jun 2016'!$A$1:$I$252,9,FALSE)</f>
        <v>4912684</v>
      </c>
      <c r="F63" s="33">
        <v>0</v>
      </c>
      <c r="G63" s="44">
        <v>0</v>
      </c>
      <c r="H63" s="33">
        <v>0</v>
      </c>
      <c r="I63" s="115">
        <f>E63+F63+G63+H63</f>
        <v>4912684</v>
      </c>
      <c r="J63" s="33">
        <v>0</v>
      </c>
      <c r="K63" s="115">
        <f>I63+J63</f>
        <v>4912684</v>
      </c>
      <c r="L63" s="210" t="s">
        <v>22</v>
      </c>
      <c r="M63" s="20" t="s">
        <v>112</v>
      </c>
      <c r="S63" s="18"/>
    </row>
    <row r="64" spans="1:23" x14ac:dyDescent="0.2">
      <c r="B64" s="28"/>
      <c r="C64" s="28"/>
      <c r="E64" s="83"/>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v>0</v>
      </c>
      <c r="F65" s="33">
        <v>0</v>
      </c>
      <c r="G65" s="44">
        <v>0</v>
      </c>
      <c r="H65" s="33">
        <v>0</v>
      </c>
      <c r="I65" s="115">
        <f t="shared" si="5"/>
        <v>0</v>
      </c>
      <c r="J65" s="33">
        <f>F65+G65+H65+I65</f>
        <v>0</v>
      </c>
      <c r="K65" s="115">
        <f t="shared" si="6"/>
        <v>0</v>
      </c>
      <c r="M65" s="20"/>
      <c r="S65" s="18"/>
    </row>
    <row r="66" spans="1:19" ht="12.75" hidden="1" customHeight="1" x14ac:dyDescent="0.2">
      <c r="B66" s="28"/>
      <c r="C66" s="28"/>
      <c r="E66" s="32"/>
      <c r="F66" s="33"/>
      <c r="G66" s="44"/>
      <c r="H66" s="33"/>
      <c r="I66" s="115"/>
      <c r="J66" s="33"/>
      <c r="K66" s="115"/>
      <c r="M66" s="20"/>
      <c r="S66" s="18"/>
    </row>
    <row r="67" spans="1:19" ht="15.75" customHeight="1" x14ac:dyDescent="0.35">
      <c r="A67" s="100" t="s">
        <v>231</v>
      </c>
      <c r="B67" s="28"/>
      <c r="C67" s="28" t="s">
        <v>229</v>
      </c>
      <c r="D67" s="4" t="s">
        <v>230</v>
      </c>
      <c r="E67" s="32">
        <f>VLOOKUP(A67,'DEK Jun 2016'!$A$1:$I$252,9,FALSE)</f>
        <v>19105641.439999998</v>
      </c>
      <c r="F67" s="172"/>
      <c r="G67" s="33">
        <v>2122324.6</v>
      </c>
      <c r="H67" s="172"/>
      <c r="I67" s="115">
        <f t="shared" si="5"/>
        <v>21227966.039999999</v>
      </c>
      <c r="J67" s="172"/>
      <c r="K67" s="115">
        <f t="shared" si="6"/>
        <v>21227966.039999999</v>
      </c>
      <c r="L67" s="210" t="s">
        <v>250</v>
      </c>
      <c r="M67" s="20" t="s">
        <v>246</v>
      </c>
      <c r="S67" s="18"/>
    </row>
    <row r="68" spans="1:19" ht="12.75" customHeight="1" x14ac:dyDescent="0.35">
      <c r="B68" s="28"/>
      <c r="C68" s="28"/>
      <c r="E68" s="171"/>
      <c r="F68" s="172"/>
      <c r="G68" s="33"/>
      <c r="H68" s="172"/>
      <c r="I68" s="115"/>
      <c r="J68" s="172"/>
      <c r="K68" s="115"/>
      <c r="M68" s="20"/>
      <c r="S68" s="18"/>
    </row>
    <row r="69" spans="1:19" ht="20.25" customHeight="1" x14ac:dyDescent="0.35">
      <c r="A69" s="100" t="s">
        <v>238</v>
      </c>
      <c r="B69" s="28"/>
      <c r="C69" s="28" t="s">
        <v>236</v>
      </c>
      <c r="D69" s="4" t="s">
        <v>238</v>
      </c>
      <c r="E69" s="32">
        <f>VLOOKUP(A69,'DEK Jun 2016'!$A$1:$I$252,9,FALSE)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Jun 2016'!$A$1:$I$252,9,FALSE)</f>
        <v>6127464.0900000008</v>
      </c>
      <c r="F71" s="172"/>
      <c r="G71" s="33">
        <v>903274.41</v>
      </c>
      <c r="H71" s="33">
        <v>0</v>
      </c>
      <c r="I71" s="115">
        <f t="shared" si="5"/>
        <v>7030738.5000000009</v>
      </c>
      <c r="J71" s="33"/>
      <c r="K71" s="115">
        <f t="shared" si="6"/>
        <v>7030738.5000000009</v>
      </c>
      <c r="L71" s="210"/>
      <c r="M71" s="20"/>
      <c r="S71" s="18"/>
    </row>
    <row r="72" spans="1:19" ht="12.75" customHeight="1" x14ac:dyDescent="0.35">
      <c r="B72" s="28"/>
      <c r="C72" s="28"/>
      <c r="E72" s="32"/>
      <c r="F72" s="172"/>
      <c r="G72" s="33"/>
      <c r="H72" s="33"/>
      <c r="I72" s="115"/>
      <c r="J72" s="33"/>
      <c r="K72" s="115"/>
      <c r="L72" s="210"/>
      <c r="M72" s="20"/>
      <c r="S72" s="18"/>
    </row>
    <row r="73" spans="1:19" ht="12.75" customHeight="1" x14ac:dyDescent="0.35">
      <c r="A73" s="100" t="s">
        <v>257</v>
      </c>
      <c r="B73" s="28"/>
      <c r="C73" s="28" t="s">
        <v>256</v>
      </c>
      <c r="D73" s="4" t="s">
        <v>257</v>
      </c>
      <c r="E73" s="32">
        <f>VLOOKUP(A73,'DEK Jun 2016'!$A$1:$I$252,9,FALSE)</f>
        <v>-89032.91</v>
      </c>
      <c r="F73" s="172"/>
      <c r="G73" s="33">
        <v>-79700.78</v>
      </c>
      <c r="H73" s="33">
        <v>0</v>
      </c>
      <c r="I73" s="115">
        <f t="shared" si="5"/>
        <v>-168733.69</v>
      </c>
      <c r="J73" s="33"/>
      <c r="K73" s="115">
        <f t="shared" si="6"/>
        <v>-168733.69</v>
      </c>
      <c r="L73" s="210"/>
      <c r="M73" s="20"/>
      <c r="S73" s="18"/>
    </row>
    <row r="74" spans="1:19" ht="12.75" customHeight="1" x14ac:dyDescent="0.35">
      <c r="B74" s="28"/>
      <c r="C74" s="28"/>
      <c r="E74" s="32"/>
      <c r="F74" s="172"/>
      <c r="G74" s="33"/>
      <c r="H74" s="33"/>
      <c r="I74" s="115"/>
      <c r="J74" s="33"/>
      <c r="K74" s="115" t="s">
        <v>222</v>
      </c>
      <c r="M74" s="20"/>
      <c r="S74" s="18"/>
    </row>
    <row r="75" spans="1:19" ht="16.5" customHeight="1" x14ac:dyDescent="0.35">
      <c r="A75" s="100" t="s">
        <v>240</v>
      </c>
      <c r="B75" s="28"/>
      <c r="C75" s="28" t="s">
        <v>239</v>
      </c>
      <c r="D75" s="4" t="s">
        <v>240</v>
      </c>
      <c r="E75" s="32">
        <f>VLOOKUP(A75,'DEK Jun 2016'!$A$1:$I$252,9,FALSE)</f>
        <v>6525352.6500000004</v>
      </c>
      <c r="F75" s="172"/>
      <c r="G75" s="33">
        <v>1146939.28</v>
      </c>
      <c r="H75" s="33">
        <v>0</v>
      </c>
      <c r="I75" s="115">
        <f t="shared" ref="I75" si="7">E75+F75+G75+H75</f>
        <v>7672291.9300000006</v>
      </c>
      <c r="J75" s="33"/>
      <c r="K75" s="115">
        <f t="shared" ref="K75" si="8">I75+J75</f>
        <v>7672291.9300000006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Jun 2016'!$A$1:$I$252,9,FALSE)</f>
        <v>0.5</v>
      </c>
      <c r="F77" s="174"/>
      <c r="G77" s="33">
        <v>0</v>
      </c>
      <c r="H77" s="33">
        <v>0</v>
      </c>
      <c r="I77" s="115">
        <f t="shared" ref="I77:I79" si="9">E77+F77+G77+H77</f>
        <v>0.5</v>
      </c>
      <c r="J77" s="33"/>
      <c r="K77" s="115">
        <f t="shared" ref="K77:K79" si="10">I77+J77</f>
        <v>0.5</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v>0</v>
      </c>
      <c r="F79" s="174"/>
      <c r="G79" s="36">
        <v>811753.8</v>
      </c>
      <c r="H79" s="36">
        <v>0</v>
      </c>
      <c r="I79" s="116">
        <f t="shared" si="9"/>
        <v>811753.8</v>
      </c>
      <c r="J79" s="36"/>
      <c r="K79" s="116">
        <f t="shared" si="10"/>
        <v>811753.8</v>
      </c>
      <c r="M79" s="20"/>
      <c r="S79" s="18"/>
    </row>
    <row r="80" spans="1:19" x14ac:dyDescent="0.2">
      <c r="B80" s="54"/>
      <c r="C80" s="28"/>
      <c r="E80" s="221">
        <f>SUM(E42:E79)</f>
        <v>47801536.000000007</v>
      </c>
      <c r="F80" s="29">
        <f>SUM(F39:F65)+F36</f>
        <v>0</v>
      </c>
      <c r="G80" s="29">
        <f>SUM(G39:G79)+G36</f>
        <v>3594590.1100000003</v>
      </c>
      <c r="H80" s="29">
        <f>SUM(H39:H79)+H36</f>
        <v>0</v>
      </c>
      <c r="I80" s="123">
        <f>SUM(I39:I79)+I36</f>
        <v>51396126.109999999</v>
      </c>
      <c r="J80" s="49">
        <f>SUM(J39:J79)+J36</f>
        <v>-1688544.04</v>
      </c>
      <c r="K80" s="123">
        <f>SUM(K39:K79)+K36</f>
        <v>49707582.07</v>
      </c>
      <c r="L80" s="258"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Jun 2016'!$A$1:$I$252,9,FALSE)</f>
        <v>2067146.04</v>
      </c>
      <c r="F82" s="29"/>
      <c r="G82" s="29">
        <v>1030647.13</v>
      </c>
      <c r="H82" s="29">
        <v>0</v>
      </c>
      <c r="I82" s="123">
        <f>E82+F82+G82+H82</f>
        <v>3097793.17</v>
      </c>
      <c r="J82" s="49">
        <v>0</v>
      </c>
      <c r="K82" s="123">
        <f t="shared" ref="K82" si="11">I82+J82</f>
        <v>3097793.17</v>
      </c>
      <c r="L82" s="258" t="s">
        <v>277</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Jun 2016'!$A$1:$I$252,9,FALSE)</f>
        <v>24482466.440000001</v>
      </c>
      <c r="F86" s="30">
        <v>0</v>
      </c>
      <c r="G86" s="33">
        <v>-420093</v>
      </c>
      <c r="H86" s="30">
        <v>0</v>
      </c>
      <c r="I86" s="115">
        <f>E86+F86+G86+H86</f>
        <v>24062373.440000001</v>
      </c>
      <c r="J86" s="30">
        <v>0</v>
      </c>
      <c r="K86" s="115">
        <f t="shared" ref="K86:K88" si="12">I86+J86</f>
        <v>24062373.440000001</v>
      </c>
      <c r="L86" s="210" t="s">
        <v>22</v>
      </c>
      <c r="M86" s="20"/>
      <c r="P86" s="58"/>
      <c r="S86" s="18">
        <v>186801</v>
      </c>
    </row>
    <row r="87" spans="1:21" x14ac:dyDescent="0.2">
      <c r="A87" s="108" t="s">
        <v>171</v>
      </c>
      <c r="B87" s="28"/>
      <c r="C87" s="28" t="s">
        <v>122</v>
      </c>
      <c r="D87" s="4" t="s">
        <v>225</v>
      </c>
      <c r="E87" s="32">
        <f>VLOOKUP(A87,'DEK Jun 2016'!$A$1:$I$252,9,FALSE)</f>
        <v>2762541.55</v>
      </c>
      <c r="F87" s="30">
        <v>0</v>
      </c>
      <c r="G87" s="33">
        <v>-76194</v>
      </c>
      <c r="H87" s="30">
        <v>0</v>
      </c>
      <c r="I87" s="115">
        <f>E87+F87+G87+H87</f>
        <v>2686347.55</v>
      </c>
      <c r="J87" s="30">
        <v>0</v>
      </c>
      <c r="K87" s="115">
        <f t="shared" si="12"/>
        <v>2686347.55</v>
      </c>
      <c r="L87" s="210" t="s">
        <v>22</v>
      </c>
      <c r="M87" s="20"/>
      <c r="P87" s="58"/>
      <c r="S87" s="18"/>
    </row>
    <row r="88" spans="1:21" x14ac:dyDescent="0.2">
      <c r="A88" s="108" t="s">
        <v>172</v>
      </c>
      <c r="B88" s="28"/>
      <c r="C88" s="28" t="s">
        <v>123</v>
      </c>
      <c r="D88" s="4" t="s">
        <v>226</v>
      </c>
      <c r="E88" s="32">
        <f>VLOOKUP(A88,'DEK Jun 2016'!$A$1:$I$252,9,FALSE)</f>
        <v>49112.05</v>
      </c>
      <c r="F88" s="30">
        <v>0</v>
      </c>
      <c r="G88" s="33">
        <v>-1176</v>
      </c>
      <c r="H88" s="30">
        <v>0</v>
      </c>
      <c r="I88" s="115">
        <f>E88+F88+G88+H88</f>
        <v>47936.05</v>
      </c>
      <c r="J88" s="30">
        <v>0</v>
      </c>
      <c r="K88" s="115">
        <f t="shared" si="12"/>
        <v>47936.05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27294120.040000003</v>
      </c>
      <c r="F90" s="29">
        <f t="shared" ref="F90:K90" si="13">SUM(F85:F89)</f>
        <v>0</v>
      </c>
      <c r="G90" s="29">
        <f>SUM(G85:G89)</f>
        <v>-497463</v>
      </c>
      <c r="H90" s="29">
        <f t="shared" si="13"/>
        <v>0</v>
      </c>
      <c r="I90" s="123">
        <f t="shared" si="13"/>
        <v>26796657.040000003</v>
      </c>
      <c r="J90" s="29">
        <f t="shared" si="13"/>
        <v>0</v>
      </c>
      <c r="K90" s="123">
        <f t="shared" si="13"/>
        <v>26796657.040000003</v>
      </c>
      <c r="L90" s="258"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87934733.060000017</v>
      </c>
      <c r="F96" s="133">
        <f>+F12+F24+F30+F80+F90+F92+F19+F93</f>
        <v>0</v>
      </c>
      <c r="G96" s="133">
        <f>+G12+G24+G30+G80+G82+G90+G92+G19+G93</f>
        <v>1232650.3600000003</v>
      </c>
      <c r="H96" s="133">
        <f>+H12+H24+H30+H80+H82+H90+H92+H19+H93</f>
        <v>-66618.509999999995</v>
      </c>
      <c r="I96" s="134">
        <f>+I12+I24+I30+I80+I82+I90+I92+I19+I93</f>
        <v>89100764.910000011</v>
      </c>
      <c r="J96" s="133">
        <f>+J12+J24+J30+J80+J82+J90+J92+J19+J93</f>
        <v>0</v>
      </c>
      <c r="K96" s="134">
        <f>+K12+K24+K30+K80+K82+K90+K92+K19+K93</f>
        <v>89100764.910000011</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Jun 2016'!$A$1:$I$252,9,FALSE)</f>
        <v>9.4951246865093708E-10</v>
      </c>
      <c r="F99" s="30">
        <v>0</v>
      </c>
      <c r="G99" s="33">
        <v>0</v>
      </c>
      <c r="H99" s="33">
        <v>0</v>
      </c>
      <c r="I99" s="115">
        <f t="shared" ref="I99:I104" si="15">E99+F99+G99+H99</f>
        <v>9.4951246865093708E-10</v>
      </c>
      <c r="J99" s="30">
        <v>0</v>
      </c>
      <c r="K99" s="115">
        <f t="shared" ref="K99:K104" si="16">I99+J99</f>
        <v>9.4951246865093708E-10</v>
      </c>
      <c r="L99" s="210" t="s">
        <v>22</v>
      </c>
      <c r="M99" s="33"/>
      <c r="N99" s="42"/>
      <c r="O99" s="42"/>
      <c r="S99" s="18">
        <v>191400</v>
      </c>
      <c r="T99" s="58"/>
    </row>
    <row r="100" spans="1:20" x14ac:dyDescent="0.2">
      <c r="A100" s="100" t="s">
        <v>115</v>
      </c>
      <c r="B100" s="18"/>
      <c r="C100" s="28" t="s">
        <v>53</v>
      </c>
      <c r="D100" s="4" t="s">
        <v>115</v>
      </c>
      <c r="E100" s="32">
        <f>VLOOKUP(A100,'DEK Jun 2016'!$A$1:$I$252,9,FALSE)</f>
        <v>0</v>
      </c>
      <c r="F100" s="30">
        <v>0</v>
      </c>
      <c r="G100" s="33">
        <v>0</v>
      </c>
      <c r="H100" s="33">
        <v>0</v>
      </c>
      <c r="I100" s="115">
        <f t="shared" si="15"/>
        <v>0</v>
      </c>
      <c r="J100" s="30">
        <v>0</v>
      </c>
      <c r="K100" s="115">
        <f t="shared" si="16"/>
        <v>0</v>
      </c>
      <c r="L100" s="210" t="s">
        <v>22</v>
      </c>
      <c r="M100" s="30"/>
      <c r="N100" s="42"/>
      <c r="O100" s="42"/>
      <c r="S100" s="18">
        <v>191800</v>
      </c>
      <c r="T100" s="58"/>
    </row>
    <row r="101" spans="1:20" ht="12.75" customHeight="1" x14ac:dyDescent="0.2">
      <c r="A101" s="100" t="s">
        <v>117</v>
      </c>
      <c r="B101" s="18"/>
      <c r="C101" s="28" t="s">
        <v>77</v>
      </c>
      <c r="D101" s="4" t="s">
        <v>117</v>
      </c>
      <c r="E101" s="32">
        <f>VLOOKUP(A101,'DEK Jun 2016'!$A$1:$I$252,9,FALSE)</f>
        <v>-208592.1</v>
      </c>
      <c r="F101" s="30">
        <v>0</v>
      </c>
      <c r="G101" s="30">
        <v>207205.94</v>
      </c>
      <c r="H101" s="33">
        <v>0</v>
      </c>
      <c r="I101" s="115">
        <f t="shared" si="15"/>
        <v>-1386.1600000000035</v>
      </c>
      <c r="J101" s="30">
        <v>0</v>
      </c>
      <c r="K101" s="115">
        <f t="shared" si="16"/>
        <v>-1386.1600000000035</v>
      </c>
      <c r="L101" s="210" t="s">
        <v>22</v>
      </c>
      <c r="M101" s="20"/>
      <c r="N101" s="42"/>
      <c r="O101" s="42"/>
      <c r="S101" s="18">
        <v>242995</v>
      </c>
      <c r="T101" s="58"/>
    </row>
    <row r="102" spans="1:20" x14ac:dyDescent="0.2">
      <c r="A102" s="100" t="s">
        <v>119</v>
      </c>
      <c r="B102" s="18"/>
      <c r="C102" s="28" t="s">
        <v>118</v>
      </c>
      <c r="D102" s="4" t="s">
        <v>119</v>
      </c>
      <c r="E102" s="32">
        <f>VLOOKUP(A102,'DEK Jun 2016'!$A$1:$I$252,9,FALSE)</f>
        <v>-634301.47000000044</v>
      </c>
      <c r="F102" s="30">
        <v>0</v>
      </c>
      <c r="G102" s="30">
        <v>-706925.14</v>
      </c>
      <c r="H102" s="33">
        <v>0</v>
      </c>
      <c r="I102" s="115">
        <f t="shared" si="15"/>
        <v>-1341226.6100000003</v>
      </c>
      <c r="J102" s="30">
        <v>0</v>
      </c>
      <c r="K102" s="115">
        <f t="shared" si="16"/>
        <v>-1341226.6100000003</v>
      </c>
      <c r="L102" s="210" t="s">
        <v>22</v>
      </c>
      <c r="M102" s="20"/>
      <c r="N102" s="42"/>
      <c r="O102" s="42"/>
      <c r="S102" s="18">
        <v>242997</v>
      </c>
      <c r="T102" s="58"/>
    </row>
    <row r="103" spans="1:20" x14ac:dyDescent="0.2">
      <c r="A103" s="100" t="s">
        <v>120</v>
      </c>
      <c r="B103" s="18"/>
      <c r="C103" s="28" t="s">
        <v>54</v>
      </c>
      <c r="D103" s="4" t="s">
        <v>120</v>
      </c>
      <c r="E103" s="32">
        <f>VLOOKUP(A103,'DEK Jun 2016'!$A$1:$I$252,9,FALSE)</f>
        <v>429698.95000000024</v>
      </c>
      <c r="F103" s="33">
        <v>0</v>
      </c>
      <c r="G103" s="33">
        <v>33900.94</v>
      </c>
      <c r="H103" s="33">
        <f>-7668.1+-6666.07+-13929.24</f>
        <v>-28263.41</v>
      </c>
      <c r="I103" s="115">
        <f t="shared" si="15"/>
        <v>435336.48000000027</v>
      </c>
      <c r="J103" s="33">
        <v>0</v>
      </c>
      <c r="K103" s="115">
        <f t="shared" si="16"/>
        <v>435336.48000000027</v>
      </c>
      <c r="L103" s="210" t="s">
        <v>22</v>
      </c>
      <c r="M103" s="42"/>
      <c r="N103" s="42"/>
      <c r="O103" s="42"/>
      <c r="S103" s="18">
        <v>253130</v>
      </c>
      <c r="T103" s="58"/>
    </row>
    <row r="104" spans="1:20" x14ac:dyDescent="0.2">
      <c r="A104" s="100" t="s">
        <v>156</v>
      </c>
      <c r="B104" s="18"/>
      <c r="C104" s="28" t="s">
        <v>116</v>
      </c>
      <c r="D104" s="4" t="s">
        <v>211</v>
      </c>
      <c r="E104" s="32">
        <f>VLOOKUP(A104,'DEK Jun 2016'!$A$1:$I$252,9,FALSE)</f>
        <v>-1963339.6099999996</v>
      </c>
      <c r="F104" s="33"/>
      <c r="G104" s="33">
        <v>421317.58</v>
      </c>
      <c r="H104" s="33">
        <v>0</v>
      </c>
      <c r="I104" s="115">
        <f t="shared" si="15"/>
        <v>-1542022.0299999996</v>
      </c>
      <c r="J104" s="30">
        <v>0</v>
      </c>
      <c r="K104" s="115">
        <f t="shared" si="16"/>
        <v>-1542022.0299999996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-2376534.2299999991</v>
      </c>
      <c r="F106" s="33">
        <f t="shared" si="17"/>
        <v>0</v>
      </c>
      <c r="G106" s="33">
        <f t="shared" si="17"/>
        <v>-44500.679999999993</v>
      </c>
      <c r="H106" s="33">
        <f t="shared" si="17"/>
        <v>-28263.41</v>
      </c>
      <c r="I106" s="123">
        <f t="shared" si="17"/>
        <v>-2449298.3199999984</v>
      </c>
      <c r="J106" s="33">
        <f t="shared" si="17"/>
        <v>0</v>
      </c>
      <c r="K106" s="123">
        <f t="shared" si="17"/>
        <v>-2449298.3199999984</v>
      </c>
      <c r="L106" s="258"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Jun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221">
        <f>VLOOKUP(A114,'DEK Jun 2016'!$A$1:$I$252,9,FALSE)</f>
        <v>-4662353.7300000004</v>
      </c>
      <c r="F114" s="30">
        <v>0</v>
      </c>
      <c r="G114" s="33">
        <v>137577</v>
      </c>
      <c r="H114" s="33">
        <v>0</v>
      </c>
      <c r="I114" s="123">
        <f>E114+G114+H114+F114</f>
        <v>-4524776.7300000004</v>
      </c>
      <c r="J114" s="91">
        <v>0</v>
      </c>
      <c r="K114" s="123">
        <f>I114+J114</f>
        <v>-4524776.7300000004</v>
      </c>
      <c r="L114" s="259" t="s">
        <v>264</v>
      </c>
      <c r="M114" s="67"/>
      <c r="P114" s="51"/>
      <c r="Q114" s="18"/>
      <c r="R114" s="58"/>
      <c r="S114" s="18"/>
    </row>
    <row r="115" spans="1:23" ht="15" x14ac:dyDescent="0.25">
      <c r="B115" s="18"/>
      <c r="C115" s="28"/>
      <c r="D115" s="65"/>
      <c r="E115" s="83"/>
      <c r="F115" s="30"/>
      <c r="G115" s="33"/>
      <c r="H115" s="33"/>
      <c r="I115" s="126"/>
      <c r="J115" s="1"/>
      <c r="K115" s="126"/>
      <c r="L115" s="210" t="s">
        <v>22</v>
      </c>
      <c r="M115" s="67"/>
      <c r="P115" s="51"/>
      <c r="Q115" s="18"/>
      <c r="R115" s="58"/>
      <c r="S115" s="18"/>
    </row>
    <row r="116" spans="1:23" x14ac:dyDescent="0.2">
      <c r="B116" s="21" t="s">
        <v>227</v>
      </c>
      <c r="C116" s="28"/>
      <c r="E116" s="83"/>
      <c r="F116" s="30"/>
      <c r="G116" s="30"/>
      <c r="H116" s="30"/>
      <c r="I116" s="115"/>
      <c r="J116" s="30"/>
      <c r="K116" s="115"/>
      <c r="M116" s="20"/>
      <c r="N116" s="42"/>
      <c r="O116" s="42"/>
      <c r="R116" s="58"/>
      <c r="S116" s="18"/>
      <c r="T116" s="58"/>
    </row>
    <row r="117" spans="1:23" x14ac:dyDescent="0.2">
      <c r="A117" s="100" t="s">
        <v>163</v>
      </c>
      <c r="B117" s="18"/>
      <c r="C117" s="28" t="s">
        <v>48</v>
      </c>
      <c r="D117" s="4" t="s">
        <v>195</v>
      </c>
      <c r="E117" s="32">
        <f>VLOOKUP(A117,'DEK Jun 2016'!$A$1:$I$252,9,FALSE)</f>
        <v>-3791681</v>
      </c>
      <c r="F117" s="30">
        <v>0</v>
      </c>
      <c r="G117" s="33">
        <v>3344093</v>
      </c>
      <c r="H117" s="33">
        <v>0</v>
      </c>
      <c r="I117" s="115">
        <f>E117+F117+G117+H117</f>
        <v>-447588</v>
      </c>
      <c r="J117" s="30">
        <v>0</v>
      </c>
      <c r="K117" s="115">
        <f t="shared" ref="K117:K119" si="19">I117+J117</f>
        <v>-447588</v>
      </c>
      <c r="M117" s="62"/>
      <c r="P117" s="51"/>
      <c r="Q117" s="18"/>
      <c r="R117" s="58"/>
      <c r="S117" s="18">
        <v>254998</v>
      </c>
    </row>
    <row r="118" spans="1:23" x14ac:dyDescent="0.2">
      <c r="A118" s="100" t="s">
        <v>179</v>
      </c>
      <c r="B118" s="18"/>
      <c r="C118" s="28" t="s">
        <v>47</v>
      </c>
      <c r="D118" s="4" t="s">
        <v>196</v>
      </c>
      <c r="E118" s="32">
        <f>VLOOKUP(A118,'DEK Jun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Jun 2016'!$A$1:$I$252,9,FALSE)</f>
        <v>-15050.760000000004</v>
      </c>
      <c r="F119" s="30">
        <v>0</v>
      </c>
      <c r="G119" s="33">
        <v>179.65</v>
      </c>
      <c r="H119" s="33">
        <v>0</v>
      </c>
      <c r="I119" s="117">
        <f>E119+F119+G119+H119</f>
        <v>-14871.110000000004</v>
      </c>
      <c r="J119" s="30">
        <v>0</v>
      </c>
      <c r="K119" s="117">
        <f t="shared" si="19"/>
        <v>-14871.110000000004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44">
        <f t="shared" ref="E121" si="20">SUM(E117:E120)</f>
        <v>-3806731.76</v>
      </c>
      <c r="F121" s="30">
        <f t="shared" ref="F121:K121" si="21">SUM(F117:F120)</f>
        <v>0</v>
      </c>
      <c r="G121" s="30">
        <f t="shared" si="21"/>
        <v>3344272.65</v>
      </c>
      <c r="H121" s="30">
        <f t="shared" si="21"/>
        <v>0</v>
      </c>
      <c r="I121" s="122">
        <f t="shared" si="21"/>
        <v>-462459.11</v>
      </c>
      <c r="J121" s="30">
        <f t="shared" si="21"/>
        <v>0</v>
      </c>
      <c r="K121" s="122">
        <f t="shared" si="21"/>
        <v>-462459.11</v>
      </c>
      <c r="L121" s="259"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Jun 2016'!$A$1:$I$252,9,FALSE)</f>
        <v>-18479019.930000007</v>
      </c>
      <c r="F123" s="30">
        <v>0</v>
      </c>
      <c r="G123" s="30">
        <v>-149255.71</v>
      </c>
      <c r="H123" s="30">
        <v>0</v>
      </c>
      <c r="I123" s="115">
        <f t="shared" ref="I123:I129" si="22">E123+F123+G123+H123</f>
        <v>-18628275.640000008</v>
      </c>
      <c r="J123" s="30">
        <v>0</v>
      </c>
      <c r="K123" s="115">
        <f t="shared" ref="K123:K129" si="23">I123+J123</f>
        <v>-18628275.640000008</v>
      </c>
      <c r="L123" s="210" t="s">
        <v>241</v>
      </c>
      <c r="M123" s="20"/>
      <c r="N123" s="42"/>
      <c r="O123" s="42"/>
      <c r="Q123" s="249">
        <v>75086</v>
      </c>
      <c r="R123" s="58" t="s">
        <v>44</v>
      </c>
      <c r="S123" s="18">
        <v>108201</v>
      </c>
      <c r="T123" s="58"/>
    </row>
    <row r="124" spans="1:23" x14ac:dyDescent="0.2">
      <c r="A124" s="100" t="s">
        <v>166</v>
      </c>
      <c r="B124" s="18"/>
      <c r="C124" s="28" t="s">
        <v>45</v>
      </c>
      <c r="D124" s="4" t="s">
        <v>198</v>
      </c>
      <c r="E124" s="32">
        <f>VLOOKUP(A124,'DEK Jun 2016'!$A$1:$I$252,9,FALSE)</f>
        <v>-48347957.879999995</v>
      </c>
      <c r="F124" s="30">
        <v>0</v>
      </c>
      <c r="G124" s="30">
        <v>198900.77</v>
      </c>
      <c r="H124" s="30">
        <v>0</v>
      </c>
      <c r="I124" s="115">
        <f t="shared" si="22"/>
        <v>-48149057.109999992</v>
      </c>
      <c r="J124" s="30">
        <v>0</v>
      </c>
      <c r="K124" s="115">
        <f t="shared" si="23"/>
        <v>-48149057.109999992</v>
      </c>
      <c r="L124" s="210" t="s">
        <v>242</v>
      </c>
      <c r="M124" s="20"/>
      <c r="N124" s="42"/>
      <c r="O124" s="42"/>
      <c r="R124" s="58" t="s">
        <v>44</v>
      </c>
      <c r="S124" s="18">
        <v>108301</v>
      </c>
      <c r="T124" s="58"/>
    </row>
    <row r="125" spans="1:23" x14ac:dyDescent="0.2">
      <c r="A125" s="100" t="s">
        <v>167</v>
      </c>
      <c r="B125" s="18"/>
      <c r="C125" s="28" t="s">
        <v>46</v>
      </c>
      <c r="D125" s="4" t="s">
        <v>199</v>
      </c>
      <c r="E125" s="32">
        <f>VLOOKUP(A125,'DEK Jun 2016'!$A$1:$I$252,9,FALSE)</f>
        <v>12657480.589999998</v>
      </c>
      <c r="F125" s="30">
        <v>0</v>
      </c>
      <c r="G125" s="30">
        <v>616764.97</v>
      </c>
      <c r="H125" s="30">
        <v>0</v>
      </c>
      <c r="I125" s="115">
        <f t="shared" si="22"/>
        <v>13274245.559999999</v>
      </c>
      <c r="J125" s="30">
        <v>0</v>
      </c>
      <c r="K125" s="115">
        <f>I125+J125</f>
        <v>13274245.559999999</v>
      </c>
      <c r="L125" s="210" t="s">
        <v>242</v>
      </c>
      <c r="M125" s="20"/>
      <c r="N125" s="42"/>
      <c r="O125" s="42"/>
      <c r="S125" s="18">
        <v>108410</v>
      </c>
      <c r="T125" s="58"/>
    </row>
    <row r="126" spans="1:23" x14ac:dyDescent="0.2">
      <c r="A126" s="100" t="s">
        <v>168</v>
      </c>
      <c r="B126" s="18"/>
      <c r="C126" s="28" t="s">
        <v>74</v>
      </c>
      <c r="D126" s="4" t="s">
        <v>217</v>
      </c>
      <c r="E126" s="32">
        <f>VLOOKUP(A126,'DEK Jun 2016'!$A$1:$I$252,9,FALSE)</f>
        <v>2400242.3400000003</v>
      </c>
      <c r="F126" s="30">
        <v>0</v>
      </c>
      <c r="G126" s="30">
        <v>65426.51</v>
      </c>
      <c r="H126" s="30">
        <v>0</v>
      </c>
      <c r="I126" s="115">
        <f t="shared" si="22"/>
        <v>2465668.85</v>
      </c>
      <c r="J126" s="30">
        <v>0</v>
      </c>
      <c r="K126" s="115">
        <f>I126+J126</f>
        <v>2465668.85</v>
      </c>
      <c r="M126" s="20"/>
      <c r="N126" s="42"/>
      <c r="O126" s="42"/>
      <c r="Q126" s="4" t="s">
        <v>50</v>
      </c>
      <c r="R126" s="4" t="s">
        <v>51</v>
      </c>
      <c r="S126" s="18">
        <v>182303</v>
      </c>
      <c r="T126" s="58"/>
    </row>
    <row r="127" spans="1:23" x14ac:dyDescent="0.2">
      <c r="A127" s="100" t="s">
        <v>169</v>
      </c>
      <c r="B127" s="18"/>
      <c r="C127" s="28" t="s">
        <v>49</v>
      </c>
      <c r="D127" s="4" t="s">
        <v>218</v>
      </c>
      <c r="E127" s="32">
        <f>VLOOKUP(A127,'DEK Jun 2016'!$A$1:$I$252,9,FALSE)</f>
        <v>4465459.0000000009</v>
      </c>
      <c r="F127" s="30">
        <v>0</v>
      </c>
      <c r="G127" s="30">
        <v>78763.320000000007</v>
      </c>
      <c r="H127" s="30">
        <v>0</v>
      </c>
      <c r="I127" s="115">
        <f t="shared" si="22"/>
        <v>4544222.3200000012</v>
      </c>
      <c r="J127" s="30">
        <v>0</v>
      </c>
      <c r="K127" s="115">
        <f t="shared" si="23"/>
        <v>4544222.3200000012</v>
      </c>
      <c r="M127" s="20"/>
      <c r="N127" s="42"/>
      <c r="O127" s="42"/>
      <c r="Q127" s="4" t="s">
        <v>50</v>
      </c>
      <c r="S127" s="18">
        <v>182304</v>
      </c>
      <c r="T127" s="58"/>
    </row>
    <row r="128" spans="1:23" x14ac:dyDescent="0.2">
      <c r="A128" s="100" t="s">
        <v>170</v>
      </c>
      <c r="B128" s="18"/>
      <c r="C128" s="28" t="s">
        <v>42</v>
      </c>
      <c r="D128" s="4" t="s">
        <v>200</v>
      </c>
      <c r="E128" s="32">
        <f>VLOOKUP(A128,'DEK Jun 2016'!$A$1:$I$252,9,FALSE)</f>
        <v>-176491.07000000009</v>
      </c>
      <c r="F128" s="30">
        <v>0</v>
      </c>
      <c r="G128" s="30">
        <v>-26107.06</v>
      </c>
      <c r="H128" s="30">
        <v>0</v>
      </c>
      <c r="I128" s="115">
        <f t="shared" si="22"/>
        <v>-202598.13000000009</v>
      </c>
      <c r="J128" s="30">
        <v>0</v>
      </c>
      <c r="K128" s="115">
        <f t="shared" si="23"/>
        <v>-202598.13000000009</v>
      </c>
      <c r="L128" s="210" t="s">
        <v>241</v>
      </c>
      <c r="M128" s="20"/>
      <c r="N128" s="42"/>
      <c r="O128" s="42"/>
      <c r="R128" s="58" t="s">
        <v>44</v>
      </c>
      <c r="S128" s="18">
        <v>108101</v>
      </c>
      <c r="T128" s="58"/>
    </row>
    <row r="129" spans="1:22" x14ac:dyDescent="0.2">
      <c r="A129" s="100" t="s">
        <v>272</v>
      </c>
      <c r="B129" s="18"/>
      <c r="C129" s="28" t="s">
        <v>271</v>
      </c>
      <c r="D129" s="4" t="s">
        <v>272</v>
      </c>
      <c r="E129" s="32">
        <f>VLOOKUP(A129,'DEK Jun 2016'!$A$1:$I$252,9,FALSE)</f>
        <v>448752.6</v>
      </c>
      <c r="F129" s="30">
        <v>0</v>
      </c>
      <c r="G129" s="30">
        <v>-442149.66</v>
      </c>
      <c r="H129" s="30">
        <v>0</v>
      </c>
      <c r="I129" s="115">
        <f t="shared" si="22"/>
        <v>6602.9400000000023</v>
      </c>
      <c r="J129" s="30">
        <v>0</v>
      </c>
      <c r="K129" s="115">
        <f t="shared" si="23"/>
        <v>6602.9400000000023</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44">
        <f t="shared" ref="E131:K131" si="24">SUM(E123:E130)</f>
        <v>-47031534.350000001</v>
      </c>
      <c r="F131" s="33">
        <f t="shared" si="24"/>
        <v>0</v>
      </c>
      <c r="G131" s="33">
        <f t="shared" si="24"/>
        <v>342343.14000000007</v>
      </c>
      <c r="H131" s="33">
        <f t="shared" si="24"/>
        <v>0</v>
      </c>
      <c r="I131" s="123">
        <f t="shared" si="24"/>
        <v>-46689191.210000001</v>
      </c>
      <c r="J131" s="33">
        <f t="shared" si="24"/>
        <v>0</v>
      </c>
      <c r="K131" s="123">
        <f t="shared" si="24"/>
        <v>-46689191.210000001</v>
      </c>
      <c r="L131" s="259"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-57877154.07</v>
      </c>
      <c r="F133" s="133">
        <f t="shared" ref="F133:H133" si="25">+F106+F114+F121+F131+F111</f>
        <v>0</v>
      </c>
      <c r="G133" s="133">
        <f t="shared" si="25"/>
        <v>3779692.11</v>
      </c>
      <c r="H133" s="133">
        <f t="shared" si="25"/>
        <v>-28263.41</v>
      </c>
      <c r="I133" s="134">
        <f>+I106+I114+I121+I131+I111</f>
        <v>-54125725.369999997</v>
      </c>
      <c r="J133" s="133">
        <f>+J106+J114+J121+J131+J111</f>
        <v>0</v>
      </c>
      <c r="K133" s="134">
        <f>+K106+K114+K121+K131+K111</f>
        <v>-54125725.369999997</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30057578.990000017</v>
      </c>
      <c r="F135" s="137">
        <f>F133+F96</f>
        <v>0</v>
      </c>
      <c r="G135" s="137">
        <f>G133+G96</f>
        <v>5012342.4700000007</v>
      </c>
      <c r="H135" s="137">
        <f>H133+H96</f>
        <v>-94881.919999999998</v>
      </c>
      <c r="I135" s="138">
        <f>I96+I133</f>
        <v>34975039.540000014</v>
      </c>
      <c r="J135" s="137">
        <f>J133+J96</f>
        <v>0</v>
      </c>
      <c r="K135" s="138">
        <f>K96+K133</f>
        <v>34975039.540000014</v>
      </c>
      <c r="L135" s="50">
        <v>0</v>
      </c>
      <c r="M135" s="70"/>
      <c r="N135" s="70"/>
      <c r="O135" s="70"/>
      <c r="P135" s="50"/>
      <c r="Q135" s="50"/>
      <c r="R135" s="50"/>
      <c r="S135" s="18"/>
      <c r="T135" s="29">
        <f>+G135+H135+F135</f>
        <v>4917460.5500000007</v>
      </c>
      <c r="U135" s="19">
        <v>13111056.41</v>
      </c>
      <c r="V135" s="29">
        <f>+T135-U135</f>
        <v>-8193595.8599999994</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849542.75000000012</v>
      </c>
      <c r="H137" s="139">
        <f>-H128-H123-H124-H125-H126-H127-H86-H16-H117-H30-H22-H53-H119-H87-H88-H114-H118-H52</f>
        <v>66618.509999999995</v>
      </c>
      <c r="I137" s="74"/>
      <c r="J137" s="74"/>
      <c r="K137" s="74"/>
      <c r="M137" s="76"/>
      <c r="N137" s="77"/>
      <c r="O137" s="77"/>
      <c r="S137" s="18"/>
    </row>
    <row r="138" spans="1:22" ht="12.75" customHeight="1" x14ac:dyDescent="0.2">
      <c r="A138" s="107"/>
      <c r="B138" s="18"/>
      <c r="C138" s="18"/>
      <c r="D138" s="72"/>
      <c r="E138" s="224"/>
      <c r="F138" s="50"/>
      <c r="G138" s="185">
        <f>G135+H135</f>
        <v>4917460.5500000007</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5833621.8100000005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1793240.1599999988</v>
      </c>
      <c r="F163" s="32">
        <f>+F93+F94</f>
        <v>0</v>
      </c>
      <c r="G163" s="165"/>
      <c r="H163" s="83"/>
      <c r="I163" s="84">
        <f>+I12</f>
        <v>1934743.2799999986</v>
      </c>
      <c r="J163" s="84">
        <f>+J12</f>
        <v>0</v>
      </c>
      <c r="K163" s="84">
        <f>+K12</f>
        <v>1934743.2799999986</v>
      </c>
      <c r="M163" s="20"/>
      <c r="S163" s="18"/>
    </row>
    <row r="164" spans="1:19" hidden="1" x14ac:dyDescent="0.2">
      <c r="A164" s="109" t="s">
        <v>142</v>
      </c>
      <c r="B164" s="18"/>
      <c r="C164" s="18"/>
      <c r="D164" s="82" t="s">
        <v>142</v>
      </c>
      <c r="E164" s="83">
        <f>+E19</f>
        <v>1959353.81</v>
      </c>
      <c r="F164" s="32">
        <f t="shared" ref="F164:F169" si="26">+F94+F95</f>
        <v>0</v>
      </c>
      <c r="G164" s="165"/>
      <c r="H164" s="83"/>
      <c r="I164" s="84">
        <f>+I19</f>
        <v>2181147.81</v>
      </c>
      <c r="J164" s="84">
        <f>+J19</f>
        <v>1955018.08</v>
      </c>
      <c r="K164" s="84">
        <f>+K19</f>
        <v>4136165.89</v>
      </c>
      <c r="M164" s="20"/>
      <c r="S164" s="18"/>
    </row>
    <row r="165" spans="1:19" hidden="1" x14ac:dyDescent="0.2">
      <c r="A165" s="109" t="s">
        <v>141</v>
      </c>
      <c r="B165" s="18"/>
      <c r="C165" s="18"/>
      <c r="D165" s="82" t="s">
        <v>141</v>
      </c>
      <c r="E165" s="83">
        <f>+E24</f>
        <v>1588142.8100000017</v>
      </c>
      <c r="F165" s="32">
        <f t="shared" si="26"/>
        <v>0</v>
      </c>
      <c r="G165" s="165"/>
      <c r="H165" s="83"/>
      <c r="I165" s="84">
        <f>+I24</f>
        <v>1521524.3000000017</v>
      </c>
      <c r="J165" s="84">
        <f>+J24</f>
        <v>-266474.03999999998</v>
      </c>
      <c r="K165" s="84">
        <f>+K24</f>
        <v>1255050.2600000016</v>
      </c>
      <c r="M165" s="20"/>
      <c r="S165" s="18"/>
    </row>
    <row r="166" spans="1:19" hidden="1" x14ac:dyDescent="0.2">
      <c r="A166" s="109" t="s">
        <v>61</v>
      </c>
      <c r="B166" s="18"/>
      <c r="C166" s="18"/>
      <c r="D166" s="82" t="s">
        <v>61</v>
      </c>
      <c r="E166" s="32">
        <f>+E30</f>
        <v>5431194.2000000002</v>
      </c>
      <c r="F166" s="32">
        <f t="shared" si="26"/>
        <v>0</v>
      </c>
      <c r="G166" s="157"/>
      <c r="H166" s="32"/>
      <c r="I166" s="84">
        <f>+I30</f>
        <v>2172773.2000000002</v>
      </c>
      <c r="J166" s="84">
        <f>+J30</f>
        <v>0</v>
      </c>
      <c r="K166" s="84">
        <f>+K30</f>
        <v>2172773.2000000002</v>
      </c>
      <c r="M166" s="20"/>
      <c r="S166" s="18"/>
    </row>
    <row r="167" spans="1:19" hidden="1" x14ac:dyDescent="0.2">
      <c r="A167" s="109" t="s">
        <v>143</v>
      </c>
      <c r="B167" s="18"/>
      <c r="C167" s="18"/>
      <c r="D167" s="82" t="s">
        <v>143</v>
      </c>
      <c r="E167" s="32">
        <f>+E80</f>
        <v>47801536.000000007</v>
      </c>
      <c r="F167" s="32">
        <f t="shared" si="26"/>
        <v>0</v>
      </c>
      <c r="G167" s="157"/>
      <c r="H167" s="32"/>
      <c r="I167" s="84">
        <f>+I80</f>
        <v>51396126.109999999</v>
      </c>
      <c r="J167" s="84">
        <f>+J80</f>
        <v>-1688544.04</v>
      </c>
      <c r="K167" s="84">
        <f>+K80</f>
        <v>49707582.07</v>
      </c>
      <c r="M167" s="20"/>
      <c r="S167" s="18"/>
    </row>
    <row r="168" spans="1:19" hidden="1" x14ac:dyDescent="0.2">
      <c r="A168" s="109" t="s">
        <v>151</v>
      </c>
      <c r="B168" s="18"/>
      <c r="C168" s="18"/>
      <c r="D168" s="82" t="s">
        <v>151</v>
      </c>
      <c r="E168" s="32">
        <f>+E90</f>
        <v>27294120.040000003</v>
      </c>
      <c r="F168" s="32">
        <f t="shared" si="26"/>
        <v>0</v>
      </c>
      <c r="G168" s="157"/>
      <c r="H168" s="32"/>
      <c r="I168" s="84">
        <f>+I90</f>
        <v>26796657.040000003</v>
      </c>
      <c r="J168" s="84">
        <f>+J90</f>
        <v>0</v>
      </c>
      <c r="K168" s="84">
        <f>+K90</f>
        <v>26796657.040000003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-2376534.2299999991</v>
      </c>
      <c r="F170" s="32" t="e">
        <f>+F100+#REF!</f>
        <v>#REF!</v>
      </c>
      <c r="G170" s="157"/>
      <c r="H170" s="32"/>
      <c r="I170" s="84">
        <f>+I106</f>
        <v>-2449298.3199999984</v>
      </c>
      <c r="J170" s="84">
        <f>+J106</f>
        <v>0</v>
      </c>
      <c r="K170" s="84">
        <f>+K106</f>
        <v>-2449298.3199999984</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-4662353.7300000004</v>
      </c>
      <c r="F172" s="32" t="e">
        <f>+#REF!+#REF!</f>
        <v>#REF!</v>
      </c>
      <c r="G172" s="157"/>
      <c r="H172" s="32"/>
      <c r="I172" s="84">
        <f>+I114</f>
        <v>-4524776.7300000004</v>
      </c>
      <c r="J172" s="84">
        <f>+J114</f>
        <v>0</v>
      </c>
      <c r="K172" s="84">
        <f>+K114</f>
        <v>-4524776.7300000004</v>
      </c>
      <c r="M172" s="20"/>
      <c r="S172" s="18"/>
    </row>
    <row r="173" spans="1:19" hidden="1" x14ac:dyDescent="0.2">
      <c r="A173" s="109" t="s">
        <v>153</v>
      </c>
      <c r="B173" s="18"/>
      <c r="C173" s="18"/>
      <c r="D173" s="82" t="s">
        <v>153</v>
      </c>
      <c r="E173" s="32">
        <f>+E121</f>
        <v>-3806731.76</v>
      </c>
      <c r="F173" s="32" t="e">
        <f>+#REF!+F101</f>
        <v>#REF!</v>
      </c>
      <c r="G173" s="157"/>
      <c r="H173" s="32"/>
      <c r="I173" s="84">
        <f>+I121</f>
        <v>-462459.11</v>
      </c>
      <c r="J173" s="84">
        <f>+J121</f>
        <v>0</v>
      </c>
      <c r="K173" s="84">
        <f>+K121</f>
        <v>-462459.11</v>
      </c>
      <c r="M173" s="20"/>
      <c r="S173" s="18"/>
    </row>
    <row r="174" spans="1:19" hidden="1" x14ac:dyDescent="0.2">
      <c r="A174" s="109" t="s">
        <v>155</v>
      </c>
      <c r="B174" s="18"/>
      <c r="C174" s="18"/>
      <c r="D174" s="82" t="s">
        <v>155</v>
      </c>
      <c r="E174" s="32">
        <f>+E131</f>
        <v>-47031534.350000001</v>
      </c>
      <c r="F174" s="32">
        <f t="shared" ref="F174" si="27">+F101+F102</f>
        <v>0</v>
      </c>
      <c r="G174" s="157"/>
      <c r="H174" s="32"/>
      <c r="I174" s="84">
        <f>+I131</f>
        <v>-46689191.210000001</v>
      </c>
      <c r="J174" s="84">
        <f>+J131</f>
        <v>0</v>
      </c>
      <c r="K174" s="84">
        <f>+K131</f>
        <v>-46689191.210000001</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27990432.949999996</v>
      </c>
      <c r="F176" s="88" t="e">
        <f>SUM(F166:F175)</f>
        <v>#REF!</v>
      </c>
      <c r="G176" s="166"/>
      <c r="H176" s="88"/>
      <c r="I176" s="89">
        <f>SUM(I162:I175)</f>
        <v>31877246.370000012</v>
      </c>
      <c r="J176" s="89">
        <f>SUM(J162:J175)</f>
        <v>0</v>
      </c>
      <c r="K176" s="89">
        <f>SUM(K162:K175)</f>
        <v>31877246.370000012</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-2067146.0400000215</v>
      </c>
      <c r="F178" s="19"/>
      <c r="G178" s="148"/>
      <c r="H178" s="19"/>
      <c r="I178" s="19">
        <f>+I176-I135</f>
        <v>-3097793.1700000018</v>
      </c>
      <c r="J178" s="19">
        <f>+J176-J135</f>
        <v>0</v>
      </c>
      <c r="K178" s="19">
        <f>+K176-K135</f>
        <v>-3097793.1700000018</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271794</v>
      </c>
      <c r="H182" s="19">
        <f>+H34+H52+H42+H44+H46+H48+H85+H57+H59+H15+H50+H66+H55</f>
        <v>0</v>
      </c>
      <c r="I182" s="19"/>
      <c r="J182" s="19"/>
      <c r="K182" s="19"/>
      <c r="M182" s="20"/>
      <c r="S182" s="18"/>
    </row>
    <row r="183" spans="1:19" hidden="1" x14ac:dyDescent="0.2">
      <c r="A183" s="100" t="s">
        <v>64</v>
      </c>
      <c r="B183" s="18"/>
      <c r="C183" s="18"/>
      <c r="D183" s="34" t="s">
        <v>64</v>
      </c>
      <c r="F183" s="19"/>
      <c r="G183" s="148">
        <f>+G9+G92+G10</f>
        <v>141503.12</v>
      </c>
      <c r="H183" s="19">
        <f>+H9+H92+H10</f>
        <v>0</v>
      </c>
      <c r="I183" s="19"/>
      <c r="J183" s="19"/>
      <c r="K183" s="19"/>
      <c r="M183" s="20"/>
      <c r="S183" s="18"/>
    </row>
    <row r="184" spans="1:19" hidden="1" x14ac:dyDescent="0.2">
      <c r="A184" s="100" t="s">
        <v>65</v>
      </c>
      <c r="B184" s="18"/>
      <c r="C184" s="18"/>
      <c r="D184" s="34" t="s">
        <v>65</v>
      </c>
      <c r="F184" s="19"/>
      <c r="G184" s="148">
        <f>+G100+G101+G102+G103+G99+G104</f>
        <v>-44500.679999999993</v>
      </c>
      <c r="H184" s="19">
        <f>+H100+H101+H102+H103+H99</f>
        <v>-28263.41</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368796.44</v>
      </c>
      <c r="H186" s="110">
        <f>+H182+H183+H184-H139</f>
        <v>-28263.41</v>
      </c>
      <c r="I186" s="19"/>
      <c r="J186" s="19"/>
      <c r="K186" s="19"/>
      <c r="M186" s="20"/>
      <c r="S186" s="18"/>
    </row>
    <row r="187" spans="1:19" hidden="1" x14ac:dyDescent="0.2">
      <c r="B187" s="18"/>
      <c r="C187" s="18"/>
      <c r="F187" s="19"/>
      <c r="H187" s="29">
        <f>+H183+H184+H182+G182+G183+G184</f>
        <v>340533.02999999997</v>
      </c>
      <c r="I187" s="19"/>
      <c r="J187" s="19"/>
      <c r="K187" s="19"/>
      <c r="M187" s="20"/>
      <c r="S187" s="18"/>
    </row>
    <row r="188" spans="1:19" hidden="1" x14ac:dyDescent="0.2">
      <c r="B188" s="18"/>
      <c r="C188" s="18"/>
      <c r="F188" s="19"/>
      <c r="G188" s="148"/>
      <c r="H188" s="29">
        <f>+H187-G139-H139</f>
        <v>340533.02999999997</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18"/>
  <sheetViews>
    <sheetView topLeftCell="A89" zoomScale="80" zoomScaleNormal="80" workbookViewId="0">
      <selection activeCell="E76" sqref="E76"/>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60" t="s">
        <v>66</v>
      </c>
    </row>
    <row r="4" spans="1:22" x14ac:dyDescent="0.2">
      <c r="A4" s="99"/>
      <c r="B4" s="7"/>
      <c r="C4" s="3"/>
      <c r="D4" s="3"/>
      <c r="E4" s="212"/>
      <c r="F4" s="8"/>
      <c r="G4" s="215"/>
      <c r="H4" s="216"/>
      <c r="I4" s="202"/>
      <c r="J4" s="202"/>
      <c r="K4" s="202"/>
      <c r="M4" s="10"/>
      <c r="P4" s="260" t="s">
        <v>1</v>
      </c>
    </row>
    <row r="5" spans="1:22" x14ac:dyDescent="0.2">
      <c r="E5" s="217" t="s">
        <v>208</v>
      </c>
      <c r="F5" s="260" t="s">
        <v>3</v>
      </c>
      <c r="G5" s="260" t="s">
        <v>4</v>
      </c>
      <c r="H5" s="260"/>
      <c r="I5" s="204" t="s">
        <v>208</v>
      </c>
      <c r="J5" s="261" t="s">
        <v>180</v>
      </c>
      <c r="K5" s="204" t="s">
        <v>209</v>
      </c>
      <c r="L5" s="260" t="s">
        <v>5</v>
      </c>
      <c r="M5" s="11" t="s">
        <v>6</v>
      </c>
      <c r="N5" s="11" t="s">
        <v>0</v>
      </c>
      <c r="O5" s="11" t="s">
        <v>8</v>
      </c>
      <c r="P5" s="260" t="s">
        <v>9</v>
      </c>
      <c r="Q5" s="576" t="s">
        <v>10</v>
      </c>
      <c r="R5" s="576"/>
      <c r="U5" s="12" t="s">
        <v>11</v>
      </c>
    </row>
    <row r="6" spans="1:22" x14ac:dyDescent="0.2">
      <c r="E6" s="218">
        <v>42643</v>
      </c>
      <c r="F6" s="13" t="s">
        <v>12</v>
      </c>
      <c r="G6" s="14" t="s">
        <v>13</v>
      </c>
      <c r="H6" s="14" t="s">
        <v>8</v>
      </c>
      <c r="I6" s="205">
        <v>42674</v>
      </c>
      <c r="J6" s="261" t="s">
        <v>210</v>
      </c>
      <c r="K6" s="205">
        <f>I6</f>
        <v>42674</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Q3 2016'!$A$1:$I$252,9,FALSE)</f>
        <v>-1.1496013030409813E-9</v>
      </c>
      <c r="F9" s="30">
        <v>0</v>
      </c>
      <c r="G9" s="33">
        <v>0</v>
      </c>
      <c r="H9" s="30">
        <v>0</v>
      </c>
      <c r="I9" s="115">
        <f>E9+F9+G9+H9</f>
        <v>-1.1496013030409813E-9</v>
      </c>
      <c r="J9" s="30">
        <v>0</v>
      </c>
      <c r="K9" s="115">
        <f>I9+J9</f>
        <v>-1.1496013030409813E-9</v>
      </c>
      <c r="L9" s="210" t="s">
        <v>274</v>
      </c>
      <c r="M9" s="20"/>
      <c r="P9" s="31"/>
      <c r="S9" s="18">
        <v>142982</v>
      </c>
    </row>
    <row r="10" spans="1:22" x14ac:dyDescent="0.2">
      <c r="A10" s="100" t="s">
        <v>109</v>
      </c>
      <c r="B10" s="28"/>
      <c r="C10" s="28" t="s">
        <v>34</v>
      </c>
      <c r="D10" s="4" t="s">
        <v>109</v>
      </c>
      <c r="E10" s="32">
        <f>VLOOKUP(A10,'DEK Q3 2016'!$A$1:$I$252,9,FALSE)</f>
        <v>1934743.2799999998</v>
      </c>
      <c r="F10" s="33">
        <v>0</v>
      </c>
      <c r="G10" s="33">
        <v>-1934743.28</v>
      </c>
      <c r="H10" s="33">
        <v>0</v>
      </c>
      <c r="I10" s="115">
        <f>E10+F10+G10+H10</f>
        <v>-2.3283064365386963E-10</v>
      </c>
      <c r="J10" s="30">
        <v>0</v>
      </c>
      <c r="K10" s="115">
        <f>I10+J10</f>
        <v>-2.3283064365386963E-10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1934743.2799999986</v>
      </c>
      <c r="F12" s="29">
        <f t="shared" ref="F12:J12" si="0">SUM(F9:F10)</f>
        <v>0</v>
      </c>
      <c r="G12" s="29">
        <f t="shared" si="0"/>
        <v>-1934743.28</v>
      </c>
      <c r="H12" s="29">
        <f t="shared" si="0"/>
        <v>0</v>
      </c>
      <c r="I12" s="117">
        <f t="shared" si="0"/>
        <v>-1.3824319466948509E-9</v>
      </c>
      <c r="J12" s="29">
        <f t="shared" si="0"/>
        <v>0</v>
      </c>
      <c r="K12" s="117">
        <f>SUM(K9:K10)</f>
        <v>-1.3824319466948509E-9</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Q3 2016'!$A$1:$I$252,9,FALSE)</f>
        <v>741001.81</v>
      </c>
      <c r="F15" s="30">
        <v>0</v>
      </c>
      <c r="G15" s="33">
        <v>0</v>
      </c>
      <c r="H15" s="30">
        <v>0</v>
      </c>
      <c r="I15" s="115">
        <f>E15+F15+G15+H15</f>
        <v>741001.81</v>
      </c>
      <c r="J15" s="30">
        <v>0</v>
      </c>
      <c r="K15" s="115">
        <f>I15+J15</f>
        <v>741001.81</v>
      </c>
      <c r="L15" s="210" t="s">
        <v>22</v>
      </c>
      <c r="M15" s="20"/>
      <c r="S15" s="18"/>
    </row>
    <row r="16" spans="1:22" x14ac:dyDescent="0.2">
      <c r="A16" s="100" t="s">
        <v>157</v>
      </c>
      <c r="B16" s="28"/>
      <c r="C16" s="28" t="s">
        <v>37</v>
      </c>
      <c r="D16" s="4" t="s">
        <v>192</v>
      </c>
      <c r="E16" s="32">
        <f>VLOOKUP(A16,'DEK Q3 2016'!$A$1:$I$252,9,FALSE)</f>
        <v>1440146</v>
      </c>
      <c r="F16" s="30">
        <v>0</v>
      </c>
      <c r="G16" s="33">
        <v>0</v>
      </c>
      <c r="H16" s="30">
        <v>0</v>
      </c>
      <c r="I16" s="115">
        <f>E16+F16+G16+H16</f>
        <v>1440146</v>
      </c>
      <c r="J16" s="30">
        <v>0</v>
      </c>
      <c r="K16" s="115">
        <f>I16+J16</f>
        <v>1440146</v>
      </c>
      <c r="L16" s="210" t="s">
        <v>22</v>
      </c>
      <c r="M16" s="20"/>
      <c r="P16" s="58"/>
      <c r="R16" s="4" t="s">
        <v>96</v>
      </c>
      <c r="S16" s="18">
        <v>186342</v>
      </c>
    </row>
    <row r="17" spans="1:21" x14ac:dyDescent="0.2">
      <c r="A17" s="100" t="s">
        <v>183</v>
      </c>
      <c r="B17" s="28"/>
      <c r="C17" s="28" t="s">
        <v>184</v>
      </c>
      <c r="D17" s="4" t="s">
        <v>202</v>
      </c>
      <c r="E17" s="32">
        <f>VLOOKUP(A17,'DEK Q3 2016'!$A$1:$I$252,9,FALSE)</f>
        <v>0</v>
      </c>
      <c r="F17" s="30">
        <v>0</v>
      </c>
      <c r="G17" s="33">
        <v>0</v>
      </c>
      <c r="H17" s="33">
        <v>0</v>
      </c>
      <c r="I17" s="115">
        <f>E17+F17+G17+H17</f>
        <v>0</v>
      </c>
      <c r="J17" s="262">
        <v>1955018.08</v>
      </c>
      <c r="K17" s="115">
        <f t="shared" ref="K17" si="1">I17+J17</f>
        <v>1955018.08</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2181147.81</v>
      </c>
      <c r="F19" s="29">
        <f t="shared" ref="F19:J19" si="2">SUM(F15:F18)</f>
        <v>0</v>
      </c>
      <c r="G19" s="29">
        <f t="shared" si="2"/>
        <v>0</v>
      </c>
      <c r="H19" s="29">
        <f t="shared" si="2"/>
        <v>0</v>
      </c>
      <c r="I19" s="123">
        <f t="shared" si="2"/>
        <v>2181147.81</v>
      </c>
      <c r="J19" s="49">
        <f t="shared" si="2"/>
        <v>1955018.08</v>
      </c>
      <c r="K19" s="123">
        <f>SUM(K15:K18)</f>
        <v>4136165.89</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Q3 2016'!$A$1:$I$252,9,FALSE)</f>
        <v>1521524.3000000017</v>
      </c>
      <c r="F22" s="33">
        <v>0</v>
      </c>
      <c r="G22" s="33">
        <v>0</v>
      </c>
      <c r="H22" s="33">
        <v>-22206.17</v>
      </c>
      <c r="I22" s="115">
        <f>E22+F22+G22+H22</f>
        <v>1499318.1300000018</v>
      </c>
      <c r="J22" s="30">
        <v>-266474.03999999998</v>
      </c>
      <c r="K22" s="115">
        <f>I22+J22</f>
        <v>1232844.0900000017</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1521524.3000000017</v>
      </c>
      <c r="F24" s="29">
        <f t="shared" ref="F24:K24" si="3">SUM(F22:F23)</f>
        <v>0</v>
      </c>
      <c r="G24" s="29">
        <f t="shared" si="3"/>
        <v>0</v>
      </c>
      <c r="H24" s="29">
        <f t="shared" si="3"/>
        <v>-22206.17</v>
      </c>
      <c r="I24" s="123">
        <f t="shared" si="3"/>
        <v>1499318.1300000018</v>
      </c>
      <c r="J24" s="49">
        <f t="shared" si="3"/>
        <v>-266474.03999999998</v>
      </c>
      <c r="K24" s="123">
        <f t="shared" si="3"/>
        <v>1232844.0900000017</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Q3 2016'!$A$1:$I$252,9,FALSE)</f>
        <v>2180101</v>
      </c>
      <c r="F27" s="33">
        <v>0</v>
      </c>
      <c r="G27" s="33">
        <v>-37229</v>
      </c>
      <c r="H27" s="29">
        <v>0</v>
      </c>
      <c r="I27" s="115">
        <f>E27+F27+G27+H27</f>
        <v>2142872</v>
      </c>
      <c r="J27" s="33">
        <v>0</v>
      </c>
      <c r="K27" s="115">
        <f>I27+J27</f>
        <v>2142872</v>
      </c>
      <c r="L27" s="210" t="s">
        <v>22</v>
      </c>
      <c r="M27" s="226"/>
      <c r="S27" s="28" t="s">
        <v>23</v>
      </c>
    </row>
    <row r="28" spans="1:21" ht="13.5" customHeight="1" x14ac:dyDescent="0.2">
      <c r="A28" s="100" t="s">
        <v>80</v>
      </c>
      <c r="B28" s="28"/>
      <c r="C28" s="28" t="s">
        <v>24</v>
      </c>
      <c r="D28" s="4" t="s">
        <v>204</v>
      </c>
      <c r="E28" s="32">
        <f>VLOOKUP(A28,'DEK Q3 2016'!$A$1:$I$252,9,FALSE)</f>
        <v>-7327.7999999998137</v>
      </c>
      <c r="F28" s="33">
        <v>0</v>
      </c>
      <c r="G28" s="33">
        <v>7328</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2172773.2000000002</v>
      </c>
      <c r="F30" s="44">
        <f t="shared" ref="F30:K30" si="4">SUM(F27:F28)</f>
        <v>0</v>
      </c>
      <c r="G30" s="33">
        <f t="shared" si="4"/>
        <v>-29901</v>
      </c>
      <c r="H30" s="33">
        <f t="shared" si="4"/>
        <v>0</v>
      </c>
      <c r="I30" s="123">
        <f t="shared" si="4"/>
        <v>2142872.2000000002</v>
      </c>
      <c r="J30" s="33">
        <f t="shared" si="4"/>
        <v>0</v>
      </c>
      <c r="K30" s="123">
        <f t="shared" si="4"/>
        <v>2142872.2000000002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Q3 2016'!$A$1:$I$252,9,FALSE)</f>
        <v>1688544.0300000014</v>
      </c>
      <c r="F52" s="33">
        <v>0</v>
      </c>
      <c r="G52" s="33">
        <v>93565.71</v>
      </c>
      <c r="H52" s="33">
        <v>0</v>
      </c>
      <c r="I52" s="115">
        <f>E52+F52+G52+H52</f>
        <v>1782109.7400000014</v>
      </c>
      <c r="J52" s="145">
        <v>-1688544.04</v>
      </c>
      <c r="K52" s="115">
        <f>I52+J52</f>
        <v>93565.70000000135</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Q3 2016'!$A$1:$I$252,9,FALSE)</f>
        <v>6670881</v>
      </c>
      <c r="F53" s="33">
        <v>0</v>
      </c>
      <c r="G53" s="33">
        <v>0</v>
      </c>
      <c r="H53" s="33">
        <v>0</v>
      </c>
      <c r="I53" s="115">
        <f>E53+F53+G53+H53</f>
        <v>6670881</v>
      </c>
      <c r="J53" s="33">
        <v>0</v>
      </c>
      <c r="K53" s="115">
        <f>I53+J53</f>
        <v>6670881</v>
      </c>
      <c r="L53" s="210" t="s">
        <v>22</v>
      </c>
      <c r="M53" s="6" t="s">
        <v>110</v>
      </c>
      <c r="N53" s="6" t="s">
        <v>111</v>
      </c>
      <c r="S53" s="18">
        <v>182410</v>
      </c>
    </row>
    <row r="54" spans="1:23" hidden="1" x14ac:dyDescent="0.2">
      <c r="B54" s="28"/>
      <c r="C54" s="28"/>
      <c r="E54" s="32"/>
      <c r="F54" s="33"/>
      <c r="G54" s="33"/>
      <c r="H54" s="33"/>
      <c r="I54" s="115"/>
      <c r="J54" s="33"/>
      <c r="K54" s="115"/>
      <c r="S54" s="18"/>
    </row>
    <row r="55" spans="1:23" hidden="1" x14ac:dyDescent="0.2">
      <c r="A55" s="100" t="s">
        <v>173</v>
      </c>
      <c r="B55" s="28"/>
      <c r="C55" s="28" t="s">
        <v>174</v>
      </c>
      <c r="D55" s="4" t="s">
        <v>173</v>
      </c>
      <c r="E55" s="32">
        <f>VLOOKUP(A55,'DEK Q3 2016'!$A$1:$I$252,9,FALSE)</f>
        <v>0</v>
      </c>
      <c r="F55" s="33">
        <v>0</v>
      </c>
      <c r="G55" s="33">
        <v>0</v>
      </c>
      <c r="H55" s="30">
        <v>0</v>
      </c>
      <c r="I55" s="115">
        <f>E55+F55+G55+H55</f>
        <v>0</v>
      </c>
      <c r="J55" s="33">
        <f>F55+G55+H55+I55</f>
        <v>0</v>
      </c>
      <c r="K55" s="115">
        <f>G55+H55+I55+J55</f>
        <v>0</v>
      </c>
      <c r="S55" s="18"/>
      <c r="W55" s="47"/>
    </row>
    <row r="56" spans="1:23" hidden="1" x14ac:dyDescent="0.2">
      <c r="B56" s="28"/>
      <c r="C56" s="28"/>
      <c r="E56" s="32" t="s">
        <v>222</v>
      </c>
      <c r="F56" s="33"/>
      <c r="G56" s="33"/>
      <c r="H56" s="33"/>
      <c r="I56" s="115"/>
      <c r="J56" s="33"/>
      <c r="K56" s="115"/>
      <c r="S56" s="18"/>
      <c r="W56" s="47"/>
    </row>
    <row r="57" spans="1:23" hidden="1" x14ac:dyDescent="0.2">
      <c r="A57" s="100" t="s">
        <v>132</v>
      </c>
      <c r="B57" s="28"/>
      <c r="C57" s="28" t="s">
        <v>131</v>
      </c>
      <c r="D57" s="4" t="s">
        <v>132</v>
      </c>
      <c r="E57" s="32">
        <f>VLOOKUP(A57,'DEK Q3 2016'!$A$1:$I$252,9,FALSE)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Q3 2016'!$A$1:$I$252,9,FALSE)</f>
        <v>1550000</v>
      </c>
      <c r="F59" s="33">
        <v>0</v>
      </c>
      <c r="G59" s="33">
        <v>0</v>
      </c>
      <c r="H59" s="33">
        <v>0</v>
      </c>
      <c r="I59" s="115">
        <f>E59+F59+G59+H59</f>
        <v>1550000</v>
      </c>
      <c r="J59" s="33">
        <v>0</v>
      </c>
      <c r="K59" s="115">
        <f>I59+J59</f>
        <v>1550000</v>
      </c>
      <c r="L59" s="210" t="s">
        <v>22</v>
      </c>
      <c r="M59" s="20" t="s">
        <v>249</v>
      </c>
      <c r="S59" s="18"/>
    </row>
    <row r="60" spans="1:23" x14ac:dyDescent="0.2">
      <c r="B60" s="28"/>
      <c r="C60" s="28"/>
      <c r="E60" s="32" t="s">
        <v>278</v>
      </c>
      <c r="F60" s="33"/>
      <c r="G60" s="33"/>
      <c r="H60" s="33"/>
      <c r="I60" s="115"/>
      <c r="J60" s="33"/>
      <c r="K60" s="115"/>
      <c r="S60" s="18"/>
    </row>
    <row r="61" spans="1:23" hidden="1" x14ac:dyDescent="0.2">
      <c r="A61" s="100" t="s">
        <v>175</v>
      </c>
      <c r="B61" s="28"/>
      <c r="C61" s="28" t="s">
        <v>176</v>
      </c>
      <c r="D61" s="4" t="s">
        <v>175</v>
      </c>
      <c r="E61" s="32">
        <f>VLOOKUP(A61,'DEK Q3 2016'!$A$1:$I$252,9,FALSE)</f>
        <v>0</v>
      </c>
      <c r="F61" s="33">
        <v>0</v>
      </c>
      <c r="G61" s="33">
        <v>0</v>
      </c>
      <c r="H61" s="33">
        <v>0</v>
      </c>
      <c r="I61" s="115">
        <v>0</v>
      </c>
      <c r="J61" s="33">
        <v>0</v>
      </c>
      <c r="K61" s="115">
        <v>0</v>
      </c>
      <c r="S61" s="18"/>
      <c r="W61" s="47"/>
    </row>
    <row r="62" spans="1:23" hidden="1" x14ac:dyDescent="0.2">
      <c r="B62" s="28"/>
      <c r="C62" s="28"/>
      <c r="E62" s="32" t="s">
        <v>222</v>
      </c>
      <c r="F62" s="33"/>
      <c r="G62" s="33"/>
      <c r="H62" s="33"/>
      <c r="I62" s="115"/>
      <c r="J62" s="33"/>
      <c r="K62" s="115"/>
      <c r="S62" s="18"/>
      <c r="W62" s="47"/>
    </row>
    <row r="63" spans="1:23" x14ac:dyDescent="0.2">
      <c r="A63" s="100" t="s">
        <v>39</v>
      </c>
      <c r="B63" s="28"/>
      <c r="C63" s="28" t="s">
        <v>38</v>
      </c>
      <c r="D63" s="4" t="s">
        <v>39</v>
      </c>
      <c r="E63" s="32">
        <f>VLOOKUP(A63,'DEK Q3 2016'!$A$1:$I$252,9,FALSE)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c r="F64" s="33"/>
      <c r="G64" s="144"/>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Q3 2016'!$A$1:$I$252,9,FALSE)</f>
        <v>0</v>
      </c>
      <c r="F65" s="33">
        <v>0</v>
      </c>
      <c r="G65" s="161">
        <v>0</v>
      </c>
      <c r="H65" s="33">
        <v>0</v>
      </c>
      <c r="I65" s="115">
        <f t="shared" si="5"/>
        <v>0</v>
      </c>
      <c r="J65" s="33">
        <f>F65+G65+H65+I65</f>
        <v>0</v>
      </c>
      <c r="K65" s="115">
        <f t="shared" si="6"/>
        <v>0</v>
      </c>
      <c r="M65" s="20"/>
      <c r="S65" s="18"/>
    </row>
    <row r="66" spans="1:19" ht="12.75" customHeight="1" x14ac:dyDescent="0.2">
      <c r="B66" s="28"/>
      <c r="C66" s="28"/>
      <c r="E66" s="32" t="s">
        <v>222</v>
      </c>
      <c r="F66" s="33"/>
      <c r="G66" s="161"/>
      <c r="H66" s="33"/>
      <c r="I66" s="115"/>
      <c r="J66" s="33"/>
      <c r="K66" s="115"/>
      <c r="M66" s="20"/>
      <c r="S66" s="18"/>
    </row>
    <row r="67" spans="1:19" ht="15.75" customHeight="1" x14ac:dyDescent="0.35">
      <c r="A67" s="100" t="s">
        <v>231</v>
      </c>
      <c r="B67" s="28"/>
      <c r="C67" s="28" t="s">
        <v>229</v>
      </c>
      <c r="D67" s="4" t="s">
        <v>230</v>
      </c>
      <c r="E67" s="32">
        <f>VLOOKUP(A67,'DEK Q3 2016'!$A$1:$I$252,9,FALSE)</f>
        <v>21227966.039999999</v>
      </c>
      <c r="F67" s="172"/>
      <c r="G67" s="33">
        <v>547316.86</v>
      </c>
      <c r="H67" s="172"/>
      <c r="I67" s="115">
        <f t="shared" si="5"/>
        <v>21775282.899999999</v>
      </c>
      <c r="J67" s="172"/>
      <c r="K67" s="115">
        <f t="shared" si="6"/>
        <v>21775282.899999999</v>
      </c>
      <c r="L67" s="210" t="s">
        <v>250</v>
      </c>
      <c r="M67" s="20" t="s">
        <v>246</v>
      </c>
      <c r="S67" s="18"/>
    </row>
    <row r="68" spans="1:19" ht="12.75" customHeight="1" x14ac:dyDescent="0.35">
      <c r="B68" s="28"/>
      <c r="C68" s="28"/>
      <c r="E68" s="32"/>
      <c r="F68" s="172"/>
      <c r="G68" s="144"/>
      <c r="H68" s="172"/>
      <c r="I68" s="115"/>
      <c r="J68" s="172"/>
      <c r="K68" s="115"/>
      <c r="M68" s="20"/>
      <c r="S68" s="18"/>
    </row>
    <row r="69" spans="1:19" ht="20.25" hidden="1" customHeight="1" x14ac:dyDescent="0.35">
      <c r="A69" s="100" t="s">
        <v>238</v>
      </c>
      <c r="B69" s="28"/>
      <c r="C69" s="28" t="s">
        <v>236</v>
      </c>
      <c r="D69" s="4" t="s">
        <v>238</v>
      </c>
      <c r="E69" s="32">
        <f>VLOOKUP(A69,'DEK Q3 2016'!$A$1:$I$252,9,FALSE)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c r="F70" s="172"/>
      <c r="G70" s="144"/>
      <c r="H70" s="144"/>
      <c r="I70" s="115" t="s">
        <v>222</v>
      </c>
      <c r="J70" s="33"/>
      <c r="K70" s="115" t="s">
        <v>222</v>
      </c>
      <c r="L70" s="210"/>
      <c r="M70" s="20"/>
      <c r="S70" s="18"/>
    </row>
    <row r="71" spans="1:19" ht="16.5" customHeight="1" x14ac:dyDescent="0.35">
      <c r="A71" s="100" t="s">
        <v>255</v>
      </c>
      <c r="B71" s="28"/>
      <c r="C71" s="28" t="s">
        <v>254</v>
      </c>
      <c r="D71" s="4" t="s">
        <v>255</v>
      </c>
      <c r="E71" s="32">
        <f>VLOOKUP(A71,'DEK Q3 2016'!$A$1:$I$252,9,FALSE)</f>
        <v>7030738.5000000009</v>
      </c>
      <c r="F71" s="172"/>
      <c r="G71" s="33">
        <v>174564.75</v>
      </c>
      <c r="H71" s="33">
        <v>0</v>
      </c>
      <c r="I71" s="115">
        <f t="shared" si="5"/>
        <v>7205303.2500000009</v>
      </c>
      <c r="J71" s="33"/>
      <c r="K71" s="115">
        <f t="shared" si="6"/>
        <v>7205303.2500000009</v>
      </c>
      <c r="L71" s="210"/>
      <c r="M71" s="20"/>
      <c r="S71" s="18"/>
    </row>
    <row r="72" spans="1:19" ht="12.75" customHeight="1" x14ac:dyDescent="0.35">
      <c r="B72" s="28"/>
      <c r="C72" s="28"/>
      <c r="E72" s="32"/>
      <c r="F72" s="172"/>
      <c r="G72" s="144"/>
      <c r="H72" s="33"/>
      <c r="I72" s="115"/>
      <c r="J72" s="33"/>
      <c r="K72" s="115"/>
      <c r="L72" s="210"/>
      <c r="M72" s="20"/>
      <c r="S72" s="18"/>
    </row>
    <row r="73" spans="1:19" ht="12.75" customHeight="1" x14ac:dyDescent="0.35">
      <c r="A73" s="100" t="s">
        <v>257</v>
      </c>
      <c r="B73" s="28"/>
      <c r="C73" s="28" t="s">
        <v>256</v>
      </c>
      <c r="D73" s="4" t="s">
        <v>257</v>
      </c>
      <c r="E73" s="32">
        <f>VLOOKUP(A73,'DEK Q3 2016'!$A$1:$I$252,9,FALSE)</f>
        <v>-168733.69</v>
      </c>
      <c r="F73" s="172"/>
      <c r="G73" s="33">
        <v>-29169.13</v>
      </c>
      <c r="H73" s="33">
        <v>0</v>
      </c>
      <c r="I73" s="115">
        <f t="shared" si="5"/>
        <v>-197902.82</v>
      </c>
      <c r="J73" s="33"/>
      <c r="K73" s="115">
        <f t="shared" si="6"/>
        <v>-197902.82</v>
      </c>
      <c r="L73" s="210"/>
      <c r="M73" s="20"/>
      <c r="S73" s="18"/>
    </row>
    <row r="74" spans="1:19" ht="12.75" customHeight="1" x14ac:dyDescent="0.35">
      <c r="B74" s="28"/>
      <c r="C74" s="28"/>
      <c r="E74" s="32"/>
      <c r="F74" s="172"/>
      <c r="G74" s="144"/>
      <c r="H74" s="33"/>
      <c r="I74" s="115"/>
      <c r="J74" s="33"/>
      <c r="K74" s="115" t="s">
        <v>222</v>
      </c>
      <c r="M74" s="20"/>
      <c r="S74" s="18"/>
    </row>
    <row r="75" spans="1:19" ht="16.5" customHeight="1" x14ac:dyDescent="0.35">
      <c r="A75" s="100" t="s">
        <v>240</v>
      </c>
      <c r="B75" s="28"/>
      <c r="C75" s="28" t="s">
        <v>239</v>
      </c>
      <c r="D75" s="4" t="s">
        <v>240</v>
      </c>
      <c r="E75" s="32">
        <f>VLOOKUP(A75,'DEK Q3 2016'!$A$1:$I$252,9,FALSE)</f>
        <v>7672291.9300000006</v>
      </c>
      <c r="F75" s="172"/>
      <c r="G75" s="33">
        <v>382339.46</v>
      </c>
      <c r="H75" s="33">
        <v>0</v>
      </c>
      <c r="I75" s="115">
        <f t="shared" ref="I75" si="7">E75+F75+G75+H75</f>
        <v>8054631.3900000006</v>
      </c>
      <c r="J75" s="33"/>
      <c r="K75" s="115">
        <f t="shared" ref="K75" si="8">I75+J75</f>
        <v>8054631.3900000006</v>
      </c>
      <c r="L75" s="210" t="s">
        <v>22</v>
      </c>
      <c r="M75" s="20" t="s">
        <v>247</v>
      </c>
      <c r="S75" s="18"/>
    </row>
    <row r="76" spans="1:19" ht="12.75" customHeight="1" x14ac:dyDescent="0.35">
      <c r="B76" s="28"/>
      <c r="C76" s="28"/>
      <c r="E76" s="32"/>
      <c r="F76" s="172"/>
      <c r="G76" s="33"/>
      <c r="H76" s="33"/>
      <c r="I76" s="115"/>
      <c r="J76" s="33"/>
      <c r="K76" s="115"/>
      <c r="M76" s="20"/>
      <c r="S76" s="18"/>
    </row>
    <row r="77" spans="1:19" ht="12.75" customHeight="1" x14ac:dyDescent="0.35">
      <c r="A77" s="100" t="s">
        <v>234</v>
      </c>
      <c r="B77" s="28"/>
      <c r="C77" s="28" t="s">
        <v>232</v>
      </c>
      <c r="D77" s="4" t="s">
        <v>233</v>
      </c>
      <c r="E77" s="32">
        <f>VLOOKUP(A77,'DEK Q3 2016'!$A$1:$I$252,9,FALSE)</f>
        <v>0.5</v>
      </c>
      <c r="F77" s="174"/>
      <c r="G77" s="33">
        <v>-0.5</v>
      </c>
      <c r="H77" s="33">
        <v>0</v>
      </c>
      <c r="I77" s="115">
        <f t="shared" ref="I77:I79" si="9">E77+F77+G77+H77</f>
        <v>0</v>
      </c>
      <c r="J77" s="33"/>
      <c r="K77" s="115">
        <f t="shared" ref="K77:K79" si="10">I77+J77</f>
        <v>0</v>
      </c>
      <c r="M77" s="20"/>
      <c r="S77" s="18"/>
    </row>
    <row r="78" spans="1:19" ht="12.75" customHeight="1" x14ac:dyDescent="0.35">
      <c r="B78" s="28"/>
      <c r="C78" s="28"/>
      <c r="E78" s="32"/>
      <c r="F78" s="172"/>
      <c r="G78" s="33"/>
      <c r="H78" s="33"/>
      <c r="I78" s="115"/>
      <c r="J78" s="33"/>
      <c r="K78" s="115"/>
      <c r="M78" s="20"/>
      <c r="S78" s="18"/>
    </row>
    <row r="79" spans="1:19" ht="12.75" customHeight="1" x14ac:dyDescent="0.35">
      <c r="A79" s="100" t="s">
        <v>276</v>
      </c>
      <c r="B79" s="28"/>
      <c r="C79" s="28" t="s">
        <v>275</v>
      </c>
      <c r="D79" s="4" t="s">
        <v>276</v>
      </c>
      <c r="E79" s="35">
        <f>VLOOKUP(A79,'DEK Q3 2016'!$A$1:$I$252,9,FALSE)</f>
        <v>811753.8</v>
      </c>
      <c r="F79" s="174"/>
      <c r="G79" s="36">
        <v>537322.96</v>
      </c>
      <c r="H79" s="36">
        <v>0</v>
      </c>
      <c r="I79" s="116">
        <f t="shared" si="9"/>
        <v>1349076.76</v>
      </c>
      <c r="J79" s="36"/>
      <c r="K79" s="116">
        <f t="shared" si="10"/>
        <v>1349076.76</v>
      </c>
      <c r="M79" s="20"/>
      <c r="S79" s="18"/>
    </row>
    <row r="80" spans="1:19" x14ac:dyDescent="0.2">
      <c r="B80" s="54"/>
      <c r="C80" s="28"/>
      <c r="E80" s="221">
        <f>SUM(E42:E79)</f>
        <v>51396126.109999999</v>
      </c>
      <c r="F80" s="29">
        <f>SUM(F39:F65)+F36</f>
        <v>0</v>
      </c>
      <c r="G80" s="29">
        <f>SUM(G39:G79)+G36</f>
        <v>1705940.1099999999</v>
      </c>
      <c r="H80" s="29">
        <f>SUM(H39:H79)+H36</f>
        <v>0</v>
      </c>
      <c r="I80" s="123">
        <f>SUM(I39:I79)+I36</f>
        <v>53102066.219999999</v>
      </c>
      <c r="J80" s="49">
        <f>SUM(J39:J79)+J36</f>
        <v>-1688544.04</v>
      </c>
      <c r="K80" s="123">
        <f>SUM(K39:K79)+K36</f>
        <v>51413522.18</v>
      </c>
      <c r="L80" s="258" t="s">
        <v>259</v>
      </c>
      <c r="M80" s="20"/>
      <c r="S80" s="18"/>
    </row>
    <row r="81" spans="1:21" x14ac:dyDescent="0.2">
      <c r="B81" s="54"/>
      <c r="C81" s="28"/>
      <c r="E81" s="32"/>
      <c r="F81" s="29"/>
      <c r="G81" s="151"/>
      <c r="H81" s="29"/>
      <c r="I81" s="123"/>
      <c r="J81" s="49"/>
      <c r="K81" s="123"/>
      <c r="L81" s="230"/>
      <c r="M81" s="20"/>
      <c r="S81" s="18"/>
    </row>
    <row r="82" spans="1:21" x14ac:dyDescent="0.2">
      <c r="A82" s="100" t="s">
        <v>269</v>
      </c>
      <c r="B82" s="54"/>
      <c r="C82" s="28" t="s">
        <v>268</v>
      </c>
      <c r="D82" s="4" t="s">
        <v>269</v>
      </c>
      <c r="E82" s="221">
        <f>VLOOKUP(A82,'DEK Q3 2016'!$A$1:$I$252,9,FALSE)</f>
        <v>3097793.17</v>
      </c>
      <c r="F82" s="29"/>
      <c r="G82" s="29">
        <v>347203.26</v>
      </c>
      <c r="H82" s="29">
        <v>0</v>
      </c>
      <c r="I82" s="123">
        <f>E82+F82+G82+H82</f>
        <v>3444996.4299999997</v>
      </c>
      <c r="J82" s="49">
        <v>0</v>
      </c>
      <c r="K82" s="123">
        <f t="shared" ref="K82" si="11">I82+J82</f>
        <v>3444996.4299999997</v>
      </c>
      <c r="L82" s="258" t="s">
        <v>279</v>
      </c>
      <c r="M82" s="20"/>
      <c r="S82" s="18"/>
    </row>
    <row r="83" spans="1:21" x14ac:dyDescent="0.2">
      <c r="B83" s="54"/>
      <c r="C83" s="28"/>
      <c r="E83" s="32"/>
      <c r="F83" s="29"/>
      <c r="G83" s="151"/>
      <c r="H83" s="29"/>
      <c r="I83" s="123"/>
      <c r="J83" s="49"/>
      <c r="K83" s="123"/>
      <c r="L83" s="230"/>
      <c r="M83" s="20"/>
      <c r="S83" s="18"/>
    </row>
    <row r="84" spans="1:21" s="22" customFormat="1" x14ac:dyDescent="0.2">
      <c r="A84" s="101"/>
      <c r="B84" s="54" t="s">
        <v>129</v>
      </c>
      <c r="C84" s="55"/>
      <c r="E84" s="220"/>
      <c r="F84" s="47"/>
      <c r="G84" s="162"/>
      <c r="H84" s="47"/>
      <c r="I84" s="124"/>
      <c r="J84" s="47"/>
      <c r="K84" s="124"/>
      <c r="M84" s="19"/>
      <c r="N84" s="48"/>
      <c r="O84" s="48"/>
      <c r="P84" s="56"/>
      <c r="R84" s="57"/>
      <c r="S84" s="57"/>
      <c r="T84" s="55"/>
      <c r="U84" s="55"/>
    </row>
    <row r="85" spans="1:21" ht="25.5" hidden="1" customHeight="1" x14ac:dyDescent="0.2">
      <c r="A85" s="100" t="s">
        <v>125</v>
      </c>
      <c r="B85" s="18"/>
      <c r="C85" s="28" t="s">
        <v>73</v>
      </c>
      <c r="D85" s="4" t="s">
        <v>125</v>
      </c>
      <c r="E85" s="32">
        <v>0</v>
      </c>
      <c r="F85" s="33">
        <v>0</v>
      </c>
      <c r="G85" s="144">
        <v>0</v>
      </c>
      <c r="H85" s="33">
        <v>0</v>
      </c>
      <c r="I85" s="115">
        <f>E85+F85+G85+H85</f>
        <v>0</v>
      </c>
      <c r="J85" s="30">
        <f>F85+G85+H85+I85</f>
        <v>0</v>
      </c>
      <c r="K85" s="115">
        <f>G85+H85+I85+J85</f>
        <v>0</v>
      </c>
      <c r="M85" s="42" t="s">
        <v>126</v>
      </c>
      <c r="O85" s="53"/>
      <c r="P85" s="31"/>
      <c r="R85" s="4" t="s">
        <v>107</v>
      </c>
      <c r="S85" s="18">
        <v>182940</v>
      </c>
      <c r="U85" s="39" t="s">
        <v>36</v>
      </c>
    </row>
    <row r="86" spans="1:21" x14ac:dyDescent="0.2">
      <c r="A86" s="100" t="s">
        <v>161</v>
      </c>
      <c r="B86" s="28"/>
      <c r="C86" s="28" t="s">
        <v>72</v>
      </c>
      <c r="D86" s="4" t="s">
        <v>224</v>
      </c>
      <c r="E86" s="32">
        <f>VLOOKUP(A86,'DEK Q3 2016'!$A$1:$I$252,9,FALSE)</f>
        <v>24062373.440000001</v>
      </c>
      <c r="F86" s="30">
        <v>0</v>
      </c>
      <c r="G86" s="33">
        <v>-140031</v>
      </c>
      <c r="H86" s="30">
        <v>0</v>
      </c>
      <c r="I86" s="115">
        <f>E86+F86+G86+H86</f>
        <v>23922342.440000001</v>
      </c>
      <c r="J86" s="30">
        <v>0</v>
      </c>
      <c r="K86" s="115">
        <f t="shared" ref="K86:K88" si="12">I86+J86</f>
        <v>23922342.440000001</v>
      </c>
      <c r="L86" s="210" t="s">
        <v>22</v>
      </c>
      <c r="M86" s="20"/>
      <c r="P86" s="58"/>
      <c r="S86" s="18">
        <v>186801</v>
      </c>
    </row>
    <row r="87" spans="1:21" x14ac:dyDescent="0.2">
      <c r="A87" s="108" t="s">
        <v>171</v>
      </c>
      <c r="B87" s="28"/>
      <c r="C87" s="28" t="s">
        <v>122</v>
      </c>
      <c r="D87" s="4" t="s">
        <v>225</v>
      </c>
      <c r="E87" s="32">
        <f>VLOOKUP(A87,'DEK Q3 2016'!$A$1:$I$252,9,FALSE)</f>
        <v>2686347.55</v>
      </c>
      <c r="F87" s="30">
        <v>0</v>
      </c>
      <c r="G87" s="33">
        <v>-25398</v>
      </c>
      <c r="H87" s="30">
        <v>0</v>
      </c>
      <c r="I87" s="115">
        <f>E87+F87+G87+H87</f>
        <v>2660949.5499999998</v>
      </c>
      <c r="J87" s="30">
        <v>0</v>
      </c>
      <c r="K87" s="115">
        <f t="shared" si="12"/>
        <v>2660949.5499999998</v>
      </c>
      <c r="L87" s="210" t="s">
        <v>22</v>
      </c>
      <c r="M87" s="20"/>
      <c r="P87" s="58"/>
      <c r="S87" s="18"/>
    </row>
    <row r="88" spans="1:21" x14ac:dyDescent="0.2">
      <c r="A88" s="108" t="s">
        <v>172</v>
      </c>
      <c r="B88" s="28"/>
      <c r="C88" s="28" t="s">
        <v>123</v>
      </c>
      <c r="D88" s="4" t="s">
        <v>226</v>
      </c>
      <c r="E88" s="32">
        <f>VLOOKUP(A88,'DEK Q3 2016'!$A$1:$I$252,9,FALSE)</f>
        <v>47936.05</v>
      </c>
      <c r="F88" s="30">
        <v>0</v>
      </c>
      <c r="G88" s="33">
        <v>-392</v>
      </c>
      <c r="H88" s="30">
        <v>0</v>
      </c>
      <c r="I88" s="115">
        <f>E88+F88+G88+H88</f>
        <v>47544.05</v>
      </c>
      <c r="J88" s="30">
        <v>0</v>
      </c>
      <c r="K88" s="115">
        <f t="shared" si="12"/>
        <v>47544.05</v>
      </c>
      <c r="L88" s="210" t="s">
        <v>22</v>
      </c>
      <c r="M88" s="20"/>
      <c r="P88" s="58"/>
      <c r="S88" s="18"/>
    </row>
    <row r="89" spans="1:21" x14ac:dyDescent="0.2">
      <c r="B89" s="28"/>
      <c r="C89" s="28"/>
      <c r="E89" s="35"/>
      <c r="F89" s="36"/>
      <c r="G89" s="150"/>
      <c r="H89" s="36"/>
      <c r="I89" s="116"/>
      <c r="J89" s="36"/>
      <c r="K89" s="116"/>
      <c r="M89" s="20"/>
      <c r="P89" s="58"/>
      <c r="S89" s="18"/>
    </row>
    <row r="90" spans="1:21" x14ac:dyDescent="0.2">
      <c r="B90" s="28"/>
      <c r="C90" s="18"/>
      <c r="E90" s="32">
        <f>SUM(E85:E89)</f>
        <v>26796657.040000003</v>
      </c>
      <c r="F90" s="29">
        <f t="shared" ref="F90:K90" si="13">SUM(F85:F89)</f>
        <v>0</v>
      </c>
      <c r="G90" s="29">
        <f>SUM(G85:G89)</f>
        <v>-165821</v>
      </c>
      <c r="H90" s="29">
        <f t="shared" si="13"/>
        <v>0</v>
      </c>
      <c r="I90" s="123">
        <f t="shared" si="13"/>
        <v>26630836.040000003</v>
      </c>
      <c r="J90" s="29">
        <f t="shared" si="13"/>
        <v>0</v>
      </c>
      <c r="K90" s="123">
        <f t="shared" si="13"/>
        <v>26630836.040000003</v>
      </c>
      <c r="L90" s="258" t="s">
        <v>260</v>
      </c>
      <c r="M90" s="20"/>
      <c r="S90" s="18"/>
    </row>
    <row r="91" spans="1:21" ht="12.75" hidden="1" customHeight="1" x14ac:dyDescent="0.2">
      <c r="B91" s="54" t="s">
        <v>135</v>
      </c>
      <c r="C91" s="18"/>
      <c r="E91" s="32"/>
      <c r="F91" s="29"/>
      <c r="G91" s="151"/>
      <c r="H91" s="151"/>
      <c r="I91" s="117"/>
      <c r="J91" s="29"/>
      <c r="K91" s="117"/>
      <c r="M91" s="20"/>
      <c r="S91" s="18"/>
    </row>
    <row r="92" spans="1:21" ht="12.75" hidden="1" customHeight="1" x14ac:dyDescent="0.2">
      <c r="A92" s="100" t="s">
        <v>108</v>
      </c>
      <c r="B92" s="28"/>
      <c r="C92" s="28" t="s">
        <v>71</v>
      </c>
      <c r="D92" s="4" t="s">
        <v>108</v>
      </c>
      <c r="E92" s="32">
        <v>0</v>
      </c>
      <c r="F92" s="30">
        <v>0</v>
      </c>
      <c r="G92" s="152">
        <v>0</v>
      </c>
      <c r="H92" s="152">
        <v>0</v>
      </c>
      <c r="I92" s="115">
        <f t="shared" ref="I92:K93" si="14">E92+F92+G92+H92</f>
        <v>0</v>
      </c>
      <c r="J92" s="30">
        <f t="shared" si="14"/>
        <v>0</v>
      </c>
      <c r="K92" s="115">
        <f t="shared" si="14"/>
        <v>0</v>
      </c>
      <c r="M92" s="20"/>
      <c r="S92" s="18">
        <v>174995</v>
      </c>
    </row>
    <row r="93" spans="1:21" ht="12.75" hidden="1" customHeight="1" x14ac:dyDescent="0.2">
      <c r="A93" s="100" t="s">
        <v>139</v>
      </c>
      <c r="B93" s="28"/>
      <c r="C93" s="28" t="s">
        <v>124</v>
      </c>
      <c r="D93" s="4" t="s">
        <v>139</v>
      </c>
      <c r="E93" s="32">
        <v>0</v>
      </c>
      <c r="F93" s="30">
        <v>0</v>
      </c>
      <c r="G93" s="152">
        <v>0</v>
      </c>
      <c r="H93" s="152">
        <v>0</v>
      </c>
      <c r="I93" s="115">
        <f t="shared" si="14"/>
        <v>0</v>
      </c>
      <c r="J93" s="30">
        <f t="shared" si="14"/>
        <v>0</v>
      </c>
      <c r="K93" s="115">
        <f t="shared" si="14"/>
        <v>0</v>
      </c>
      <c r="M93" s="20"/>
      <c r="S93" s="18"/>
    </row>
    <row r="94" spans="1:21" ht="7.5" hidden="1" customHeight="1" x14ac:dyDescent="0.2">
      <c r="B94" s="28"/>
      <c r="C94" s="18"/>
      <c r="D94" s="59"/>
      <c r="E94" s="32"/>
      <c r="F94" s="30"/>
      <c r="G94" s="152"/>
      <c r="H94" s="152"/>
      <c r="I94" s="115"/>
      <c r="J94" s="30"/>
      <c r="K94" s="115"/>
      <c r="M94" s="20"/>
      <c r="P94" s="58"/>
      <c r="S94" s="18"/>
    </row>
    <row r="95" spans="1:21" x14ac:dyDescent="0.2">
      <c r="B95" s="28"/>
      <c r="C95" s="18"/>
      <c r="E95" s="32"/>
      <c r="F95" s="30"/>
      <c r="G95" s="152"/>
      <c r="H95" s="152"/>
      <c r="I95" s="115"/>
      <c r="J95" s="30"/>
      <c r="K95" s="115"/>
      <c r="M95" s="20"/>
      <c r="S95" s="18"/>
    </row>
    <row r="96" spans="1:21" x14ac:dyDescent="0.2">
      <c r="B96" s="18"/>
      <c r="C96" s="131" t="s">
        <v>41</v>
      </c>
      <c r="D96" s="135"/>
      <c r="E96" s="133">
        <f>+E12+E24+E30+E80+E82+E90+E92+E19+E93</f>
        <v>89100764.910000011</v>
      </c>
      <c r="F96" s="133">
        <f>+F12+F24+F30+F80+F90+F92+F19+F93</f>
        <v>0</v>
      </c>
      <c r="G96" s="133">
        <f>+G12+G24+G30+G80+G82+G90+G92+G19+G93</f>
        <v>-77321.910000000149</v>
      </c>
      <c r="H96" s="133">
        <f>+H12+H24+H30+H80+H82+H90+H92+H19+H93</f>
        <v>-22206.17</v>
      </c>
      <c r="I96" s="134">
        <f>+I12+I24+I30+I80+I82+I90+I92+I19+I93</f>
        <v>89001236.829999998</v>
      </c>
      <c r="J96" s="133">
        <f>+J12+J24+J30+J80+J82+J90+J92+J19+J93</f>
        <v>0</v>
      </c>
      <c r="K96" s="134">
        <f>+K12+K24+K30+K80+K82+K90+K92+K19+K93</f>
        <v>89001236.829999998</v>
      </c>
      <c r="M96" s="45"/>
      <c r="N96" s="143"/>
      <c r="S96" s="18"/>
    </row>
    <row r="97" spans="1:20" x14ac:dyDescent="0.2">
      <c r="A97" s="105"/>
      <c r="B97" s="18"/>
      <c r="C97" s="18"/>
      <c r="D97" s="12"/>
      <c r="E97" s="221"/>
      <c r="F97" s="50"/>
      <c r="G97" s="145"/>
      <c r="H97" s="145"/>
      <c r="I97" s="115"/>
      <c r="J97" s="30"/>
      <c r="K97" s="115"/>
      <c r="M97" s="45"/>
      <c r="S97" s="18"/>
    </row>
    <row r="98" spans="1:20" s="22" customFormat="1" x14ac:dyDescent="0.2">
      <c r="A98" s="106"/>
      <c r="B98" s="21" t="s">
        <v>130</v>
      </c>
      <c r="C98" s="46"/>
      <c r="D98" s="27"/>
      <c r="E98" s="222"/>
      <c r="F98" s="50"/>
      <c r="G98" s="145"/>
      <c r="H98" s="145"/>
      <c r="I98" s="113"/>
      <c r="J98" s="19"/>
      <c r="K98" s="113"/>
      <c r="M98" s="19"/>
      <c r="N98" s="20"/>
      <c r="O98" s="48"/>
      <c r="R98" s="57"/>
      <c r="S98" s="57"/>
    </row>
    <row r="99" spans="1:20" x14ac:dyDescent="0.2">
      <c r="A99" s="100" t="s">
        <v>114</v>
      </c>
      <c r="B99" s="18"/>
      <c r="C99" s="28" t="s">
        <v>52</v>
      </c>
      <c r="D99" s="4" t="s">
        <v>114</v>
      </c>
      <c r="E99" s="32">
        <f>VLOOKUP(A99,'DEK Q3 2016'!$A$1:$I$252,9,FALSE)</f>
        <v>9.4951246865093708E-10</v>
      </c>
      <c r="F99" s="30">
        <v>0</v>
      </c>
      <c r="G99" s="33">
        <f>(2457392.51+503817.91)</f>
        <v>2961210.42</v>
      </c>
      <c r="H99" s="33">
        <v>-76546.16</v>
      </c>
      <c r="I99" s="115">
        <f t="shared" ref="I99:I104" si="15">E99+F99+G99+H99</f>
        <v>2884664.2600000007</v>
      </c>
      <c r="J99" s="30">
        <v>0</v>
      </c>
      <c r="K99" s="115">
        <f t="shared" ref="K99:K104" si="16">I99+J99</f>
        <v>2884664.2600000007</v>
      </c>
      <c r="L99" s="210" t="s">
        <v>22</v>
      </c>
      <c r="M99" s="33"/>
      <c r="N99" s="42"/>
      <c r="O99" s="42"/>
      <c r="S99" s="18">
        <v>191400</v>
      </c>
      <c r="T99" s="58"/>
    </row>
    <row r="100" spans="1:20" x14ac:dyDescent="0.2">
      <c r="A100" s="100" t="s">
        <v>115</v>
      </c>
      <c r="B100" s="18"/>
      <c r="C100" s="28" t="s">
        <v>53</v>
      </c>
      <c r="D100" s="4" t="s">
        <v>115</v>
      </c>
      <c r="E100" s="32">
        <f>VLOOKUP(A100,'DEK Q3 2016'!$A$1:$I$252,9,FALSE)</f>
        <v>0</v>
      </c>
      <c r="F100" s="30">
        <v>0</v>
      </c>
      <c r="G100" s="33">
        <v>-846901.82</v>
      </c>
      <c r="H100" s="33">
        <v>0</v>
      </c>
      <c r="I100" s="115">
        <f t="shared" si="15"/>
        <v>-846901.82</v>
      </c>
      <c r="J100" s="30">
        <v>0</v>
      </c>
      <c r="K100" s="115">
        <f t="shared" si="16"/>
        <v>-846901.82</v>
      </c>
      <c r="L100" s="210" t="s">
        <v>22</v>
      </c>
      <c r="M100" s="30"/>
      <c r="N100" s="42"/>
      <c r="O100" s="42"/>
      <c r="S100" s="18">
        <v>191800</v>
      </c>
      <c r="T100" s="58"/>
    </row>
    <row r="101" spans="1:20" ht="12.75" customHeight="1" x14ac:dyDescent="0.2">
      <c r="A101" s="100" t="s">
        <v>117</v>
      </c>
      <c r="B101" s="18"/>
      <c r="C101" s="28" t="s">
        <v>77</v>
      </c>
      <c r="D101" s="4" t="s">
        <v>117</v>
      </c>
      <c r="E101" s="32">
        <f>VLOOKUP(A101,'DEK Q3 2016'!$A$1:$I$252,9,FALSE)</f>
        <v>-1386.1600000000035</v>
      </c>
      <c r="F101" s="30">
        <v>0</v>
      </c>
      <c r="G101" s="30">
        <v>0</v>
      </c>
      <c r="H101" s="33">
        <v>0</v>
      </c>
      <c r="I101" s="115">
        <f t="shared" si="15"/>
        <v>-1386.1600000000035</v>
      </c>
      <c r="J101" s="30">
        <v>0</v>
      </c>
      <c r="K101" s="115">
        <f t="shared" si="16"/>
        <v>-1386.1600000000035</v>
      </c>
      <c r="L101" s="210" t="s">
        <v>22</v>
      </c>
      <c r="M101" s="20"/>
      <c r="N101" s="42"/>
      <c r="O101" s="42"/>
      <c r="S101" s="18">
        <v>242995</v>
      </c>
      <c r="T101" s="58"/>
    </row>
    <row r="102" spans="1:20" x14ac:dyDescent="0.2">
      <c r="A102" s="100" t="s">
        <v>119</v>
      </c>
      <c r="B102" s="18"/>
      <c r="C102" s="28" t="s">
        <v>118</v>
      </c>
      <c r="D102" s="4" t="s">
        <v>119</v>
      </c>
      <c r="E102" s="32">
        <f>VLOOKUP(A102,'DEK Q3 2016'!$A$1:$I$252,9,FALSE)</f>
        <v>-1341226.6100000003</v>
      </c>
      <c r="F102" s="30">
        <v>0</v>
      </c>
      <c r="G102" s="30">
        <v>171354.58</v>
      </c>
      <c r="H102" s="33">
        <v>0</v>
      </c>
      <c r="I102" s="115">
        <f t="shared" si="15"/>
        <v>-1169872.0300000003</v>
      </c>
      <c r="J102" s="30">
        <v>0</v>
      </c>
      <c r="K102" s="115">
        <f t="shared" si="16"/>
        <v>-1169872.0300000003</v>
      </c>
      <c r="L102" s="210" t="s">
        <v>22</v>
      </c>
      <c r="M102" s="20"/>
      <c r="N102" s="42"/>
      <c r="O102" s="42"/>
      <c r="S102" s="18">
        <v>242997</v>
      </c>
      <c r="T102" s="58"/>
    </row>
    <row r="103" spans="1:20" x14ac:dyDescent="0.2">
      <c r="A103" s="100" t="s">
        <v>120</v>
      </c>
      <c r="B103" s="18"/>
      <c r="C103" s="28" t="s">
        <v>54</v>
      </c>
      <c r="D103" s="4" t="s">
        <v>120</v>
      </c>
      <c r="E103" s="32">
        <f>VLOOKUP(A103,'DEK Q3 2016'!$A$1:$I$252,9,FALSE)</f>
        <v>435336.48000000027</v>
      </c>
      <c r="F103" s="33">
        <v>0</v>
      </c>
      <c r="G103" s="33">
        <v>0</v>
      </c>
      <c r="H103" s="33">
        <v>-15341.84</v>
      </c>
      <c r="I103" s="115">
        <f t="shared" si="15"/>
        <v>419994.64000000025</v>
      </c>
      <c r="J103" s="33">
        <v>0</v>
      </c>
      <c r="K103" s="115">
        <f t="shared" si="16"/>
        <v>419994.64000000025</v>
      </c>
      <c r="L103" s="210" t="s">
        <v>22</v>
      </c>
      <c r="M103" s="42"/>
      <c r="N103" s="42"/>
      <c r="O103" s="42"/>
      <c r="S103" s="18">
        <v>253130</v>
      </c>
      <c r="T103" s="58"/>
    </row>
    <row r="104" spans="1:20" x14ac:dyDescent="0.2">
      <c r="A104" s="100" t="s">
        <v>156</v>
      </c>
      <c r="B104" s="18"/>
      <c r="C104" s="28" t="s">
        <v>116</v>
      </c>
      <c r="D104" s="4" t="s">
        <v>211</v>
      </c>
      <c r="E104" s="32">
        <f>VLOOKUP(A104,'DEK Q3 2016'!$A$1:$I$252,9,FALSE)</f>
        <v>-1542022.0299999996</v>
      </c>
      <c r="F104" s="33"/>
      <c r="G104" s="33">
        <v>-855655.51</v>
      </c>
      <c r="H104" s="33">
        <v>0</v>
      </c>
      <c r="I104" s="115">
        <f t="shared" si="15"/>
        <v>-2397677.5399999996</v>
      </c>
      <c r="J104" s="30">
        <v>0</v>
      </c>
      <c r="K104" s="115">
        <f t="shared" si="16"/>
        <v>-2397677.5399999996</v>
      </c>
      <c r="M104" s="42"/>
      <c r="N104" s="42"/>
      <c r="O104" s="42"/>
      <c r="S104" s="18"/>
      <c r="T104" s="58"/>
    </row>
    <row r="105" spans="1:20" x14ac:dyDescent="0.2">
      <c r="B105" s="18"/>
      <c r="C105" s="28"/>
      <c r="E105" s="36"/>
      <c r="F105" s="36"/>
      <c r="G105" s="150"/>
      <c r="H105" s="150"/>
      <c r="I105" s="116"/>
      <c r="J105" s="36"/>
      <c r="K105" s="116"/>
      <c r="M105" s="42"/>
      <c r="N105" s="42"/>
      <c r="O105" s="42"/>
      <c r="S105" s="18"/>
      <c r="T105" s="58"/>
    </row>
    <row r="106" spans="1:20" x14ac:dyDescent="0.2">
      <c r="B106" s="18"/>
      <c r="C106" s="61"/>
      <c r="D106" s="34"/>
      <c r="E106" s="33">
        <f t="shared" ref="E106:K106" si="17">SUM(E99:E105)</f>
        <v>-2449298.3199999984</v>
      </c>
      <c r="F106" s="33">
        <f t="shared" si="17"/>
        <v>0</v>
      </c>
      <c r="G106" s="33">
        <f t="shared" si="17"/>
        <v>1430007.6700000002</v>
      </c>
      <c r="H106" s="33">
        <f t="shared" si="17"/>
        <v>-91888</v>
      </c>
      <c r="I106" s="123">
        <f t="shared" si="17"/>
        <v>-1111178.6499999985</v>
      </c>
      <c r="J106" s="33">
        <f t="shared" si="17"/>
        <v>0</v>
      </c>
      <c r="K106" s="123">
        <f t="shared" si="17"/>
        <v>-1111178.6499999985</v>
      </c>
      <c r="L106" s="258" t="s">
        <v>263</v>
      </c>
      <c r="M106" s="42"/>
      <c r="N106" s="42"/>
      <c r="O106" s="42"/>
      <c r="S106" s="18"/>
      <c r="T106" s="58"/>
    </row>
    <row r="107" spans="1:20" hidden="1" x14ac:dyDescent="0.2">
      <c r="B107" s="21" t="s">
        <v>188</v>
      </c>
      <c r="C107" s="61"/>
      <c r="D107" s="34"/>
      <c r="E107" s="33"/>
      <c r="F107" s="33"/>
      <c r="G107" s="144"/>
      <c r="H107" s="144"/>
      <c r="I107" s="115"/>
      <c r="J107" s="33"/>
      <c r="K107" s="115"/>
      <c r="M107" s="42"/>
      <c r="N107" s="42"/>
      <c r="O107" s="42"/>
      <c r="S107" s="18"/>
      <c r="T107" s="58"/>
    </row>
    <row r="108" spans="1:20" hidden="1" x14ac:dyDescent="0.2">
      <c r="A108" s="100" t="s">
        <v>185</v>
      </c>
      <c r="B108" s="18"/>
      <c r="C108" s="28" t="s">
        <v>186</v>
      </c>
      <c r="D108" s="4" t="s">
        <v>213</v>
      </c>
      <c r="E108" s="32">
        <v>0</v>
      </c>
      <c r="F108" s="33">
        <v>0</v>
      </c>
      <c r="G108" s="144">
        <v>0</v>
      </c>
      <c r="H108" s="144">
        <v>0</v>
      </c>
      <c r="I108" s="115">
        <f>E108+F108+G108+H108</f>
        <v>0</v>
      </c>
      <c r="J108" s="33">
        <v>0</v>
      </c>
      <c r="K108" s="115">
        <f>I108+J108</f>
        <v>0</v>
      </c>
      <c r="M108" s="42"/>
      <c r="N108" s="42"/>
      <c r="O108" s="42"/>
      <c r="S108" s="18"/>
      <c r="T108" s="58"/>
    </row>
    <row r="109" spans="1:20" ht="12.75" hidden="1" customHeight="1" x14ac:dyDescent="0.2">
      <c r="A109" s="100" t="s">
        <v>181</v>
      </c>
      <c r="B109" s="18"/>
      <c r="C109" s="28" t="s">
        <v>182</v>
      </c>
      <c r="D109" s="4" t="s">
        <v>213</v>
      </c>
      <c r="E109" s="32">
        <f>VLOOKUP(A109,'[23]DEK Jul 2013'!$A$1:$I$252,9,FALSE)</f>
        <v>0</v>
      </c>
      <c r="F109" s="33">
        <v>0</v>
      </c>
      <c r="G109" s="144">
        <v>0</v>
      </c>
      <c r="H109" s="144">
        <v>0</v>
      </c>
      <c r="I109" s="115">
        <f>E109+F109+G109+H109</f>
        <v>0</v>
      </c>
      <c r="J109" s="30">
        <v>0</v>
      </c>
      <c r="K109" s="115">
        <f>I109+J109</f>
        <v>0</v>
      </c>
      <c r="L109" s="4" t="s">
        <v>22</v>
      </c>
      <c r="M109" s="42"/>
      <c r="N109" s="42"/>
      <c r="O109" s="42"/>
      <c r="S109" s="18">
        <v>253130</v>
      </c>
      <c r="T109" s="58"/>
    </row>
    <row r="110" spans="1:20" hidden="1" x14ac:dyDescent="0.2">
      <c r="B110" s="18"/>
      <c r="C110" s="28"/>
      <c r="E110" s="33"/>
      <c r="F110" s="36"/>
      <c r="G110" s="150"/>
      <c r="H110" s="150"/>
      <c r="I110" s="116"/>
      <c r="J110" s="36"/>
      <c r="K110" s="116"/>
      <c r="M110" s="42"/>
      <c r="N110" s="42"/>
      <c r="O110" s="42"/>
      <c r="S110" s="18"/>
      <c r="T110" s="58"/>
    </row>
    <row r="111" spans="1:20" hidden="1" x14ac:dyDescent="0.2">
      <c r="B111" s="18"/>
      <c r="C111" s="28"/>
      <c r="E111" s="33">
        <f>SUM(E108:E109)</f>
        <v>0</v>
      </c>
      <c r="F111" s="33">
        <f t="shared" ref="F111:L111" si="18">SUM(F108:F109)</f>
        <v>0</v>
      </c>
      <c r="G111" s="144">
        <f t="shared" si="18"/>
        <v>0</v>
      </c>
      <c r="H111" s="144">
        <f t="shared" si="18"/>
        <v>0</v>
      </c>
      <c r="I111" s="128">
        <f>SUM(I108:I109)</f>
        <v>0</v>
      </c>
      <c r="J111" s="33">
        <f t="shared" si="18"/>
        <v>0</v>
      </c>
      <c r="K111" s="128">
        <f t="shared" si="18"/>
        <v>0</v>
      </c>
      <c r="L111" s="33">
        <f t="shared" si="18"/>
        <v>0</v>
      </c>
      <c r="M111" s="42"/>
      <c r="N111" s="42"/>
      <c r="O111" s="42"/>
      <c r="S111" s="18"/>
      <c r="T111" s="58"/>
    </row>
    <row r="112" spans="1:20" hidden="1" x14ac:dyDescent="0.2">
      <c r="B112" s="18"/>
      <c r="C112" s="61"/>
      <c r="D112" s="34"/>
      <c r="E112" s="33"/>
      <c r="F112" s="33"/>
      <c r="G112" s="144"/>
      <c r="H112" s="144"/>
      <c r="I112" s="115"/>
      <c r="J112" s="33"/>
      <c r="K112" s="115"/>
      <c r="M112" s="42"/>
      <c r="N112" s="42"/>
      <c r="O112" s="42"/>
      <c r="S112" s="18"/>
      <c r="T112" s="58"/>
    </row>
    <row r="113" spans="1:23" s="22" customFormat="1" x14ac:dyDescent="0.2">
      <c r="A113" s="101"/>
      <c r="B113" s="21" t="s">
        <v>214</v>
      </c>
      <c r="C113" s="63"/>
      <c r="D113" s="64"/>
      <c r="E113" s="33"/>
      <c r="F113" s="30"/>
      <c r="G113" s="152" t="s">
        <v>187</v>
      </c>
      <c r="H113" s="152"/>
      <c r="I113" s="113"/>
      <c r="J113" s="19"/>
      <c r="K113" s="113"/>
      <c r="M113" s="19"/>
      <c r="N113" s="42"/>
      <c r="O113" s="48"/>
      <c r="T113" s="46"/>
      <c r="U113" s="46"/>
    </row>
    <row r="114" spans="1:23" x14ac:dyDescent="0.2">
      <c r="A114" s="100" t="s">
        <v>162</v>
      </c>
      <c r="B114" s="18"/>
      <c r="C114" s="28" t="s">
        <v>76</v>
      </c>
      <c r="D114" s="4" t="s">
        <v>194</v>
      </c>
      <c r="E114" s="32">
        <f>VLOOKUP(A114,'DEK Q3 2016'!$A$1:$I$252,9,FALSE)</f>
        <v>-4524776.7300000004</v>
      </c>
      <c r="F114" s="30">
        <v>0</v>
      </c>
      <c r="G114" s="33">
        <v>45859</v>
      </c>
      <c r="H114" s="33">
        <v>0</v>
      </c>
      <c r="I114" s="123">
        <f>E114+G114+H114+F114</f>
        <v>-4478917.7300000004</v>
      </c>
      <c r="J114" s="91">
        <v>0</v>
      </c>
      <c r="K114" s="123">
        <f>I114+J114</f>
        <v>-4478917.7300000004</v>
      </c>
      <c r="L114" s="259" t="s">
        <v>264</v>
      </c>
      <c r="M114" s="67"/>
      <c r="P114" s="51"/>
      <c r="Q114" s="18"/>
      <c r="R114" s="58"/>
      <c r="S114" s="18"/>
    </row>
    <row r="115" spans="1:23" ht="15" x14ac:dyDescent="0.25">
      <c r="B115" s="18"/>
      <c r="C115" s="28"/>
      <c r="D115" s="65"/>
      <c r="E115" s="83"/>
      <c r="F115" s="30"/>
      <c r="G115" s="144"/>
      <c r="H115" s="33"/>
      <c r="I115" s="126"/>
      <c r="J115" s="1"/>
      <c r="K115" s="126"/>
      <c r="L115" s="210" t="s">
        <v>22</v>
      </c>
      <c r="M115" s="67"/>
      <c r="P115" s="51"/>
      <c r="Q115" s="18"/>
      <c r="R115" s="58"/>
      <c r="S115" s="18"/>
    </row>
    <row r="116" spans="1:23" x14ac:dyDescent="0.2">
      <c r="B116" s="21" t="s">
        <v>227</v>
      </c>
      <c r="C116" s="28"/>
      <c r="E116" s="83"/>
      <c r="F116" s="30"/>
      <c r="G116" s="152"/>
      <c r="H116" s="30"/>
      <c r="I116" s="115"/>
      <c r="J116" s="30"/>
      <c r="K116" s="115"/>
      <c r="M116" s="20"/>
      <c r="N116" s="42"/>
      <c r="O116" s="42"/>
      <c r="R116" s="58"/>
      <c r="S116" s="18"/>
      <c r="T116" s="58"/>
    </row>
    <row r="117" spans="1:23" x14ac:dyDescent="0.2">
      <c r="A117" s="100" t="s">
        <v>163</v>
      </c>
      <c r="B117" s="18"/>
      <c r="C117" s="28" t="s">
        <v>48</v>
      </c>
      <c r="D117" s="4" t="s">
        <v>195</v>
      </c>
      <c r="E117" s="32">
        <f>VLOOKUP(A117,'DEK Q3 2016'!$A$1:$I$252,9,FALSE)</f>
        <v>-447588</v>
      </c>
      <c r="F117" s="30">
        <v>0</v>
      </c>
      <c r="G117" s="33">
        <v>-2631</v>
      </c>
      <c r="H117" s="33">
        <v>0</v>
      </c>
      <c r="I117" s="115">
        <f>E117+F117+G117+H117</f>
        <v>-450219</v>
      </c>
      <c r="J117" s="30">
        <v>0</v>
      </c>
      <c r="K117" s="115">
        <f t="shared" ref="K117:K119" si="19">I117+J117</f>
        <v>-450219</v>
      </c>
      <c r="M117" s="62"/>
      <c r="P117" s="51"/>
      <c r="Q117" s="18"/>
      <c r="R117" s="58"/>
      <c r="S117" s="18">
        <v>254998</v>
      </c>
    </row>
    <row r="118" spans="1:23" x14ac:dyDescent="0.2">
      <c r="A118" s="100" t="s">
        <v>179</v>
      </c>
      <c r="B118" s="18"/>
      <c r="C118" s="28" t="s">
        <v>47</v>
      </c>
      <c r="D118" s="4" t="s">
        <v>196</v>
      </c>
      <c r="E118" s="32">
        <f>VLOOKUP(A118,'DEK Q3 2016'!$A$1:$I$252,9,FALSE)</f>
        <v>0</v>
      </c>
      <c r="F118" s="30">
        <v>0</v>
      </c>
      <c r="G118" s="30">
        <v>0</v>
      </c>
      <c r="H118" s="33">
        <v>0</v>
      </c>
      <c r="I118" s="115">
        <f>E118+F118+G118+H118</f>
        <v>0</v>
      </c>
      <c r="J118" s="30">
        <v>0</v>
      </c>
      <c r="K118" s="115">
        <f t="shared" si="19"/>
        <v>0</v>
      </c>
      <c r="M118" s="62"/>
      <c r="P118" s="51"/>
      <c r="Q118" s="18"/>
      <c r="R118" s="58"/>
      <c r="S118" s="18">
        <v>254998</v>
      </c>
      <c r="W118" s="47"/>
    </row>
    <row r="119" spans="1:23" x14ac:dyDescent="0.2">
      <c r="A119" s="100" t="s">
        <v>164</v>
      </c>
      <c r="B119" s="18"/>
      <c r="C119" s="28" t="s">
        <v>75</v>
      </c>
      <c r="D119" s="4" t="s">
        <v>215</v>
      </c>
      <c r="E119" s="32">
        <f>VLOOKUP(A119,'DEK Q3 2016'!$A$1:$I$252,9,FALSE)</f>
        <v>-14871.110000000004</v>
      </c>
      <c r="F119" s="30">
        <v>0</v>
      </c>
      <c r="G119" s="33">
        <v>70.61</v>
      </c>
      <c r="H119" s="33">
        <v>0</v>
      </c>
      <c r="I119" s="117">
        <f>E119+F119+G119+H119</f>
        <v>-14800.500000000004</v>
      </c>
      <c r="J119" s="30">
        <v>0</v>
      </c>
      <c r="K119" s="117">
        <f t="shared" si="19"/>
        <v>-14800.500000000004</v>
      </c>
      <c r="L119" s="230"/>
      <c r="M119" s="62"/>
      <c r="P119" s="51"/>
      <c r="Q119" s="18"/>
      <c r="R119" s="58"/>
      <c r="S119" s="18">
        <v>254210</v>
      </c>
    </row>
    <row r="120" spans="1:23" x14ac:dyDescent="0.2">
      <c r="B120" s="18"/>
      <c r="C120" s="28"/>
      <c r="D120" s="65"/>
      <c r="E120" s="36"/>
      <c r="F120" s="36"/>
      <c r="G120" s="150"/>
      <c r="H120" s="36"/>
      <c r="I120" s="116"/>
      <c r="J120" s="36"/>
      <c r="K120" s="116"/>
      <c r="M120" s="62"/>
      <c r="P120" s="51"/>
      <c r="Q120" s="18"/>
      <c r="R120" s="58"/>
      <c r="S120" s="18"/>
    </row>
    <row r="121" spans="1:23" x14ac:dyDescent="0.2">
      <c r="B121" s="18"/>
      <c r="C121" s="28"/>
      <c r="E121" s="33">
        <f t="shared" ref="E121" si="20">SUM(E117:E120)</f>
        <v>-462459.11</v>
      </c>
      <c r="F121" s="30">
        <f t="shared" ref="F121:K121" si="21">SUM(F117:F120)</f>
        <v>0</v>
      </c>
      <c r="G121" s="30">
        <f t="shared" si="21"/>
        <v>-2560.39</v>
      </c>
      <c r="H121" s="30">
        <f t="shared" si="21"/>
        <v>0</v>
      </c>
      <c r="I121" s="122">
        <f t="shared" si="21"/>
        <v>-465019.5</v>
      </c>
      <c r="J121" s="30">
        <f t="shared" si="21"/>
        <v>0</v>
      </c>
      <c r="K121" s="122">
        <f t="shared" si="21"/>
        <v>-465019.5</v>
      </c>
      <c r="L121" s="259" t="s">
        <v>265</v>
      </c>
      <c r="M121" s="20"/>
      <c r="N121" s="42"/>
      <c r="O121" s="42"/>
      <c r="R121" s="58"/>
      <c r="S121" s="18"/>
      <c r="T121" s="58"/>
    </row>
    <row r="122" spans="1:23" x14ac:dyDescent="0.2">
      <c r="B122" s="21" t="s">
        <v>216</v>
      </c>
      <c r="C122" s="28"/>
      <c r="E122" s="33"/>
      <c r="F122" s="30"/>
      <c r="G122" s="152"/>
      <c r="H122" s="152"/>
      <c r="I122" s="115"/>
      <c r="J122" s="30"/>
      <c r="K122" s="115"/>
      <c r="M122" s="20"/>
      <c r="N122" s="42"/>
      <c r="O122" s="42"/>
      <c r="R122" s="58"/>
      <c r="S122" s="18"/>
      <c r="T122" s="58"/>
    </row>
    <row r="123" spans="1:23" x14ac:dyDescent="0.2">
      <c r="A123" s="100" t="s">
        <v>165</v>
      </c>
      <c r="B123" s="18"/>
      <c r="C123" s="28" t="s">
        <v>45</v>
      </c>
      <c r="D123" s="4" t="s">
        <v>197</v>
      </c>
      <c r="E123" s="32">
        <f>VLOOKUP(A123,'DEK Q3 2016'!$A$1:$I$252,9,FALSE)</f>
        <v>-18628275.640000008</v>
      </c>
      <c r="F123" s="30">
        <v>0</v>
      </c>
      <c r="G123" s="30">
        <v>-60336.75</v>
      </c>
      <c r="H123" s="30">
        <v>0</v>
      </c>
      <c r="I123" s="115">
        <f t="shared" ref="I123:I129" si="22">E123+F123+G123+H123</f>
        <v>-18688612.390000008</v>
      </c>
      <c r="J123" s="30">
        <v>0</v>
      </c>
      <c r="K123" s="115">
        <f t="shared" ref="K123:K129" si="23">I123+J123</f>
        <v>-18688612.390000008</v>
      </c>
      <c r="L123" s="210" t="s">
        <v>241</v>
      </c>
      <c r="M123" s="20"/>
      <c r="N123" s="42"/>
      <c r="O123" s="42"/>
      <c r="Q123" s="260">
        <v>75086</v>
      </c>
      <c r="R123" s="58" t="s">
        <v>44</v>
      </c>
      <c r="S123" s="18">
        <v>108201</v>
      </c>
      <c r="T123" s="58"/>
    </row>
    <row r="124" spans="1:23" x14ac:dyDescent="0.2">
      <c r="A124" s="100" t="s">
        <v>166</v>
      </c>
      <c r="B124" s="18"/>
      <c r="C124" s="28" t="s">
        <v>45</v>
      </c>
      <c r="D124" s="4" t="s">
        <v>198</v>
      </c>
      <c r="E124" s="32">
        <f>VLOOKUP(A124,'DEK Q3 2016'!$A$1:$I$252,9,FALSE)</f>
        <v>-48149057.109999992</v>
      </c>
      <c r="F124" s="30">
        <v>0</v>
      </c>
      <c r="G124" s="30">
        <v>1400267.27</v>
      </c>
      <c r="H124" s="30">
        <v>0</v>
      </c>
      <c r="I124" s="115">
        <f t="shared" si="22"/>
        <v>-46748789.839999989</v>
      </c>
      <c r="J124" s="30">
        <v>0</v>
      </c>
      <c r="K124" s="115">
        <f t="shared" si="23"/>
        <v>-46748789.839999989</v>
      </c>
      <c r="L124" s="210" t="s">
        <v>242</v>
      </c>
      <c r="M124" s="20"/>
      <c r="N124" s="42"/>
      <c r="O124" s="42"/>
      <c r="R124" s="58" t="s">
        <v>44</v>
      </c>
      <c r="S124" s="18">
        <v>108301</v>
      </c>
      <c r="T124" s="58"/>
    </row>
    <row r="125" spans="1:23" x14ac:dyDescent="0.2">
      <c r="A125" s="100" t="s">
        <v>167</v>
      </c>
      <c r="B125" s="18"/>
      <c r="C125" s="28" t="s">
        <v>46</v>
      </c>
      <c r="D125" s="4" t="s">
        <v>199</v>
      </c>
      <c r="E125" s="32">
        <f>VLOOKUP(A125,'DEK Q3 2016'!$A$1:$I$252,9,FALSE)</f>
        <v>13274245.559999999</v>
      </c>
      <c r="F125" s="30">
        <v>0</v>
      </c>
      <c r="G125" s="30">
        <v>-1082063.2</v>
      </c>
      <c r="H125" s="30">
        <v>0</v>
      </c>
      <c r="I125" s="115">
        <f t="shared" si="22"/>
        <v>12192182.359999999</v>
      </c>
      <c r="J125" s="30">
        <v>0</v>
      </c>
      <c r="K125" s="115">
        <f>I125+J125</f>
        <v>12192182.359999999</v>
      </c>
      <c r="L125" s="210" t="s">
        <v>242</v>
      </c>
      <c r="M125" s="20"/>
      <c r="N125" s="42"/>
      <c r="O125" s="42"/>
      <c r="S125" s="18">
        <v>108410</v>
      </c>
      <c r="T125" s="58"/>
    </row>
    <row r="126" spans="1:23" x14ac:dyDescent="0.2">
      <c r="A126" s="100" t="s">
        <v>168</v>
      </c>
      <c r="B126" s="18"/>
      <c r="C126" s="28" t="s">
        <v>74</v>
      </c>
      <c r="D126" s="4" t="s">
        <v>217</v>
      </c>
      <c r="E126" s="32">
        <f>VLOOKUP(A126,'DEK Q3 2016'!$A$1:$I$252,9,FALSE)</f>
        <v>2465668.85</v>
      </c>
      <c r="F126" s="30">
        <v>0</v>
      </c>
      <c r="G126" s="30">
        <v>21977.32</v>
      </c>
      <c r="H126" s="30">
        <v>0</v>
      </c>
      <c r="I126" s="115">
        <f t="shared" si="22"/>
        <v>2487646.17</v>
      </c>
      <c r="J126" s="30">
        <v>0</v>
      </c>
      <c r="K126" s="115">
        <f>I126+J126</f>
        <v>2487646.17</v>
      </c>
      <c r="M126" s="20"/>
      <c r="N126" s="42"/>
      <c r="O126" s="42"/>
      <c r="Q126" s="4" t="s">
        <v>50</v>
      </c>
      <c r="R126" s="4" t="s">
        <v>51</v>
      </c>
      <c r="S126" s="18">
        <v>182303</v>
      </c>
      <c r="T126" s="58"/>
    </row>
    <row r="127" spans="1:23" x14ac:dyDescent="0.2">
      <c r="A127" s="100" t="s">
        <v>169</v>
      </c>
      <c r="B127" s="18"/>
      <c r="C127" s="28" t="s">
        <v>49</v>
      </c>
      <c r="D127" s="4" t="s">
        <v>218</v>
      </c>
      <c r="E127" s="32">
        <f>VLOOKUP(A127,'DEK Q3 2016'!$A$1:$I$252,9,FALSE)</f>
        <v>4544222.3200000012</v>
      </c>
      <c r="F127" s="30">
        <v>0</v>
      </c>
      <c r="G127" s="30">
        <v>26486.2</v>
      </c>
      <c r="H127" s="30">
        <v>0</v>
      </c>
      <c r="I127" s="115">
        <f t="shared" si="22"/>
        <v>4570708.5200000014</v>
      </c>
      <c r="J127" s="30">
        <v>0</v>
      </c>
      <c r="K127" s="115">
        <f t="shared" si="23"/>
        <v>4570708.5200000014</v>
      </c>
      <c r="M127" s="20"/>
      <c r="N127" s="42"/>
      <c r="O127" s="42"/>
      <c r="Q127" s="4" t="s">
        <v>50</v>
      </c>
      <c r="S127" s="18">
        <v>182304</v>
      </c>
      <c r="T127" s="58"/>
    </row>
    <row r="128" spans="1:23" x14ac:dyDescent="0.2">
      <c r="A128" s="100" t="s">
        <v>170</v>
      </c>
      <c r="B128" s="18"/>
      <c r="C128" s="28" t="s">
        <v>42</v>
      </c>
      <c r="D128" s="4" t="s">
        <v>200</v>
      </c>
      <c r="E128" s="32">
        <f>VLOOKUP(A128,'DEK Q3 2016'!$A$1:$I$252,9,FALSE)</f>
        <v>-202598.13000000009</v>
      </c>
      <c r="F128" s="30">
        <v>0</v>
      </c>
      <c r="G128" s="30">
        <v>-6112.76</v>
      </c>
      <c r="H128" s="30">
        <v>0</v>
      </c>
      <c r="I128" s="115">
        <f t="shared" si="22"/>
        <v>-208710.8900000001</v>
      </c>
      <c r="J128" s="30">
        <v>0</v>
      </c>
      <c r="K128" s="115">
        <f t="shared" si="23"/>
        <v>-208710.8900000001</v>
      </c>
      <c r="L128" s="210" t="s">
        <v>241</v>
      </c>
      <c r="M128" s="20"/>
      <c r="N128" s="42"/>
      <c r="O128" s="42"/>
      <c r="R128" s="58" t="s">
        <v>44</v>
      </c>
      <c r="S128" s="18">
        <v>108101</v>
      </c>
      <c r="T128" s="58"/>
    </row>
    <row r="129" spans="1:22" x14ac:dyDescent="0.2">
      <c r="A129" s="100" t="s">
        <v>272</v>
      </c>
      <c r="B129" s="18"/>
      <c r="C129" s="28" t="s">
        <v>271</v>
      </c>
      <c r="D129" s="4" t="s">
        <v>272</v>
      </c>
      <c r="E129" s="32">
        <f>VLOOKUP(A129,'DEK Q3 2016'!$A$1:$I$252,9,FALSE)</f>
        <v>6602.9400000000023</v>
      </c>
      <c r="F129" s="30">
        <v>0</v>
      </c>
      <c r="G129" s="30">
        <v>0</v>
      </c>
      <c r="H129" s="30">
        <v>0</v>
      </c>
      <c r="I129" s="115">
        <f t="shared" si="22"/>
        <v>6602.9400000000023</v>
      </c>
      <c r="J129" s="30">
        <v>0</v>
      </c>
      <c r="K129" s="115">
        <f t="shared" si="23"/>
        <v>6602.9400000000023</v>
      </c>
      <c r="L129" s="210" t="s">
        <v>241</v>
      </c>
      <c r="M129" s="20"/>
      <c r="N129" s="42"/>
      <c r="O129" s="42"/>
      <c r="R129" s="58" t="s">
        <v>44</v>
      </c>
      <c r="S129" s="18">
        <v>108101</v>
      </c>
      <c r="T129" s="58"/>
    </row>
    <row r="130" spans="1:22" x14ac:dyDescent="0.2">
      <c r="B130" s="18"/>
      <c r="C130" s="28"/>
      <c r="E130" s="36"/>
      <c r="F130" s="36"/>
      <c r="G130" s="150"/>
      <c r="H130" s="150"/>
      <c r="I130" s="127"/>
      <c r="J130" s="68"/>
      <c r="K130" s="127"/>
      <c r="M130" s="62"/>
      <c r="P130" s="51"/>
      <c r="Q130" s="18"/>
      <c r="R130" s="58"/>
      <c r="S130" s="18">
        <v>254401</v>
      </c>
    </row>
    <row r="131" spans="1:22" x14ac:dyDescent="0.2">
      <c r="B131" s="18"/>
      <c r="C131" s="28"/>
      <c r="E131" s="33">
        <f t="shared" ref="E131:K131" si="24">SUM(E123:E130)</f>
        <v>-46689191.210000001</v>
      </c>
      <c r="F131" s="33">
        <f t="shared" si="24"/>
        <v>0</v>
      </c>
      <c r="G131" s="33">
        <f t="shared" si="24"/>
        <v>300218.08000000007</v>
      </c>
      <c r="H131" s="33">
        <f t="shared" si="24"/>
        <v>0</v>
      </c>
      <c r="I131" s="123">
        <f t="shared" si="24"/>
        <v>-46388973.129999995</v>
      </c>
      <c r="J131" s="33">
        <f t="shared" si="24"/>
        <v>0</v>
      </c>
      <c r="K131" s="123">
        <f t="shared" si="24"/>
        <v>-46388973.129999995</v>
      </c>
      <c r="L131" s="259" t="s">
        <v>266</v>
      </c>
      <c r="M131" s="62"/>
      <c r="P131" s="51"/>
      <c r="Q131" s="18"/>
      <c r="R131" s="58"/>
      <c r="S131" s="18"/>
    </row>
    <row r="132" spans="1:22" ht="15" x14ac:dyDescent="0.25">
      <c r="B132" s="18"/>
      <c r="C132" s="28"/>
      <c r="D132" s="65"/>
      <c r="E132" s="33"/>
      <c r="F132" s="30"/>
      <c r="G132" s="144"/>
      <c r="H132" s="33"/>
      <c r="I132" s="126"/>
      <c r="J132" s="1"/>
      <c r="K132" s="126"/>
      <c r="L132" s="66"/>
      <c r="M132" s="67"/>
      <c r="P132" s="51"/>
      <c r="Q132" s="18"/>
      <c r="R132" s="58"/>
      <c r="S132" s="18"/>
    </row>
    <row r="133" spans="1:22" x14ac:dyDescent="0.2">
      <c r="A133" s="105" t="s">
        <v>55</v>
      </c>
      <c r="B133" s="18"/>
      <c r="C133" s="131" t="s">
        <v>55</v>
      </c>
      <c r="D133" s="132"/>
      <c r="E133" s="133">
        <f>+E106+E114+E121+E131+E111</f>
        <v>-54125725.369999997</v>
      </c>
      <c r="F133" s="133">
        <f t="shared" ref="F133:H133" si="25">+F106+F114+F121+F131+F111</f>
        <v>0</v>
      </c>
      <c r="G133" s="133">
        <f t="shared" si="25"/>
        <v>1773524.3600000003</v>
      </c>
      <c r="H133" s="133">
        <f t="shared" si="25"/>
        <v>-91888</v>
      </c>
      <c r="I133" s="134">
        <f>+I106+I114+I121+I131+I111</f>
        <v>-52444089.00999999</v>
      </c>
      <c r="J133" s="133">
        <f>+J106+J114+J121+J131+J111</f>
        <v>0</v>
      </c>
      <c r="K133" s="134">
        <f>+K106+K114+K121+K131+K111</f>
        <v>-52444089.00999999</v>
      </c>
      <c r="M133" s="20"/>
      <c r="N133" s="69"/>
      <c r="R133" s="58"/>
      <c r="S133" s="18"/>
    </row>
    <row r="134" spans="1:22" x14ac:dyDescent="0.2">
      <c r="A134" s="105"/>
      <c r="B134" s="18"/>
      <c r="C134" s="18"/>
      <c r="D134" s="12"/>
      <c r="E134" s="221"/>
      <c r="F134" s="50"/>
      <c r="G134" s="145"/>
      <c r="H134" s="50"/>
      <c r="I134" s="122"/>
      <c r="J134" s="50"/>
      <c r="K134" s="122"/>
      <c r="M134" s="45"/>
      <c r="S134" s="18"/>
    </row>
    <row r="135" spans="1:22" x14ac:dyDescent="0.2">
      <c r="A135" s="105" t="s">
        <v>56</v>
      </c>
      <c r="B135" s="18"/>
      <c r="C135" s="18"/>
      <c r="D135" s="136" t="s">
        <v>219</v>
      </c>
      <c r="E135" s="137">
        <f>E133+E96</f>
        <v>34975039.540000014</v>
      </c>
      <c r="F135" s="137">
        <f>F133+F96</f>
        <v>0</v>
      </c>
      <c r="G135" s="137">
        <f>G133+G96</f>
        <v>1696202.4500000002</v>
      </c>
      <c r="H135" s="137">
        <f>H133+H96</f>
        <v>-114094.17</v>
      </c>
      <c r="I135" s="138">
        <f>I96+I133</f>
        <v>36557147.820000008</v>
      </c>
      <c r="J135" s="137">
        <f>J133+J96</f>
        <v>0</v>
      </c>
      <c r="K135" s="138">
        <f>K96+K133</f>
        <v>36557147.820000008</v>
      </c>
      <c r="L135" s="50">
        <v>0</v>
      </c>
      <c r="M135" s="70"/>
      <c r="N135" s="70"/>
      <c r="O135" s="70"/>
      <c r="P135" s="50"/>
      <c r="Q135" s="50"/>
      <c r="R135" s="50"/>
      <c r="S135" s="18"/>
      <c r="T135" s="29">
        <f>+G135+H135+F135</f>
        <v>1582108.2800000003</v>
      </c>
      <c r="U135" s="19">
        <v>13111056.41</v>
      </c>
      <c r="V135" s="29">
        <f>+T135-U135</f>
        <v>-11528948.129999999</v>
      </c>
    </row>
    <row r="136" spans="1:22" hidden="1" x14ac:dyDescent="0.2">
      <c r="A136" s="105"/>
      <c r="B136" s="18"/>
      <c r="C136" s="18"/>
      <c r="D136" s="12"/>
      <c r="E136" s="221"/>
      <c r="F136" s="50"/>
      <c r="G136" s="145"/>
      <c r="H136" s="50"/>
      <c r="I136" s="50"/>
      <c r="J136" s="50"/>
      <c r="K136" s="50"/>
      <c r="M136" s="45"/>
      <c r="S136" s="18"/>
    </row>
    <row r="137" spans="1:22" s="75" customFormat="1" ht="12.75" hidden="1" customHeight="1" x14ac:dyDescent="0.2">
      <c r="A137" s="107" t="s">
        <v>57</v>
      </c>
      <c r="B137" s="71"/>
      <c r="C137" s="18"/>
      <c r="D137" s="140" t="s">
        <v>57</v>
      </c>
      <c r="E137" s="223"/>
      <c r="F137" s="142"/>
      <c r="G137" s="163">
        <f>-G128-G123-G124-G125-G126-G127-G86-G16-G117-G30-G22-G53-G119-G87-G88-G114-G118-G52</f>
        <v>-241360.40000000008</v>
      </c>
      <c r="H137" s="139">
        <f>-H128-H123-H124-H125-H126-H127-H86-H16-H117-H30-H22-H53-H119-H87-H88-H114-H118-H52</f>
        <v>22206.17</v>
      </c>
      <c r="I137" s="74"/>
      <c r="J137" s="74"/>
      <c r="K137" s="74"/>
      <c r="M137" s="76"/>
      <c r="N137" s="77"/>
      <c r="O137" s="77"/>
      <c r="S137" s="18"/>
    </row>
    <row r="138" spans="1:22" ht="12.75" customHeight="1" x14ac:dyDescent="0.2">
      <c r="A138" s="107"/>
      <c r="B138" s="18"/>
      <c r="C138" s="18"/>
      <c r="D138" s="72"/>
      <c r="E138" s="224"/>
      <c r="F138" s="50"/>
      <c r="G138" s="185">
        <f>G135+H135</f>
        <v>1582108.2800000003</v>
      </c>
      <c r="H138" s="145"/>
      <c r="I138" s="145"/>
      <c r="J138" s="50"/>
      <c r="K138" s="50"/>
      <c r="M138" s="20"/>
      <c r="S138" s="18"/>
    </row>
    <row r="139" spans="1:22" ht="12.75" customHeight="1" x14ac:dyDescent="0.2">
      <c r="A139" s="107" t="s">
        <v>58</v>
      </c>
      <c r="B139" s="18"/>
      <c r="C139" s="71"/>
      <c r="D139" s="72"/>
      <c r="E139" s="73"/>
      <c r="F139" s="50"/>
      <c r="G139" s="145"/>
      <c r="H139" s="50"/>
      <c r="I139" s="50"/>
      <c r="J139" s="50"/>
      <c r="K139" s="30"/>
      <c r="M139" s="20"/>
      <c r="S139" s="71"/>
    </row>
    <row r="140" spans="1:22" ht="12.75" customHeight="1" x14ac:dyDescent="0.2">
      <c r="A140" s="107"/>
      <c r="B140" s="18"/>
      <c r="C140" s="18"/>
      <c r="D140" s="72"/>
      <c r="E140" s="83"/>
      <c r="F140" s="50"/>
      <c r="G140" s="30"/>
      <c r="H140" s="50"/>
      <c r="I140" s="50"/>
      <c r="J140" s="50"/>
      <c r="K140" s="33"/>
      <c r="M140" s="20"/>
      <c r="S140" s="18"/>
    </row>
    <row r="141" spans="1:22" ht="12.75" customHeight="1" x14ac:dyDescent="0.2">
      <c r="A141" s="107"/>
      <c r="B141" s="18"/>
      <c r="C141" s="18"/>
      <c r="D141" s="72"/>
      <c r="E141" s="83"/>
      <c r="F141" s="50"/>
      <c r="G141" s="30"/>
      <c r="H141" s="50"/>
      <c r="I141" s="50"/>
      <c r="J141" s="50"/>
      <c r="K141" s="33"/>
      <c r="M141" s="20"/>
      <c r="S141" s="18"/>
    </row>
    <row r="142" spans="1:22" ht="12.75" customHeight="1" x14ac:dyDescent="0.2">
      <c r="A142" s="107"/>
      <c r="B142" s="18"/>
      <c r="C142" s="18"/>
      <c r="D142" s="72"/>
      <c r="E142" s="236"/>
      <c r="F142" s="50"/>
      <c r="G142" s="44"/>
      <c r="H142" s="50"/>
      <c r="I142" s="50"/>
      <c r="J142" s="50"/>
      <c r="K142" s="161"/>
      <c r="M142" s="20"/>
      <c r="S142" s="18"/>
    </row>
    <row r="143" spans="1:22" ht="12.75" customHeight="1" x14ac:dyDescent="0.2">
      <c r="A143" s="107"/>
      <c r="B143" s="18"/>
      <c r="C143" s="18"/>
      <c r="D143" s="72"/>
      <c r="E143" s="224"/>
      <c r="F143" s="50"/>
      <c r="G143" s="145"/>
      <c r="H143" s="50"/>
      <c r="I143" s="50"/>
      <c r="J143" s="50"/>
      <c r="K143" s="44"/>
      <c r="M143" s="20"/>
      <c r="S143" s="18"/>
    </row>
    <row r="144" spans="1:22" ht="12.75" customHeight="1" x14ac:dyDescent="0.2">
      <c r="A144" s="107"/>
      <c r="B144" s="18"/>
      <c r="C144" s="18"/>
      <c r="D144" s="72"/>
      <c r="E144" s="73"/>
      <c r="F144" s="50"/>
      <c r="G144" s="145"/>
      <c r="H144" s="50"/>
      <c r="I144" s="50"/>
      <c r="J144" s="50"/>
      <c r="K144" s="44"/>
      <c r="M144" s="20"/>
      <c r="S144" s="18"/>
    </row>
    <row r="145" spans="1:19" ht="12.75" customHeight="1" x14ac:dyDescent="0.2">
      <c r="A145" s="107"/>
      <c r="B145" s="18"/>
      <c r="C145" s="18"/>
      <c r="D145" s="72"/>
      <c r="E145" s="73"/>
      <c r="F145" s="50"/>
      <c r="G145" s="145"/>
      <c r="H145" s="50"/>
      <c r="I145" s="50"/>
      <c r="J145" s="50"/>
      <c r="K145" s="44"/>
      <c r="M145" s="20"/>
      <c r="S145" s="18"/>
    </row>
    <row r="146" spans="1:19" ht="12.75" customHeight="1" x14ac:dyDescent="0.2">
      <c r="A146" s="107"/>
      <c r="B146" s="18"/>
      <c r="C146" s="18"/>
      <c r="D146" s="72"/>
      <c r="E146" s="73"/>
      <c r="F146" s="50"/>
      <c r="G146" s="145"/>
      <c r="H146" s="50"/>
      <c r="I146" s="50"/>
      <c r="J146" s="50"/>
      <c r="K146" s="50"/>
      <c r="M146" s="20"/>
      <c r="S146" s="18"/>
    </row>
    <row r="147" spans="1:19" ht="12.75" customHeight="1" x14ac:dyDescent="0.2">
      <c r="A147" s="107"/>
      <c r="B147" s="18"/>
      <c r="C147" s="18"/>
      <c r="D147" s="72"/>
      <c r="E147" s="73"/>
      <c r="F147" s="50"/>
      <c r="G147" s="145"/>
      <c r="H147" s="50"/>
      <c r="I147" s="50"/>
      <c r="J147" s="50"/>
      <c r="K147" s="50"/>
      <c r="M147" s="20"/>
      <c r="S147" s="18"/>
    </row>
    <row r="148" spans="1:19" ht="12.75" customHeight="1" x14ac:dyDescent="0.2">
      <c r="A148" s="107"/>
      <c r="B148" s="18"/>
      <c r="C148" s="18"/>
      <c r="D148" s="72"/>
      <c r="E148" s="73"/>
      <c r="F148" s="50"/>
      <c r="G148" s="145"/>
      <c r="H148" s="50"/>
      <c r="I148" s="50"/>
      <c r="J148" s="50"/>
      <c r="K148" s="50"/>
      <c r="M148" s="20"/>
      <c r="S148" s="18"/>
    </row>
    <row r="149" spans="1:19" ht="12.75" customHeight="1" x14ac:dyDescent="0.2">
      <c r="A149" s="107"/>
      <c r="B149" s="18"/>
      <c r="C149" s="18"/>
      <c r="D149" s="72"/>
      <c r="E149" s="73"/>
      <c r="F149" s="50"/>
      <c r="G149" s="145"/>
      <c r="H149" s="50"/>
      <c r="I149" s="50"/>
      <c r="J149" s="50"/>
      <c r="K149" s="50"/>
      <c r="M149" s="20"/>
      <c r="S149" s="18"/>
    </row>
    <row r="150" spans="1:19" ht="12.75" customHeight="1" x14ac:dyDescent="0.2">
      <c r="A150" s="107"/>
      <c r="B150" s="18"/>
      <c r="C150" s="18"/>
      <c r="D150" s="72"/>
      <c r="E150" s="73"/>
      <c r="F150" s="50"/>
      <c r="G150" s="145"/>
      <c r="H150" s="50"/>
      <c r="I150" s="50"/>
      <c r="J150" s="50"/>
      <c r="K150" s="50"/>
      <c r="M150" s="20"/>
      <c r="S150" s="18"/>
    </row>
    <row r="151" spans="1:19" ht="12.75" customHeight="1" x14ac:dyDescent="0.2">
      <c r="A151" s="107"/>
      <c r="B151" s="18"/>
      <c r="C151" s="18"/>
      <c r="D151" s="72"/>
      <c r="E151" s="73"/>
      <c r="F151" s="50"/>
      <c r="G151" s="145"/>
      <c r="H151" s="50"/>
      <c r="I151" s="50"/>
      <c r="J151" s="50"/>
      <c r="K151" s="50"/>
      <c r="M151" s="20"/>
      <c r="S151" s="18"/>
    </row>
    <row r="152" spans="1:19" ht="12.75" customHeight="1" x14ac:dyDescent="0.2">
      <c r="A152" s="107"/>
      <c r="B152" s="18"/>
      <c r="C152" s="18"/>
      <c r="D152" s="72"/>
      <c r="E152" s="73"/>
      <c r="F152" s="50"/>
      <c r="G152" s="145"/>
      <c r="H152" s="50"/>
      <c r="I152" s="50"/>
      <c r="J152" s="50"/>
      <c r="K152" s="50"/>
      <c r="M152" s="20"/>
      <c r="S152" s="18"/>
    </row>
    <row r="153" spans="1:19" ht="12.75" customHeight="1" x14ac:dyDescent="0.2">
      <c r="A153" s="107"/>
      <c r="B153" s="18"/>
      <c r="C153" s="18"/>
      <c r="D153" s="72"/>
      <c r="E153" s="73"/>
      <c r="F153" s="50"/>
      <c r="G153" s="145"/>
      <c r="H153" s="50"/>
      <c r="I153" s="50"/>
      <c r="J153" s="50"/>
      <c r="K153" s="50"/>
      <c r="M153" s="20"/>
      <c r="S153" s="18"/>
    </row>
    <row r="154" spans="1:19" ht="12.75" customHeight="1" x14ac:dyDescent="0.2">
      <c r="A154" s="107"/>
      <c r="B154" s="18"/>
      <c r="C154" s="18"/>
      <c r="D154" s="72"/>
      <c r="E154" s="73"/>
      <c r="F154" s="50"/>
      <c r="G154" s="145"/>
      <c r="H154" s="50"/>
      <c r="I154" s="50"/>
      <c r="J154" s="50"/>
      <c r="K154" s="50"/>
      <c r="M154" s="20"/>
      <c r="S154" s="18"/>
    </row>
    <row r="155" spans="1:19" ht="12.75" customHeight="1" x14ac:dyDescent="0.2">
      <c r="A155" s="107"/>
      <c r="B155" s="18"/>
      <c r="C155" s="18"/>
      <c r="D155" s="72"/>
      <c r="E155" s="73"/>
      <c r="F155" s="50"/>
      <c r="G155" s="145"/>
      <c r="H155" s="50"/>
      <c r="I155" s="50"/>
      <c r="J155" s="50"/>
      <c r="K155" s="50"/>
      <c r="M155" s="20"/>
      <c r="S155" s="18"/>
    </row>
    <row r="156" spans="1:19" ht="12.75" customHeight="1" x14ac:dyDescent="0.2">
      <c r="A156" s="107"/>
      <c r="B156" s="18"/>
      <c r="C156" s="18"/>
      <c r="D156" s="72"/>
      <c r="E156" s="73"/>
      <c r="F156" s="50"/>
      <c r="G156" s="145"/>
      <c r="H156" s="50"/>
      <c r="I156" s="50"/>
      <c r="J156" s="50"/>
      <c r="K156" s="50"/>
      <c r="M156" s="20"/>
      <c r="S156" s="18"/>
    </row>
    <row r="157" spans="1:19" ht="12.75" customHeight="1" x14ac:dyDescent="0.2">
      <c r="A157" s="107"/>
      <c r="B157" s="18"/>
      <c r="C157" s="18"/>
      <c r="D157" s="72"/>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hidden="1" customHeight="1" x14ac:dyDescent="0.2">
      <c r="A159" s="107" t="s">
        <v>59</v>
      </c>
      <c r="B159" s="18"/>
      <c r="C159" s="18"/>
      <c r="D159" s="72" t="s">
        <v>59</v>
      </c>
      <c r="E159" s="73"/>
      <c r="F159" s="50"/>
      <c r="G159" s="145">
        <f>+G135+H135+G137+H137</f>
        <v>1362954.05</v>
      </c>
      <c r="H159" s="50"/>
      <c r="I159" s="50"/>
      <c r="J159" s="50"/>
      <c r="K159" s="50"/>
      <c r="M159" s="20"/>
      <c r="S159" s="18"/>
    </row>
    <row r="160" spans="1:19" hidden="1" x14ac:dyDescent="0.2">
      <c r="B160" s="18"/>
      <c r="C160" s="18"/>
      <c r="E160" s="29"/>
      <c r="F160" s="19"/>
      <c r="G160" s="148"/>
      <c r="H160" s="19"/>
      <c r="I160" s="19"/>
      <c r="J160" s="19"/>
      <c r="K160" s="19"/>
      <c r="M160" s="20"/>
      <c r="S160" s="18"/>
    </row>
    <row r="161" spans="1:19" hidden="1" x14ac:dyDescent="0.2">
      <c r="A161" s="109" t="s">
        <v>60</v>
      </c>
      <c r="B161" s="18"/>
      <c r="C161" s="18"/>
      <c r="D161" s="78" t="s">
        <v>60</v>
      </c>
      <c r="E161" s="79"/>
      <c r="F161" s="80"/>
      <c r="G161" s="164"/>
      <c r="H161" s="80"/>
      <c r="I161" s="81"/>
      <c r="J161" s="81"/>
      <c r="K161" s="81"/>
      <c r="M161" s="20"/>
      <c r="S161" s="18"/>
    </row>
    <row r="162" spans="1:19" hidden="1" x14ac:dyDescent="0.2">
      <c r="A162" s="109" t="s">
        <v>138</v>
      </c>
      <c r="B162" s="18"/>
      <c r="C162" s="18"/>
      <c r="D162" s="82" t="s">
        <v>138</v>
      </c>
      <c r="E162" s="32">
        <v>0</v>
      </c>
      <c r="F162" s="32">
        <f>+F92+F93</f>
        <v>0</v>
      </c>
      <c r="G162" s="157"/>
      <c r="H162" s="32">
        <f>+H92+H93</f>
        <v>0</v>
      </c>
      <c r="I162" s="84">
        <f>+I92+I93</f>
        <v>0</v>
      </c>
      <c r="J162" s="84">
        <f>+J92+J93</f>
        <v>0</v>
      </c>
      <c r="K162" s="84">
        <f>+K92+K93</f>
        <v>0</v>
      </c>
      <c r="M162" s="20"/>
      <c r="S162" s="18"/>
    </row>
    <row r="163" spans="1:19" hidden="1" x14ac:dyDescent="0.2">
      <c r="A163" s="109" t="s">
        <v>140</v>
      </c>
      <c r="B163" s="18"/>
      <c r="C163" s="18"/>
      <c r="D163" s="82" t="s">
        <v>140</v>
      </c>
      <c r="E163" s="83">
        <f>+E12</f>
        <v>1934743.2799999986</v>
      </c>
      <c r="F163" s="32">
        <f>+F93+F94</f>
        <v>0</v>
      </c>
      <c r="G163" s="165"/>
      <c r="H163" s="83"/>
      <c r="I163" s="84">
        <f>+I12</f>
        <v>-1.3824319466948509E-9</v>
      </c>
      <c r="J163" s="84">
        <f>+J12</f>
        <v>0</v>
      </c>
      <c r="K163" s="84">
        <f>+K12</f>
        <v>-1.3824319466948509E-9</v>
      </c>
      <c r="M163" s="20"/>
      <c r="S163" s="18"/>
    </row>
    <row r="164" spans="1:19" hidden="1" x14ac:dyDescent="0.2">
      <c r="A164" s="109" t="s">
        <v>142</v>
      </c>
      <c r="B164" s="18"/>
      <c r="C164" s="18"/>
      <c r="D164" s="82" t="s">
        <v>142</v>
      </c>
      <c r="E164" s="83">
        <f>+E19</f>
        <v>2181147.81</v>
      </c>
      <c r="F164" s="32">
        <f t="shared" ref="F164:F169" si="26">+F94+F95</f>
        <v>0</v>
      </c>
      <c r="G164" s="165"/>
      <c r="H164" s="83"/>
      <c r="I164" s="84">
        <f>+I19</f>
        <v>2181147.81</v>
      </c>
      <c r="J164" s="84">
        <f>+J19</f>
        <v>1955018.08</v>
      </c>
      <c r="K164" s="84">
        <f>+K19</f>
        <v>4136165.89</v>
      </c>
      <c r="M164" s="20"/>
      <c r="S164" s="18"/>
    </row>
    <row r="165" spans="1:19" hidden="1" x14ac:dyDescent="0.2">
      <c r="A165" s="109" t="s">
        <v>141</v>
      </c>
      <c r="B165" s="18"/>
      <c r="C165" s="18"/>
      <c r="D165" s="82" t="s">
        <v>141</v>
      </c>
      <c r="E165" s="83">
        <f>+E24</f>
        <v>1521524.3000000017</v>
      </c>
      <c r="F165" s="32">
        <f t="shared" si="26"/>
        <v>0</v>
      </c>
      <c r="G165" s="165"/>
      <c r="H165" s="83"/>
      <c r="I165" s="84">
        <f>+I24</f>
        <v>1499318.1300000018</v>
      </c>
      <c r="J165" s="84">
        <f>+J24</f>
        <v>-266474.03999999998</v>
      </c>
      <c r="K165" s="84">
        <f>+K24</f>
        <v>1232844.0900000017</v>
      </c>
      <c r="M165" s="20"/>
      <c r="S165" s="18"/>
    </row>
    <row r="166" spans="1:19" hidden="1" x14ac:dyDescent="0.2">
      <c r="A166" s="109" t="s">
        <v>61</v>
      </c>
      <c r="B166" s="18"/>
      <c r="C166" s="18"/>
      <c r="D166" s="82" t="s">
        <v>61</v>
      </c>
      <c r="E166" s="32">
        <f>+E30</f>
        <v>2172773.2000000002</v>
      </c>
      <c r="F166" s="32">
        <f t="shared" si="26"/>
        <v>0</v>
      </c>
      <c r="G166" s="157"/>
      <c r="H166" s="32"/>
      <c r="I166" s="84">
        <f>+I30</f>
        <v>2142872.2000000002</v>
      </c>
      <c r="J166" s="84">
        <f>+J30</f>
        <v>0</v>
      </c>
      <c r="K166" s="84">
        <f>+K30</f>
        <v>2142872.2000000002</v>
      </c>
      <c r="M166" s="20"/>
      <c r="S166" s="18"/>
    </row>
    <row r="167" spans="1:19" hidden="1" x14ac:dyDescent="0.2">
      <c r="A167" s="109" t="s">
        <v>143</v>
      </c>
      <c r="B167" s="18"/>
      <c r="C167" s="18"/>
      <c r="D167" s="82" t="s">
        <v>143</v>
      </c>
      <c r="E167" s="32">
        <f>+E80</f>
        <v>51396126.109999999</v>
      </c>
      <c r="F167" s="32">
        <f t="shared" si="26"/>
        <v>0</v>
      </c>
      <c r="G167" s="157"/>
      <c r="H167" s="32"/>
      <c r="I167" s="84">
        <f>+I80</f>
        <v>53102066.219999999</v>
      </c>
      <c r="J167" s="84">
        <f>+J80</f>
        <v>-1688544.04</v>
      </c>
      <c r="K167" s="84">
        <f>+K80</f>
        <v>51413522.18</v>
      </c>
      <c r="M167" s="20"/>
      <c r="S167" s="18"/>
    </row>
    <row r="168" spans="1:19" hidden="1" x14ac:dyDescent="0.2">
      <c r="A168" s="109" t="s">
        <v>151</v>
      </c>
      <c r="B168" s="18"/>
      <c r="C168" s="18"/>
      <c r="D168" s="82" t="s">
        <v>151</v>
      </c>
      <c r="E168" s="32">
        <f>+E90</f>
        <v>26796657.040000003</v>
      </c>
      <c r="F168" s="32">
        <f t="shared" si="26"/>
        <v>0</v>
      </c>
      <c r="G168" s="157"/>
      <c r="H168" s="32"/>
      <c r="I168" s="84">
        <f>+I90</f>
        <v>26630836.040000003</v>
      </c>
      <c r="J168" s="84">
        <f>+J90</f>
        <v>0</v>
      </c>
      <c r="K168" s="84">
        <f>+K90</f>
        <v>26630836.040000003</v>
      </c>
      <c r="M168" s="20"/>
      <c r="S168" s="18"/>
    </row>
    <row r="169" spans="1:19" hidden="1" x14ac:dyDescent="0.2">
      <c r="A169" s="109" t="s">
        <v>62</v>
      </c>
      <c r="B169" s="18"/>
      <c r="C169" s="18"/>
      <c r="D169" s="82" t="s">
        <v>62</v>
      </c>
      <c r="E169" s="32">
        <v>0</v>
      </c>
      <c r="F169" s="32">
        <f t="shared" si="26"/>
        <v>0</v>
      </c>
      <c r="G169" s="157"/>
      <c r="H169" s="32"/>
      <c r="I169" s="84">
        <v>0</v>
      </c>
      <c r="J169" s="84">
        <v>0</v>
      </c>
      <c r="K169" s="84">
        <v>0</v>
      </c>
      <c r="M169" s="20"/>
      <c r="S169" s="18"/>
    </row>
    <row r="170" spans="1:19" hidden="1" x14ac:dyDescent="0.2">
      <c r="A170" s="109" t="s">
        <v>152</v>
      </c>
      <c r="B170" s="18"/>
      <c r="C170" s="18"/>
      <c r="D170" s="82" t="s">
        <v>152</v>
      </c>
      <c r="E170" s="32">
        <f>+E106</f>
        <v>-2449298.3199999984</v>
      </c>
      <c r="F170" s="32" t="e">
        <f>+F100+#REF!</f>
        <v>#REF!</v>
      </c>
      <c r="G170" s="157"/>
      <c r="H170" s="32"/>
      <c r="I170" s="84">
        <f>+I106</f>
        <v>-1111178.6499999985</v>
      </c>
      <c r="J170" s="84">
        <f>+J106</f>
        <v>0</v>
      </c>
      <c r="K170" s="84">
        <f>+K106</f>
        <v>-1111178.6499999985</v>
      </c>
      <c r="M170" s="20"/>
      <c r="S170" s="18"/>
    </row>
    <row r="171" spans="1:19" hidden="1" x14ac:dyDescent="0.2">
      <c r="A171" s="109"/>
      <c r="B171" s="18"/>
      <c r="C171" s="18"/>
      <c r="D171" s="82" t="s">
        <v>189</v>
      </c>
      <c r="E171" s="32">
        <f>E111</f>
        <v>0</v>
      </c>
      <c r="F171" s="32"/>
      <c r="G171" s="157"/>
      <c r="H171" s="32"/>
      <c r="I171" s="84">
        <f>I111</f>
        <v>0</v>
      </c>
      <c r="J171" s="84">
        <f>J111</f>
        <v>0</v>
      </c>
      <c r="K171" s="84">
        <f>K111</f>
        <v>0</v>
      </c>
      <c r="M171" s="20"/>
      <c r="S171" s="18"/>
    </row>
    <row r="172" spans="1:19" hidden="1" x14ac:dyDescent="0.2">
      <c r="A172" s="109" t="s">
        <v>154</v>
      </c>
      <c r="B172" s="18"/>
      <c r="C172" s="18"/>
      <c r="D172" s="82" t="s">
        <v>154</v>
      </c>
      <c r="E172" s="32">
        <f>+E114</f>
        <v>-4524776.7300000004</v>
      </c>
      <c r="F172" s="32" t="e">
        <f>+#REF!+#REF!</f>
        <v>#REF!</v>
      </c>
      <c r="G172" s="157"/>
      <c r="H172" s="32"/>
      <c r="I172" s="84">
        <f>+I114</f>
        <v>-4478917.7300000004</v>
      </c>
      <c r="J172" s="84">
        <f>+J114</f>
        <v>0</v>
      </c>
      <c r="K172" s="84">
        <f>+K114</f>
        <v>-4478917.7300000004</v>
      </c>
      <c r="M172" s="20"/>
      <c r="S172" s="18"/>
    </row>
    <row r="173" spans="1:19" hidden="1" x14ac:dyDescent="0.2">
      <c r="A173" s="109" t="s">
        <v>153</v>
      </c>
      <c r="B173" s="18"/>
      <c r="C173" s="18"/>
      <c r="D173" s="82" t="s">
        <v>153</v>
      </c>
      <c r="E173" s="32">
        <f>+E121</f>
        <v>-462459.11</v>
      </c>
      <c r="F173" s="32" t="e">
        <f>+#REF!+F101</f>
        <v>#REF!</v>
      </c>
      <c r="G173" s="157"/>
      <c r="H173" s="32"/>
      <c r="I173" s="84">
        <f>+I121</f>
        <v>-465019.5</v>
      </c>
      <c r="J173" s="84">
        <f>+J121</f>
        <v>0</v>
      </c>
      <c r="K173" s="84">
        <f>+K121</f>
        <v>-465019.5</v>
      </c>
      <c r="M173" s="20"/>
      <c r="S173" s="18"/>
    </row>
    <row r="174" spans="1:19" hidden="1" x14ac:dyDescent="0.2">
      <c r="A174" s="109" t="s">
        <v>155</v>
      </c>
      <c r="B174" s="18"/>
      <c r="C174" s="18"/>
      <c r="D174" s="82" t="s">
        <v>155</v>
      </c>
      <c r="E174" s="32">
        <f>+E131</f>
        <v>-46689191.210000001</v>
      </c>
      <c r="F174" s="32">
        <f t="shared" ref="F174" si="27">+F101+F102</f>
        <v>0</v>
      </c>
      <c r="G174" s="157"/>
      <c r="H174" s="32"/>
      <c r="I174" s="84">
        <f>+I131</f>
        <v>-46388973.129999995</v>
      </c>
      <c r="J174" s="84">
        <f>+J131</f>
        <v>0</v>
      </c>
      <c r="K174" s="84">
        <f>+K131</f>
        <v>-46388973.129999995</v>
      </c>
      <c r="M174" s="20"/>
      <c r="S174" s="18"/>
    </row>
    <row r="175" spans="1:19" hidden="1" x14ac:dyDescent="0.2">
      <c r="A175" s="109"/>
      <c r="B175" s="18"/>
      <c r="C175" s="18"/>
      <c r="D175" s="85"/>
      <c r="E175" s="83"/>
      <c r="F175" s="83"/>
      <c r="G175" s="165"/>
      <c r="H175" s="83"/>
      <c r="I175" s="86"/>
      <c r="J175" s="86"/>
      <c r="K175" s="86"/>
      <c r="M175" s="20"/>
      <c r="S175" s="18"/>
    </row>
    <row r="176" spans="1:19" hidden="1" x14ac:dyDescent="0.2">
      <c r="A176" s="109" t="s">
        <v>121</v>
      </c>
      <c r="B176" s="18"/>
      <c r="C176" s="18"/>
      <c r="D176" s="87" t="s">
        <v>121</v>
      </c>
      <c r="E176" s="88">
        <f>SUM(E162:E175)</f>
        <v>31877246.370000012</v>
      </c>
      <c r="F176" s="88" t="e">
        <f>SUM(F166:F175)</f>
        <v>#REF!</v>
      </c>
      <c r="G176" s="166"/>
      <c r="H176" s="88"/>
      <c r="I176" s="89">
        <f>SUM(I162:I175)</f>
        <v>33112151.390000001</v>
      </c>
      <c r="J176" s="89">
        <f>SUM(J162:J175)</f>
        <v>0</v>
      </c>
      <c r="K176" s="89">
        <f>SUM(K162:K175)</f>
        <v>33112151.390000001</v>
      </c>
      <c r="M176" s="20"/>
      <c r="S176" s="18"/>
    </row>
    <row r="177" spans="1:19" hidden="1" x14ac:dyDescent="0.2">
      <c r="B177" s="18"/>
      <c r="C177" s="18"/>
      <c r="F177" s="19"/>
      <c r="G177" s="148"/>
      <c r="H177" s="19"/>
      <c r="I177" s="19"/>
      <c r="J177" s="19"/>
      <c r="K177" s="19"/>
      <c r="M177" s="20"/>
      <c r="S177" s="18"/>
    </row>
    <row r="178" spans="1:19" hidden="1" x14ac:dyDescent="0.2">
      <c r="B178" s="18"/>
      <c r="C178" s="18"/>
      <c r="E178" s="19">
        <f>+E176-E135</f>
        <v>-3097793.1700000018</v>
      </c>
      <c r="F178" s="19"/>
      <c r="G178" s="148"/>
      <c r="H178" s="19"/>
      <c r="I178" s="19">
        <f>+I176-I135</f>
        <v>-3444996.4300000072</v>
      </c>
      <c r="J178" s="19">
        <f>+J176-J135</f>
        <v>0</v>
      </c>
      <c r="K178" s="19">
        <f>+K176-K135</f>
        <v>-3444996.4300000072</v>
      </c>
      <c r="M178" s="20"/>
      <c r="S178" s="18"/>
    </row>
    <row r="179" spans="1:19" hidden="1" x14ac:dyDescent="0.2">
      <c r="B179" s="18"/>
      <c r="C179" s="18"/>
      <c r="F179" s="19"/>
      <c r="G179" s="148"/>
      <c r="H179" s="19"/>
      <c r="I179" s="19"/>
      <c r="J179" s="19"/>
      <c r="K179" s="19"/>
      <c r="M179" s="20"/>
      <c r="S179" s="18"/>
    </row>
    <row r="180" spans="1:19" hidden="1" x14ac:dyDescent="0.2">
      <c r="B180" s="18"/>
      <c r="C180" s="18"/>
      <c r="F180" s="19"/>
      <c r="G180" s="148"/>
      <c r="H180" s="19"/>
      <c r="I180" s="19"/>
      <c r="J180" s="19"/>
      <c r="K180" s="19"/>
      <c r="M180" s="20"/>
      <c r="S180" s="18"/>
    </row>
    <row r="181" spans="1:19" hidden="1" x14ac:dyDescent="0.2">
      <c r="B181" s="18"/>
      <c r="C181" s="18"/>
      <c r="F181" s="19"/>
      <c r="G181" s="148"/>
      <c r="H181" s="19"/>
      <c r="I181" s="19"/>
      <c r="J181" s="19"/>
      <c r="K181" s="19"/>
      <c r="M181" s="20"/>
      <c r="S181" s="18"/>
    </row>
    <row r="182" spans="1:19" hidden="1" x14ac:dyDescent="0.2">
      <c r="A182" s="100" t="s">
        <v>63</v>
      </c>
      <c r="B182" s="18"/>
      <c r="C182" s="18"/>
      <c r="D182" s="4" t="s">
        <v>63</v>
      </c>
      <c r="F182" s="19"/>
      <c r="G182" s="148">
        <f>+G34+G42+G44+G46+G48+G85+G57+G59+G15+G50+G66+G55+G65</f>
        <v>0</v>
      </c>
      <c r="H182" s="19">
        <f>+H34+H52+H42+H44+H46+H48+H85+H57+H59+H15+H50+H66+H55</f>
        <v>0</v>
      </c>
      <c r="I182" s="19"/>
      <c r="J182" s="19"/>
      <c r="K182" s="19"/>
      <c r="M182" s="20"/>
      <c r="S182" s="18"/>
    </row>
    <row r="183" spans="1:19" hidden="1" x14ac:dyDescent="0.2">
      <c r="A183" s="100" t="s">
        <v>64</v>
      </c>
      <c r="B183" s="18"/>
      <c r="C183" s="18"/>
      <c r="D183" s="34" t="s">
        <v>64</v>
      </c>
      <c r="F183" s="19"/>
      <c r="G183" s="148">
        <f>+G9+G92+G10</f>
        <v>-1934743.28</v>
      </c>
      <c r="H183" s="19">
        <f>+H9+H92+H10</f>
        <v>0</v>
      </c>
      <c r="I183" s="19"/>
      <c r="J183" s="19"/>
      <c r="K183" s="19"/>
      <c r="M183" s="20"/>
      <c r="S183" s="18"/>
    </row>
    <row r="184" spans="1:19" hidden="1" x14ac:dyDescent="0.2">
      <c r="A184" s="100" t="s">
        <v>65</v>
      </c>
      <c r="B184" s="18"/>
      <c r="C184" s="18"/>
      <c r="D184" s="34" t="s">
        <v>65</v>
      </c>
      <c r="F184" s="19"/>
      <c r="G184" s="148">
        <f>+G100+G101+G102+G103+G99+G104</f>
        <v>1430007.6699999997</v>
      </c>
      <c r="H184" s="19">
        <f>+H100+H101+H102+H103+H99</f>
        <v>-91888</v>
      </c>
      <c r="I184" s="19"/>
      <c r="J184" s="19"/>
      <c r="K184" s="19"/>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67">
        <f>+G182+G183+G184-G139</f>
        <v>-504735.61000000034</v>
      </c>
      <c r="H186" s="110">
        <f>+H182+H183+H184-H139</f>
        <v>-91888</v>
      </c>
      <c r="I186" s="19"/>
      <c r="J186" s="19"/>
      <c r="K186" s="19"/>
      <c r="M186" s="20"/>
      <c r="S186" s="18"/>
    </row>
    <row r="187" spans="1:19" hidden="1" x14ac:dyDescent="0.2">
      <c r="B187" s="18"/>
      <c r="C187" s="18"/>
      <c r="F187" s="19"/>
      <c r="H187" s="29">
        <f>+H183+H184+H182+G182+G183+G184</f>
        <v>-596623.61000000034</v>
      </c>
      <c r="I187" s="19"/>
      <c r="J187" s="19"/>
      <c r="K187" s="19"/>
      <c r="M187" s="20"/>
      <c r="S187" s="18"/>
    </row>
    <row r="188" spans="1:19" hidden="1" x14ac:dyDescent="0.2">
      <c r="B188" s="18"/>
      <c r="C188" s="18"/>
      <c r="F188" s="19"/>
      <c r="G188" s="148"/>
      <c r="H188" s="29">
        <f>+H187-G139-H139</f>
        <v>-596623.61000000034</v>
      </c>
      <c r="I188" s="19"/>
      <c r="J188" s="19"/>
      <c r="K188" s="19"/>
      <c r="M188" s="20"/>
      <c r="S188" s="18"/>
    </row>
    <row r="189" spans="1:19" x14ac:dyDescent="0.2">
      <c r="B189" s="18"/>
      <c r="C189" s="18"/>
      <c r="F189" s="19"/>
      <c r="G189" s="148"/>
      <c r="H189" s="19"/>
      <c r="I189" s="19"/>
      <c r="J189" s="19"/>
      <c r="K189" s="19"/>
      <c r="M189" s="20"/>
      <c r="S189" s="18"/>
    </row>
    <row r="190" spans="1:19" ht="12.75" hidden="1" customHeight="1" x14ac:dyDescent="0.2">
      <c r="B190" s="18"/>
      <c r="C190" s="18"/>
      <c r="F190" s="19"/>
      <c r="G190" s="148"/>
      <c r="H190" s="19"/>
      <c r="I190" s="19"/>
      <c r="J190" s="19"/>
      <c r="K190" s="19"/>
      <c r="M190" s="20"/>
      <c r="S190" s="18"/>
    </row>
    <row r="191" spans="1:19" ht="12.75" hidden="1" customHeight="1" x14ac:dyDescent="0.2">
      <c r="A191" s="101" t="s">
        <v>144</v>
      </c>
      <c r="B191" s="18"/>
      <c r="C191" s="18"/>
      <c r="D191" s="22" t="s">
        <v>144</v>
      </c>
      <c r="E191" s="4" t="s">
        <v>121</v>
      </c>
      <c r="F191" s="19" t="s">
        <v>147</v>
      </c>
      <c r="G191" s="148" t="s">
        <v>148</v>
      </c>
      <c r="H191" s="19"/>
      <c r="I191" s="19"/>
      <c r="J191" s="19"/>
      <c r="K191" s="19"/>
      <c r="M191" s="20"/>
      <c r="S191" s="18"/>
    </row>
    <row r="192" spans="1:19" ht="12.75" hidden="1" customHeight="1" x14ac:dyDescent="0.2">
      <c r="A192" s="101" t="s">
        <v>145</v>
      </c>
      <c r="B192" s="18"/>
      <c r="C192" s="18"/>
      <c r="D192" s="22" t="s">
        <v>145</v>
      </c>
      <c r="E192" s="19">
        <v>19066028.010000002</v>
      </c>
      <c r="F192" s="19">
        <v>62319564.710000008</v>
      </c>
      <c r="G192" s="148">
        <v>-43253536.700000003</v>
      </c>
      <c r="H192" s="19"/>
      <c r="I192" s="19"/>
      <c r="J192" s="19"/>
      <c r="K192" s="19"/>
      <c r="M192" s="20"/>
      <c r="S192" s="18"/>
    </row>
    <row r="193" spans="1:19" ht="12.75" hidden="1" customHeight="1" x14ac:dyDescent="0.2">
      <c r="A193" s="101" t="s">
        <v>146</v>
      </c>
      <c r="B193" s="18"/>
      <c r="C193" s="18"/>
      <c r="D193" s="22" t="s">
        <v>146</v>
      </c>
      <c r="F193" s="19"/>
      <c r="G193" s="148"/>
      <c r="H193" s="19"/>
      <c r="I193" s="19"/>
      <c r="J193" s="19"/>
      <c r="K193" s="19"/>
      <c r="M193" s="20"/>
      <c r="S193" s="18"/>
    </row>
    <row r="194" spans="1:19" ht="12.75" hidden="1" customHeight="1" x14ac:dyDescent="0.2">
      <c r="A194" s="100" t="s">
        <v>149</v>
      </c>
      <c r="B194" s="18"/>
      <c r="C194" s="18"/>
      <c r="D194" s="4" t="s">
        <v>149</v>
      </c>
      <c r="E194" s="29">
        <f>SUM(F194:G194)</f>
        <v>905563</v>
      </c>
      <c r="F194" s="19">
        <v>905563</v>
      </c>
      <c r="G194" s="148"/>
      <c r="H194" s="19"/>
      <c r="I194" s="19"/>
      <c r="J194" s="19"/>
      <c r="K194" s="19"/>
      <c r="M194" s="20"/>
      <c r="S194" s="18"/>
    </row>
    <row r="195" spans="1:19" ht="12.75" hidden="1" customHeight="1" x14ac:dyDescent="0.2">
      <c r="A195" s="100" t="s">
        <v>150</v>
      </c>
      <c r="B195" s="18"/>
      <c r="C195" s="18"/>
      <c r="D195" s="4" t="s">
        <v>150</v>
      </c>
      <c r="E195" s="29">
        <f>SUM(F195:G195)</f>
        <v>-905563</v>
      </c>
      <c r="G195" s="148">
        <v>-905563</v>
      </c>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B197" s="18"/>
      <c r="C197" s="18"/>
      <c r="E197" s="94"/>
      <c r="F197" s="95"/>
      <c r="G197" s="169"/>
      <c r="H197" s="19"/>
      <c r="I197" s="19"/>
      <c r="J197" s="19"/>
      <c r="K197" s="19"/>
      <c r="M197" s="20"/>
      <c r="S197" s="18"/>
    </row>
    <row r="198" spans="1:19" ht="12.75" hidden="1" customHeight="1" x14ac:dyDescent="0.2">
      <c r="B198" s="18"/>
      <c r="C198" s="18"/>
      <c r="E198" s="29">
        <f>SUM(E192:E197)</f>
        <v>19066028.010000002</v>
      </c>
      <c r="F198" s="29">
        <f>SUM(F192:F197)</f>
        <v>63225127.710000008</v>
      </c>
      <c r="G198" s="151">
        <f>SUM(G192:G197)</f>
        <v>-44159099.700000003</v>
      </c>
      <c r="H198" s="19"/>
      <c r="I198" s="19"/>
      <c r="J198" s="19"/>
      <c r="K198" s="19"/>
      <c r="M198" s="20"/>
      <c r="S198" s="18"/>
    </row>
    <row r="199" spans="1:19" x14ac:dyDescent="0.2">
      <c r="B199" s="18"/>
      <c r="C199" s="18"/>
      <c r="E199" s="98"/>
      <c r="F199" s="19"/>
      <c r="G199" s="148"/>
      <c r="H199" s="19"/>
      <c r="I199" s="19"/>
      <c r="J199" s="19"/>
      <c r="K199" s="19"/>
      <c r="M199" s="20"/>
      <c r="S199" s="18"/>
    </row>
    <row r="200" spans="1:19" x14ac:dyDescent="0.2">
      <c r="B200" s="18"/>
      <c r="C200" s="18"/>
      <c r="E200" s="83"/>
      <c r="F200" s="19"/>
      <c r="G200" s="232"/>
      <c r="H200" s="19"/>
      <c r="I200" s="19"/>
      <c r="J200" s="19"/>
      <c r="K200" s="19"/>
      <c r="M200" s="20"/>
      <c r="S200" s="18"/>
    </row>
    <row r="201" spans="1:19" x14ac:dyDescent="0.2">
      <c r="B201" s="18"/>
      <c r="C201" s="18"/>
      <c r="E201" s="83"/>
      <c r="F201" s="19"/>
      <c r="G201" s="148"/>
      <c r="H201" s="19"/>
      <c r="I201" s="19"/>
      <c r="J201" s="19"/>
      <c r="K201" s="19"/>
      <c r="M201" s="20"/>
      <c r="S201" s="18"/>
    </row>
    <row r="202" spans="1:19" x14ac:dyDescent="0.2">
      <c r="B202" s="18"/>
      <c r="C202" s="18"/>
      <c r="E202" s="234"/>
      <c r="F202" s="19"/>
      <c r="G202" s="148"/>
      <c r="H202" s="19"/>
      <c r="I202" s="19"/>
      <c r="J202" s="19"/>
      <c r="K202" s="19"/>
      <c r="M202" s="20"/>
      <c r="S202" s="18"/>
    </row>
    <row r="203" spans="1:19" x14ac:dyDescent="0.2">
      <c r="B203" s="18"/>
      <c r="C203" s="18"/>
      <c r="E203" s="98"/>
      <c r="F203" s="19"/>
      <c r="G203" s="148"/>
      <c r="H203" s="19"/>
      <c r="I203" s="19"/>
      <c r="J203" s="19"/>
      <c r="K203" s="19"/>
      <c r="M203" s="20"/>
      <c r="S203" s="18"/>
    </row>
    <row r="204" spans="1:19" x14ac:dyDescent="0.2">
      <c r="B204" s="18"/>
      <c r="C204" s="18"/>
      <c r="E204" s="98"/>
      <c r="F204" s="19"/>
      <c r="G204" s="148"/>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98"/>
      <c r="F207" s="19"/>
      <c r="G207" s="148"/>
      <c r="H207" s="19"/>
      <c r="I207" s="19"/>
      <c r="J207" s="19"/>
      <c r="K207" s="19"/>
      <c r="M207" s="20"/>
      <c r="S207" s="18"/>
    </row>
    <row r="208" spans="1:19" x14ac:dyDescent="0.2">
      <c r="B208" s="18"/>
      <c r="C208" s="18"/>
      <c r="F208" s="19"/>
      <c r="G208" s="148"/>
      <c r="H208" s="19"/>
      <c r="I208" s="19"/>
      <c r="J208" s="19"/>
      <c r="K208" s="19"/>
      <c r="M208" s="20"/>
      <c r="S208" s="18"/>
    </row>
    <row r="209" spans="1:19" x14ac:dyDescent="0.2">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22" x14ac:dyDescent="0.2">
      <c r="A257" s="4"/>
      <c r="B257" s="18"/>
      <c r="C257" s="18"/>
      <c r="F257" s="19"/>
      <c r="G257" s="148"/>
      <c r="H257" s="19"/>
      <c r="I257" s="19"/>
      <c r="J257" s="19"/>
      <c r="K257" s="19"/>
      <c r="M257" s="20"/>
      <c r="S257" s="18"/>
    </row>
    <row r="258" spans="1:22" x14ac:dyDescent="0.2">
      <c r="B258" s="18"/>
      <c r="C258" s="18"/>
      <c r="F258" s="19"/>
      <c r="G258" s="148"/>
      <c r="H258" s="19"/>
      <c r="I258" s="19"/>
      <c r="J258" s="19"/>
      <c r="K258" s="19"/>
      <c r="M258" s="20"/>
      <c r="S258" s="18"/>
    </row>
    <row r="259" spans="1:22" x14ac:dyDescent="0.2">
      <c r="B259" s="18"/>
      <c r="C259" s="18"/>
      <c r="F259" s="19"/>
      <c r="G259" s="148"/>
      <c r="H259" s="19"/>
      <c r="I259" s="19"/>
      <c r="J259" s="19"/>
      <c r="K259" s="19"/>
      <c r="M259" s="20"/>
      <c r="S259" s="18"/>
    </row>
    <row r="260" spans="1:22" x14ac:dyDescent="0.2">
      <c r="B260" s="18"/>
      <c r="C260" s="18"/>
      <c r="F260" s="19"/>
      <c r="G260" s="148"/>
      <c r="H260" s="19"/>
      <c r="I260" s="19"/>
      <c r="J260" s="19"/>
      <c r="K260" s="19"/>
      <c r="M260" s="20"/>
      <c r="S260" s="18"/>
    </row>
    <row r="261" spans="1:22" x14ac:dyDescent="0.2">
      <c r="B261" s="18"/>
      <c r="C261" s="18"/>
      <c r="F261" s="19"/>
      <c r="G261" s="148"/>
      <c r="H261" s="19"/>
      <c r="I261" s="19"/>
      <c r="J261" s="19"/>
      <c r="K261" s="19"/>
      <c r="M261" s="20"/>
      <c r="S261" s="18"/>
    </row>
    <row r="262" spans="1:22" x14ac:dyDescent="0.2">
      <c r="B262" s="18"/>
      <c r="C262" s="18"/>
      <c r="F262" s="19"/>
      <c r="G262" s="148"/>
      <c r="H262" s="19"/>
      <c r="I262" s="19"/>
      <c r="J262" s="19"/>
      <c r="K262" s="19"/>
      <c r="M262" s="20"/>
      <c r="S262" s="18"/>
    </row>
    <row r="263" spans="1:22" x14ac:dyDescent="0.2">
      <c r="B263" s="18"/>
      <c r="C263" s="18"/>
      <c r="F263" s="19"/>
      <c r="G263" s="148"/>
      <c r="H263" s="19"/>
      <c r="I263" s="19"/>
      <c r="J263" s="19"/>
      <c r="K263" s="19"/>
      <c r="M263" s="20"/>
      <c r="S263" s="18"/>
    </row>
    <row r="264" spans="1:22" x14ac:dyDescent="0.2">
      <c r="B264" s="18"/>
      <c r="C264" s="18"/>
      <c r="F264" s="19"/>
      <c r="G264" s="148"/>
      <c r="H264" s="19"/>
      <c r="I264" s="19"/>
      <c r="J264" s="19"/>
      <c r="K264" s="19"/>
      <c r="M264" s="20"/>
      <c r="S264" s="18"/>
    </row>
    <row r="265" spans="1:22" x14ac:dyDescent="0.2">
      <c r="B265" s="18"/>
      <c r="C265" s="18"/>
      <c r="F265" s="19"/>
      <c r="G265" s="148"/>
      <c r="H265" s="19"/>
      <c r="I265" s="19"/>
      <c r="J265" s="19"/>
      <c r="K265" s="19"/>
      <c r="M265" s="20"/>
      <c r="S265" s="18"/>
    </row>
    <row r="266" spans="1:22" x14ac:dyDescent="0.2">
      <c r="B266" s="18"/>
      <c r="C266" s="18"/>
      <c r="F266" s="19"/>
      <c r="G266" s="148"/>
      <c r="H266" s="19"/>
      <c r="I266" s="19"/>
      <c r="J266" s="19"/>
      <c r="K266" s="19"/>
      <c r="M266" s="20"/>
      <c r="S266" s="18"/>
    </row>
    <row r="267" spans="1:22" x14ac:dyDescent="0.2">
      <c r="B267" s="18"/>
      <c r="C267" s="18"/>
      <c r="F267" s="19"/>
      <c r="G267" s="148"/>
      <c r="H267" s="19"/>
      <c r="I267" s="19"/>
      <c r="J267" s="19"/>
      <c r="K267" s="19"/>
      <c r="M267" s="20"/>
      <c r="S267" s="18"/>
    </row>
    <row r="268" spans="1:22" x14ac:dyDescent="0.2">
      <c r="C268" s="18"/>
      <c r="F268" s="19"/>
      <c r="G268" s="148"/>
      <c r="H268" s="19"/>
      <c r="I268" s="19"/>
      <c r="J268" s="19"/>
      <c r="K268" s="19"/>
      <c r="M268" s="20"/>
      <c r="S268" s="18"/>
    </row>
    <row r="269" spans="1:22" x14ac:dyDescent="0.2">
      <c r="C269" s="18"/>
      <c r="F269" s="19"/>
      <c r="G269" s="148"/>
      <c r="H269" s="19"/>
      <c r="I269" s="19"/>
      <c r="J269" s="19"/>
      <c r="K269" s="19"/>
      <c r="M269" s="20"/>
      <c r="S269" s="18"/>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x14ac:dyDescent="0.2">
      <c r="H318" s="19"/>
    </row>
  </sheetData>
  <mergeCells count="1">
    <mergeCell ref="Q5:R5"/>
  </mergeCells>
  <conditionalFormatting sqref="H186 G188">
    <cfRule type="cellIs" dxfId="1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8"/>
  <sheetViews>
    <sheetView topLeftCell="A16" zoomScale="80" zoomScaleNormal="80" workbookViewId="0">
      <selection activeCell="H103" sqref="H103"/>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76" t="s">
        <v>66</v>
      </c>
    </row>
    <row r="4" spans="1:22" x14ac:dyDescent="0.2">
      <c r="A4" s="99"/>
      <c r="B4" s="7"/>
      <c r="C4" s="3"/>
      <c r="D4" s="3"/>
      <c r="E4" s="3"/>
      <c r="F4" s="8"/>
      <c r="G4" s="147"/>
      <c r="H4" s="8"/>
      <c r="I4" s="9"/>
      <c r="J4" s="9"/>
      <c r="K4" s="9"/>
      <c r="M4" s="10"/>
      <c r="P4" s="176" t="s">
        <v>1</v>
      </c>
    </row>
    <row r="5" spans="1:22" x14ac:dyDescent="0.2">
      <c r="E5" s="176" t="s">
        <v>2</v>
      </c>
      <c r="F5" s="176" t="s">
        <v>3</v>
      </c>
      <c r="G5" s="176" t="s">
        <v>4</v>
      </c>
      <c r="H5" s="176"/>
      <c r="I5" s="111" t="s">
        <v>208</v>
      </c>
      <c r="J5" s="13" t="s">
        <v>180</v>
      </c>
      <c r="K5" s="111" t="s">
        <v>209</v>
      </c>
      <c r="L5" s="176" t="s">
        <v>5</v>
      </c>
      <c r="M5" s="11" t="s">
        <v>6</v>
      </c>
      <c r="N5" s="11" t="s">
        <v>0</v>
      </c>
      <c r="O5" s="11" t="s">
        <v>8</v>
      </c>
      <c r="P5" s="176" t="s">
        <v>9</v>
      </c>
      <c r="Q5" s="576" t="s">
        <v>10</v>
      </c>
      <c r="R5" s="576"/>
      <c r="U5" s="12" t="s">
        <v>11</v>
      </c>
    </row>
    <row r="6" spans="1:22" x14ac:dyDescent="0.2">
      <c r="E6" s="13">
        <v>42063</v>
      </c>
      <c r="F6" s="13" t="s">
        <v>12</v>
      </c>
      <c r="G6" s="14" t="s">
        <v>13</v>
      </c>
      <c r="H6" s="14" t="s">
        <v>8</v>
      </c>
      <c r="I6" s="112">
        <v>42094</v>
      </c>
      <c r="J6" s="13" t="s">
        <v>210</v>
      </c>
      <c r="K6" s="112">
        <f>I6</f>
        <v>42094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Feb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Feb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Feb 2015'!$A$1:$I$252,9,FALSE)</f>
        <v>559677.81000000006</v>
      </c>
      <c r="F15" s="30">
        <v>0</v>
      </c>
      <c r="G15" s="33">
        <v>233440</v>
      </c>
      <c r="H15" s="30">
        <v>0</v>
      </c>
      <c r="I15" s="115">
        <f>E15+F15+G15+H15</f>
        <v>793117.81</v>
      </c>
      <c r="J15" s="30">
        <v>0</v>
      </c>
      <c r="K15" s="115">
        <f>I15+J15</f>
        <v>793117.81</v>
      </c>
      <c r="M15" s="20"/>
      <c r="S15" s="18"/>
    </row>
    <row r="16" spans="1:22" x14ac:dyDescent="0.2">
      <c r="A16" s="100" t="s">
        <v>157</v>
      </c>
      <c r="B16" s="28"/>
      <c r="C16" s="28" t="s">
        <v>37</v>
      </c>
      <c r="D16" s="4" t="s">
        <v>192</v>
      </c>
      <c r="E16" s="29">
        <f>VLOOKUP(A16,'DEK Feb 2015'!$A$1:$I$252,9,FALSE)</f>
        <v>1590647</v>
      </c>
      <c r="F16" s="30">
        <v>0</v>
      </c>
      <c r="G16" s="129">
        <v>-293994</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Feb 2015'!$A$1:$I$252,9,FALSE)</f>
        <v>0</v>
      </c>
      <c r="F17" s="30">
        <v>0</v>
      </c>
      <c r="G17" s="144">
        <v>0</v>
      </c>
      <c r="H17" s="33">
        <v>0</v>
      </c>
      <c r="I17" s="115">
        <f>E17+F17+G17+H17</f>
        <v>0</v>
      </c>
      <c r="J17" s="30">
        <v>3076855.04</v>
      </c>
      <c r="K17" s="115">
        <f t="shared" ref="K17" si="1">I17+J17</f>
        <v>3076855.04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-60554</v>
      </c>
      <c r="H19" s="29">
        <f t="shared" si="2"/>
        <v>0</v>
      </c>
      <c r="I19" s="117">
        <f t="shared" si="2"/>
        <v>2089770.81</v>
      </c>
      <c r="J19" s="29">
        <f t="shared" si="2"/>
        <v>3076855.04</v>
      </c>
      <c r="K19" s="117">
        <f t="shared" si="2"/>
        <v>5166625.8499999996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Feb 2015'!$A$1:$I$252,9,FALSE)</f>
        <v>1943441.5000000005</v>
      </c>
      <c r="F22" s="33">
        <v>0</v>
      </c>
      <c r="G22" s="130"/>
      <c r="H22" s="130">
        <v>-22206.17</v>
      </c>
      <c r="I22" s="115">
        <f>E22+F22+G22+H22</f>
        <v>1921235.3300000005</v>
      </c>
      <c r="J22" s="33">
        <v>-266474.03999999998</v>
      </c>
      <c r="K22" s="115">
        <f>I22+J22</f>
        <v>1654761.2900000005</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1943441.5000000005</v>
      </c>
      <c r="F24" s="29">
        <f t="shared" ref="F24:K24" si="3">SUM(F22:F23)</f>
        <v>0</v>
      </c>
      <c r="G24" s="29">
        <f t="shared" si="3"/>
        <v>0</v>
      </c>
      <c r="H24" s="29">
        <f t="shared" si="3"/>
        <v>-22206.17</v>
      </c>
      <c r="I24" s="117">
        <f t="shared" si="3"/>
        <v>1921235.3300000005</v>
      </c>
      <c r="J24" s="29">
        <f t="shared" si="3"/>
        <v>-266474.03999999998</v>
      </c>
      <c r="K24" s="117">
        <f t="shared" si="3"/>
        <v>1654761.2900000005</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Feb 2015'!$A$1:$I$252,9,FALSE)</f>
        <v>1529166</v>
      </c>
      <c r="F27" s="33">
        <v>0</v>
      </c>
      <c r="G27" s="33">
        <v>9771</v>
      </c>
      <c r="H27" s="29">
        <v>0</v>
      </c>
      <c r="I27" s="115">
        <f>E27+F27+G27+H27</f>
        <v>1538937</v>
      </c>
      <c r="J27" s="33">
        <v>0</v>
      </c>
      <c r="K27" s="115">
        <f>I27+J27</f>
        <v>1538937</v>
      </c>
      <c r="L27" s="4" t="s">
        <v>22</v>
      </c>
      <c r="M27" s="20"/>
      <c r="S27" s="28" t="s">
        <v>23</v>
      </c>
    </row>
    <row r="28" spans="1:21" ht="13.5" customHeight="1" x14ac:dyDescent="0.2">
      <c r="A28" s="100" t="s">
        <v>80</v>
      </c>
      <c r="B28" s="28"/>
      <c r="C28" s="28" t="s">
        <v>24</v>
      </c>
      <c r="D28" s="4" t="s">
        <v>204</v>
      </c>
      <c r="E28" s="29">
        <f>VLOOKUP(A28,'DEK Feb 2015'!$A$1:$I$252,9,FALSE)</f>
        <v>-547854.80000000005</v>
      </c>
      <c r="F28" s="33">
        <v>0</v>
      </c>
      <c r="G28" s="33">
        <v>5065</v>
      </c>
      <c r="H28" s="32">
        <v>0</v>
      </c>
      <c r="I28" s="115">
        <f>E28+F28+G28+H28</f>
        <v>-542789.80000000005</v>
      </c>
      <c r="J28" s="33">
        <v>0</v>
      </c>
      <c r="K28" s="115">
        <f>I28+J28</f>
        <v>-542789.80000000005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981311.2</v>
      </c>
      <c r="F30" s="44">
        <f t="shared" ref="F30:K30" si="4">SUM(F27:F28)</f>
        <v>0</v>
      </c>
      <c r="G30" s="130">
        <f t="shared" si="4"/>
        <v>14836</v>
      </c>
      <c r="H30" s="130">
        <f t="shared" si="4"/>
        <v>0</v>
      </c>
      <c r="I30" s="122">
        <f t="shared" si="4"/>
        <v>996147.19999999995</v>
      </c>
      <c r="J30" s="33">
        <f t="shared" si="4"/>
        <v>0</v>
      </c>
      <c r="K30" s="115">
        <f t="shared" si="4"/>
        <v>996147.19999999995</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Feb 2015'!$A$1:$I$252,9,FALSE)</f>
        <v>7822771.3800000008</v>
      </c>
      <c r="F52" s="33">
        <v>0</v>
      </c>
      <c r="G52" s="33">
        <v>-350269.49</v>
      </c>
      <c r="H52" s="33">
        <v>0</v>
      </c>
      <c r="I52" s="115">
        <f>E52+F52+G52+H52</f>
        <v>7472501.8900000006</v>
      </c>
      <c r="J52" s="33">
        <v>-2810381</v>
      </c>
      <c r="K52" s="115">
        <f>I52+J52</f>
        <v>4662120.8900000006</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Feb 2015'!$A$1:$I$252,9,FALSE)</f>
        <v>5690225</v>
      </c>
      <c r="F53" s="33">
        <v>0</v>
      </c>
      <c r="G53" s="130">
        <v>309519</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Feb 2015'!$A$1:$I$252,9,FALSE)</f>
        <v>1200000</v>
      </c>
      <c r="F59" s="33">
        <v>0</v>
      </c>
      <c r="G59" s="33">
        <v>50000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Feb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Feb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Feb 2015'!$A$1:$I$252,9,FALSE)</f>
        <v>2582091.17</v>
      </c>
      <c r="F67" s="172"/>
      <c r="G67" s="33">
        <v>1283218.21</v>
      </c>
      <c r="H67" s="172"/>
      <c r="I67" s="115">
        <f t="shared" si="5"/>
        <v>3865309.38</v>
      </c>
      <c r="J67" s="172"/>
      <c r="K67" s="115">
        <f t="shared" si="6"/>
        <v>3865309.38</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Feb 2015'!$A$1:$I$252,9,FALSE)</f>
        <v>228.93</v>
      </c>
      <c r="F69" s="174"/>
      <c r="G69" s="36">
        <v>0</v>
      </c>
      <c r="H69" s="36"/>
      <c r="I69" s="116">
        <f t="shared" si="5"/>
        <v>228.93</v>
      </c>
      <c r="J69" s="36"/>
      <c r="K69" s="116">
        <f t="shared" si="6"/>
        <v>228.93</v>
      </c>
      <c r="M69" s="20"/>
      <c r="S69" s="18"/>
    </row>
    <row r="70" spans="1:21" x14ac:dyDescent="0.2">
      <c r="B70" s="54"/>
      <c r="C70" s="28"/>
      <c r="E70" s="29">
        <f>SUM(E42:E69)</f>
        <v>22208000.480000004</v>
      </c>
      <c r="F70" s="29">
        <f>SUM(F39:F65)+F36</f>
        <v>0</v>
      </c>
      <c r="G70" s="29">
        <f>SUM(G39:G69)+G36</f>
        <v>1292467.72</v>
      </c>
      <c r="H70" s="29">
        <f>SUM(H39:H65)+H36</f>
        <v>0</v>
      </c>
      <c r="I70" s="117">
        <f>SUM(I39:I69)+I36</f>
        <v>23500468.199999999</v>
      </c>
      <c r="J70" s="29">
        <f>SUM(J39:J69)+J36</f>
        <v>-2810381</v>
      </c>
      <c r="K70" s="117">
        <f>SUM(K39:K69)+K36</f>
        <v>20690087.199999999</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Feb 2015'!$A$1:$I$252,9,FALSE)</f>
        <v>21162622.440000001</v>
      </c>
      <c r="F74" s="30">
        <v>0</v>
      </c>
      <c r="G74" s="130">
        <v>-166713</v>
      </c>
      <c r="H74" s="129">
        <v>0</v>
      </c>
      <c r="I74" s="115">
        <f>E74+F74+G74+H74</f>
        <v>20995909.440000001</v>
      </c>
      <c r="J74" s="30">
        <v>0</v>
      </c>
      <c r="K74" s="115">
        <f t="shared" ref="K74:K76" si="7">I74+J74</f>
        <v>20995909.440000001</v>
      </c>
      <c r="M74" s="20"/>
      <c r="P74" s="58"/>
      <c r="S74" s="18">
        <v>186801</v>
      </c>
    </row>
    <row r="75" spans="1:21" x14ac:dyDescent="0.2">
      <c r="A75" s="108" t="s">
        <v>171</v>
      </c>
      <c r="B75" s="28"/>
      <c r="C75" s="28" t="s">
        <v>122</v>
      </c>
      <c r="D75" s="4" t="s">
        <v>225</v>
      </c>
      <c r="E75" s="29">
        <f>VLOOKUP(A75,'DEK Feb 2015'!$A$1:$I$252,9,FALSE)</f>
        <v>3190789.55</v>
      </c>
      <c r="F75" s="30">
        <v>0</v>
      </c>
      <c r="G75" s="130">
        <v>-27586</v>
      </c>
      <c r="H75" s="129">
        <v>0</v>
      </c>
      <c r="I75" s="115">
        <f>E75+F75+G75+H75</f>
        <v>3163203.55</v>
      </c>
      <c r="J75" s="30">
        <v>0</v>
      </c>
      <c r="K75" s="115">
        <f t="shared" si="7"/>
        <v>3163203.55</v>
      </c>
      <c r="M75" s="20"/>
      <c r="P75" s="58"/>
      <c r="S75" s="18"/>
    </row>
    <row r="76" spans="1:21" x14ac:dyDescent="0.2">
      <c r="A76" s="108" t="s">
        <v>172</v>
      </c>
      <c r="B76" s="28"/>
      <c r="C76" s="28" t="s">
        <v>123</v>
      </c>
      <c r="D76" s="4" t="s">
        <v>226</v>
      </c>
      <c r="E76" s="29">
        <f>VLOOKUP(A76,'DEK Feb 2015'!$A$1:$I$252,9,FALSE)</f>
        <v>62447.05</v>
      </c>
      <c r="F76" s="30">
        <v>0</v>
      </c>
      <c r="G76" s="130">
        <v>-794</v>
      </c>
      <c r="H76" s="129">
        <v>0</v>
      </c>
      <c r="I76" s="115">
        <f>E76+F76+G76+H76</f>
        <v>61653.05</v>
      </c>
      <c r="J76" s="30">
        <v>0</v>
      </c>
      <c r="K76" s="115">
        <f t="shared" si="7"/>
        <v>61653.05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24415859.040000003</v>
      </c>
      <c r="F78" s="29">
        <f t="shared" ref="F78:K78" si="8">SUM(F73:F77)</f>
        <v>0</v>
      </c>
      <c r="G78" s="29">
        <f>SUM(G73:G77)</f>
        <v>-195093</v>
      </c>
      <c r="H78" s="29">
        <f t="shared" si="8"/>
        <v>0</v>
      </c>
      <c r="I78" s="117">
        <f t="shared" si="8"/>
        <v>24220766.040000003</v>
      </c>
      <c r="J78" s="29">
        <f t="shared" si="8"/>
        <v>0</v>
      </c>
      <c r="K78" s="117">
        <f t="shared" si="8"/>
        <v>24220766.040000003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51698937.030000009</v>
      </c>
      <c r="F84" s="133">
        <f t="shared" si="10"/>
        <v>0</v>
      </c>
      <c r="G84" s="133">
        <f t="shared" si="10"/>
        <v>1051656.72</v>
      </c>
      <c r="H84" s="133">
        <f t="shared" si="10"/>
        <v>-22206.17</v>
      </c>
      <c r="I84" s="134">
        <f t="shared" si="10"/>
        <v>52728387.579999998</v>
      </c>
      <c r="J84" s="133">
        <f t="shared" si="10"/>
        <v>0</v>
      </c>
      <c r="K84" s="134">
        <f t="shared" si="10"/>
        <v>52728387.580000006</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Feb 2015'!$A$1:$I$252,9,FALSE)</f>
        <v>4258952.67</v>
      </c>
      <c r="F87" s="30">
        <v>0</v>
      </c>
      <c r="G87" s="33">
        <v>-2241024.86</v>
      </c>
      <c r="H87" s="33">
        <v>-987696.07</v>
      </c>
      <c r="I87" s="115">
        <f t="shared" ref="I87:I92" si="11">E87+F87+G87+H87</f>
        <v>1030231.7400000001</v>
      </c>
      <c r="J87" s="30">
        <v>0</v>
      </c>
      <c r="K87" s="115">
        <f t="shared" ref="K87:K92" si="12">I87+J87</f>
        <v>1030231.7400000001</v>
      </c>
      <c r="L87" s="4" t="s">
        <v>22</v>
      </c>
      <c r="M87" s="33"/>
      <c r="N87" s="42"/>
      <c r="O87" s="42"/>
      <c r="S87" s="18">
        <v>191400</v>
      </c>
      <c r="T87" s="58"/>
    </row>
    <row r="88" spans="1:20" x14ac:dyDescent="0.2">
      <c r="A88" s="100" t="s">
        <v>115</v>
      </c>
      <c r="B88" s="18"/>
      <c r="C88" s="28" t="s">
        <v>53</v>
      </c>
      <c r="D88" s="4" t="s">
        <v>115</v>
      </c>
      <c r="E88" s="29">
        <f>VLOOKUP(A88,'DEK Feb 2015'!$A$1:$I$252,9,FALSE)</f>
        <v>-5032783</v>
      </c>
      <c r="F88" s="30">
        <v>0</v>
      </c>
      <c r="G88" s="33">
        <v>2690858</v>
      </c>
      <c r="H88" s="33">
        <v>0</v>
      </c>
      <c r="I88" s="115">
        <f t="shared" si="11"/>
        <v>-2341925</v>
      </c>
      <c r="J88" s="30">
        <v>0</v>
      </c>
      <c r="K88" s="115">
        <f t="shared" si="12"/>
        <v>-2341925</v>
      </c>
      <c r="L88" s="4" t="s">
        <v>22</v>
      </c>
      <c r="M88" s="30"/>
      <c r="N88" s="42"/>
      <c r="O88" s="42"/>
      <c r="S88" s="18">
        <v>191800</v>
      </c>
      <c r="T88" s="58"/>
    </row>
    <row r="89" spans="1:20" ht="12.75" customHeight="1" x14ac:dyDescent="0.2">
      <c r="A89" s="100" t="s">
        <v>117</v>
      </c>
      <c r="B89" s="18"/>
      <c r="C89" s="28" t="s">
        <v>77</v>
      </c>
      <c r="D89" s="4" t="s">
        <v>117</v>
      </c>
      <c r="E89" s="29">
        <f>VLOOKUP(A89,'DEK Feb 2015'!$A$1:$I$252,9,FALSE)</f>
        <v>-611022</v>
      </c>
      <c r="F89" s="30">
        <v>0</v>
      </c>
      <c r="G89" s="30">
        <v>240768</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f>VLOOKUP(A90,'DEK Feb 2015'!$A$1:$I$252,9,FALSE)</f>
        <v>-2079688.0600000005</v>
      </c>
      <c r="F90" s="30">
        <v>0</v>
      </c>
      <c r="G90" s="30">
        <v>-1004876.78</v>
      </c>
      <c r="H90" s="33">
        <v>0</v>
      </c>
      <c r="I90" s="115">
        <f t="shared" si="11"/>
        <v>-3084564.8400000008</v>
      </c>
      <c r="J90" s="30">
        <v>0</v>
      </c>
      <c r="K90" s="115">
        <f t="shared" si="12"/>
        <v>-3084564.8400000008</v>
      </c>
      <c r="M90" s="20"/>
      <c r="N90" s="42"/>
      <c r="O90" s="42"/>
      <c r="S90" s="18">
        <v>242997</v>
      </c>
      <c r="T90" s="58"/>
    </row>
    <row r="91" spans="1:20" x14ac:dyDescent="0.2">
      <c r="A91" s="100" t="s">
        <v>120</v>
      </c>
      <c r="B91" s="18"/>
      <c r="C91" s="28" t="s">
        <v>54</v>
      </c>
      <c r="D91" s="4" t="s">
        <v>120</v>
      </c>
      <c r="E91" s="29">
        <f>VLOOKUP(A91,'DEK Feb 2015'!$A$1:$I$252,9,FALSE)</f>
        <v>12677.410000000031</v>
      </c>
      <c r="F91" s="33">
        <v>0</v>
      </c>
      <c r="G91" s="144">
        <v>0</v>
      </c>
      <c r="H91" s="33">
        <v>10048.52</v>
      </c>
      <c r="I91" s="115">
        <f t="shared" si="11"/>
        <v>22725.930000000029</v>
      </c>
      <c r="J91" s="33">
        <v>0</v>
      </c>
      <c r="K91" s="115">
        <f t="shared" si="12"/>
        <v>22725.930000000029</v>
      </c>
      <c r="L91" s="4" t="s">
        <v>22</v>
      </c>
      <c r="M91" s="42"/>
      <c r="N91" s="42"/>
      <c r="O91" s="42"/>
      <c r="S91" s="18">
        <v>253130</v>
      </c>
      <c r="T91" s="58"/>
    </row>
    <row r="92" spans="1:20" x14ac:dyDescent="0.2">
      <c r="A92" s="100" t="s">
        <v>156</v>
      </c>
      <c r="B92" s="18"/>
      <c r="C92" s="28" t="s">
        <v>116</v>
      </c>
      <c r="D92" s="4" t="s">
        <v>211</v>
      </c>
      <c r="E92" s="29">
        <f>VLOOKUP(A92,'DEK Feb 2015'!$A$1:$I$252,9,FALSE)</f>
        <v>-727967.44000000006</v>
      </c>
      <c r="F92" s="33"/>
      <c r="G92" s="33">
        <v>171460.37</v>
      </c>
      <c r="H92" s="33">
        <v>0</v>
      </c>
      <c r="I92" s="115">
        <f t="shared" si="11"/>
        <v>-556507.07000000007</v>
      </c>
      <c r="J92" s="30">
        <v>0</v>
      </c>
      <c r="K92" s="115">
        <f t="shared" si="12"/>
        <v>-556507.07000000007</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-4179830.4200000004</v>
      </c>
      <c r="F94" s="33">
        <f t="shared" si="13"/>
        <v>0</v>
      </c>
      <c r="G94" s="33">
        <f t="shared" si="13"/>
        <v>-142815.2699999999</v>
      </c>
      <c r="H94" s="33">
        <f t="shared" si="13"/>
        <v>-977647.54999999993</v>
      </c>
      <c r="I94" s="115">
        <f t="shared" si="13"/>
        <v>-5300293.2400000012</v>
      </c>
      <c r="J94" s="33">
        <f t="shared" si="13"/>
        <v>0</v>
      </c>
      <c r="K94" s="115">
        <f t="shared" si="13"/>
        <v>-5300293.2400000012</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Feb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Feb 2015'!$A$1:$I$252,9,FALSE)</f>
        <v>-3769022.63</v>
      </c>
      <c r="F102" s="30">
        <v>0</v>
      </c>
      <c r="G102" s="130">
        <v>33028</v>
      </c>
      <c r="H102" s="130">
        <v>0</v>
      </c>
      <c r="I102" s="125">
        <f>E102+G102+H102+F102</f>
        <v>-3735994.63</v>
      </c>
      <c r="J102" s="91">
        <v>0</v>
      </c>
      <c r="K102" s="115">
        <f>I102+J102</f>
        <v>-3735994.63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Feb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Feb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Feb 2015'!$A$1:$I$252,9,FALSE)</f>
        <v>-18417.900000000005</v>
      </c>
      <c r="F107" s="30">
        <v>0</v>
      </c>
      <c r="G107" s="130">
        <v>1467.78</v>
      </c>
      <c r="H107" s="130">
        <v>0</v>
      </c>
      <c r="I107" s="115">
        <f>E107+F107+G107+H107</f>
        <v>-16950.120000000006</v>
      </c>
      <c r="J107" s="30">
        <v>0</v>
      </c>
      <c r="K107" s="115">
        <f t="shared" si="15"/>
        <v>-16950.120000000006</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-18417.900000000005</v>
      </c>
      <c r="F109" s="30">
        <f t="shared" ref="F109:K109" si="17">SUM(F105:F108)</f>
        <v>0</v>
      </c>
      <c r="G109" s="30">
        <f t="shared" si="17"/>
        <v>1467.78</v>
      </c>
      <c r="H109" s="30">
        <f t="shared" si="17"/>
        <v>0</v>
      </c>
      <c r="I109" s="115">
        <f t="shared" si="17"/>
        <v>-16950.120000000006</v>
      </c>
      <c r="J109" s="30">
        <f t="shared" si="17"/>
        <v>0</v>
      </c>
      <c r="K109" s="115">
        <f t="shared" si="17"/>
        <v>-16950.120000000006</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Feb 2015'!$A$1:$I$252,9,FALSE)</f>
        <v>-16990351.200000003</v>
      </c>
      <c r="F111" s="30">
        <v>0</v>
      </c>
      <c r="G111" s="129">
        <v>-56441.18</v>
      </c>
      <c r="H111" s="129">
        <v>0</v>
      </c>
      <c r="I111" s="115">
        <f t="shared" ref="I111:I116" si="18">E111+F111+G111+H111</f>
        <v>-17046792.380000003</v>
      </c>
      <c r="J111" s="30">
        <v>0</v>
      </c>
      <c r="K111" s="115">
        <f t="shared" ref="K111:K116" si="19">I111+J111</f>
        <v>-17046792.380000003</v>
      </c>
      <c r="L111" s="4" t="s">
        <v>43</v>
      </c>
      <c r="M111" s="20"/>
      <c r="N111" s="42"/>
      <c r="O111" s="42"/>
      <c r="Q111" s="176">
        <v>75086</v>
      </c>
      <c r="R111" s="58" t="s">
        <v>44</v>
      </c>
      <c r="S111" s="18">
        <v>108201</v>
      </c>
      <c r="T111" s="58"/>
    </row>
    <row r="112" spans="1:23" x14ac:dyDescent="0.2">
      <c r="A112" s="100" t="s">
        <v>166</v>
      </c>
      <c r="B112" s="18"/>
      <c r="C112" s="28" t="s">
        <v>45</v>
      </c>
      <c r="D112" s="4" t="s">
        <v>198</v>
      </c>
      <c r="E112" s="29">
        <f>VLOOKUP(A112,'DEK Feb 2015'!$A$1:$I$252,9,FALSE)</f>
        <v>-48563200.230000004</v>
      </c>
      <c r="F112" s="30">
        <v>0</v>
      </c>
      <c r="G112" s="129">
        <f>(-456973.02+56441.18)</f>
        <v>-400531.84</v>
      </c>
      <c r="H112" s="129">
        <v>0</v>
      </c>
      <c r="I112" s="115">
        <f t="shared" si="18"/>
        <v>-48963732.070000008</v>
      </c>
      <c r="J112" s="30">
        <v>0</v>
      </c>
      <c r="K112" s="115">
        <f t="shared" si="19"/>
        <v>-48963732.070000008</v>
      </c>
      <c r="L112" s="4" t="s">
        <v>43</v>
      </c>
      <c r="M112" s="20"/>
      <c r="N112" s="42"/>
      <c r="O112" s="42"/>
      <c r="R112" s="58" t="s">
        <v>44</v>
      </c>
      <c r="S112" s="18">
        <v>108301</v>
      </c>
      <c r="T112" s="58"/>
    </row>
    <row r="113" spans="1:22" x14ac:dyDescent="0.2">
      <c r="A113" s="100" t="s">
        <v>167</v>
      </c>
      <c r="B113" s="18"/>
      <c r="C113" s="28" t="s">
        <v>46</v>
      </c>
      <c r="D113" s="4" t="s">
        <v>199</v>
      </c>
      <c r="E113" s="29">
        <f>VLOOKUP(A113,'DEK Feb 2015'!$A$1:$I$252,9,FALSE)</f>
        <v>11424797.469999999</v>
      </c>
      <c r="F113" s="30">
        <v>0</v>
      </c>
      <c r="G113" s="129">
        <v>536481.54</v>
      </c>
      <c r="H113" s="129">
        <v>0</v>
      </c>
      <c r="I113" s="115">
        <f t="shared" si="18"/>
        <v>11961279.009999998</v>
      </c>
      <c r="J113" s="30">
        <v>0</v>
      </c>
      <c r="K113" s="115">
        <f>I113+J113</f>
        <v>11961279.009999998</v>
      </c>
      <c r="L113" s="4" t="s">
        <v>43</v>
      </c>
      <c r="M113" s="20"/>
      <c r="N113" s="42"/>
      <c r="O113" s="42"/>
      <c r="S113" s="18">
        <v>108410</v>
      </c>
      <c r="T113" s="58"/>
    </row>
    <row r="114" spans="1:22" x14ac:dyDescent="0.2">
      <c r="A114" s="100" t="s">
        <v>168</v>
      </c>
      <c r="B114" s="18"/>
      <c r="C114" s="28" t="s">
        <v>74</v>
      </c>
      <c r="D114" s="4" t="s">
        <v>217</v>
      </c>
      <c r="E114" s="29">
        <f>VLOOKUP(A114,'DEK Feb 2015'!$A$1:$I$252,9,FALSE)</f>
        <v>1438920.19</v>
      </c>
      <c r="F114" s="30">
        <v>0</v>
      </c>
      <c r="G114" s="129">
        <v>228701.99</v>
      </c>
      <c r="H114" s="129">
        <v>0</v>
      </c>
      <c r="I114" s="115">
        <f t="shared" si="18"/>
        <v>1667622.18</v>
      </c>
      <c r="J114" s="30">
        <v>0</v>
      </c>
      <c r="K114" s="115">
        <f>I114+J114</f>
        <v>1667622.18</v>
      </c>
      <c r="M114" s="20"/>
      <c r="N114" s="42"/>
      <c r="O114" s="42"/>
      <c r="Q114" s="4" t="s">
        <v>50</v>
      </c>
      <c r="R114" s="4" t="s">
        <v>51</v>
      </c>
      <c r="S114" s="18">
        <v>182303</v>
      </c>
      <c r="T114" s="58"/>
    </row>
    <row r="115" spans="1:22" x14ac:dyDescent="0.2">
      <c r="A115" s="100" t="s">
        <v>169</v>
      </c>
      <c r="B115" s="18"/>
      <c r="C115" s="28" t="s">
        <v>49</v>
      </c>
      <c r="D115" s="4" t="s">
        <v>218</v>
      </c>
      <c r="E115" s="29">
        <f>VLOOKUP(A115,'DEK Feb 2015'!$A$1:$I$252,9,FALSE)</f>
        <v>4096250.5700000017</v>
      </c>
      <c r="F115" s="30">
        <v>0</v>
      </c>
      <c r="G115" s="129">
        <v>20398.060000000001</v>
      </c>
      <c r="H115" s="129">
        <v>0</v>
      </c>
      <c r="I115" s="115">
        <f t="shared" si="18"/>
        <v>4116648.6300000018</v>
      </c>
      <c r="J115" s="30">
        <v>0</v>
      </c>
      <c r="K115" s="115">
        <f t="shared" si="19"/>
        <v>4116648.6300000018</v>
      </c>
      <c r="M115" s="20"/>
      <c r="N115" s="42"/>
      <c r="O115" s="42"/>
      <c r="Q115" s="4" t="s">
        <v>50</v>
      </c>
      <c r="S115" s="18">
        <v>182304</v>
      </c>
      <c r="T115" s="58"/>
    </row>
    <row r="116" spans="1:22" x14ac:dyDescent="0.2">
      <c r="A116" s="100" t="s">
        <v>170</v>
      </c>
      <c r="B116" s="18"/>
      <c r="C116" s="28" t="s">
        <v>42</v>
      </c>
      <c r="D116" s="4" t="s">
        <v>200</v>
      </c>
      <c r="E116" s="29">
        <f>VLOOKUP(A116,'DEK Feb 2015'!$A$1:$I$252,9,FALSE)</f>
        <v>-88675.88</v>
      </c>
      <c r="F116" s="30">
        <v>0</v>
      </c>
      <c r="G116" s="129">
        <v>-5888.37</v>
      </c>
      <c r="H116" s="129">
        <v>0</v>
      </c>
      <c r="I116" s="115">
        <f t="shared" si="18"/>
        <v>-94564.25</v>
      </c>
      <c r="J116" s="30">
        <v>0</v>
      </c>
      <c r="K116" s="115">
        <f t="shared" si="19"/>
        <v>-94564.25</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-48682259.080000013</v>
      </c>
      <c r="F118" s="33">
        <f t="shared" si="20"/>
        <v>0</v>
      </c>
      <c r="G118" s="33">
        <f t="shared" si="20"/>
        <v>322720.2</v>
      </c>
      <c r="H118" s="33">
        <f t="shared" si="20"/>
        <v>0</v>
      </c>
      <c r="I118" s="115">
        <f t="shared" si="20"/>
        <v>-48359538.88000001</v>
      </c>
      <c r="J118" s="33">
        <f t="shared" si="20"/>
        <v>0</v>
      </c>
      <c r="K118" s="115">
        <f t="shared" si="20"/>
        <v>-48359538.88000001</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-56649530.030000016</v>
      </c>
      <c r="F120" s="133">
        <f t="shared" ref="F120:H120" si="21">+F94+F102+F109+F118+F99</f>
        <v>0</v>
      </c>
      <c r="G120" s="133">
        <f t="shared" si="21"/>
        <v>214400.71000000011</v>
      </c>
      <c r="H120" s="133">
        <f t="shared" si="21"/>
        <v>-977647.54999999993</v>
      </c>
      <c r="I120" s="134">
        <f>+I94+I102+I109+I118+I99</f>
        <v>-57412776.870000012</v>
      </c>
      <c r="J120" s="133">
        <f>+J94+J102+J109+J118+J99</f>
        <v>0</v>
      </c>
      <c r="K120" s="134">
        <f>+K94+K102+K109+K118+K99</f>
        <v>-57412776.870000012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-4950593.0000000075</v>
      </c>
      <c r="F122" s="137">
        <f>F120+F84</f>
        <v>0</v>
      </c>
      <c r="G122" s="137">
        <f>G120+G84</f>
        <v>1266057.4300000002</v>
      </c>
      <c r="H122" s="137">
        <f>H120+H84</f>
        <v>-999853.72</v>
      </c>
      <c r="I122" s="138">
        <f>I84+I120</f>
        <v>-4684389.290000014</v>
      </c>
      <c r="J122" s="137">
        <f>J120+J84</f>
        <v>0</v>
      </c>
      <c r="K122" s="138">
        <f>K84+K120</f>
        <v>-4684389.2900000066</v>
      </c>
      <c r="L122" s="50">
        <v>0</v>
      </c>
      <c r="M122" s="70"/>
      <c r="N122" s="70"/>
      <c r="O122" s="70"/>
      <c r="P122" s="50"/>
      <c r="Q122" s="50"/>
      <c r="R122" s="50"/>
      <c r="S122" s="18"/>
      <c r="T122" s="29">
        <f>+G122+H122+F122</f>
        <v>266203.7100000002</v>
      </c>
      <c r="U122" s="19">
        <v>13111056.41</v>
      </c>
      <c r="V122" s="29">
        <f>+T122-U122</f>
        <v>-12844852.699999999</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157785.50999999998</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266203.7100000002</v>
      </c>
      <c r="H125" s="50"/>
      <c r="I125" s="50"/>
      <c r="J125" s="50"/>
      <c r="K125" s="50"/>
      <c r="M125" s="20"/>
      <c r="S125" s="18"/>
    </row>
    <row r="126" spans="1:22" ht="12.75" hidden="1" customHeight="1" x14ac:dyDescent="0.2">
      <c r="A126" s="107" t="s">
        <v>58</v>
      </c>
      <c r="B126" s="18"/>
      <c r="C126" s="71"/>
      <c r="D126" s="72" t="s">
        <v>58</v>
      </c>
      <c r="E126" s="73"/>
      <c r="F126" s="50"/>
      <c r="G126" s="145">
        <f>G122+G124</f>
        <v>1423842.9400000002</v>
      </c>
      <c r="H126" s="50">
        <f>H122+H124</f>
        <v>-977647.54999999993</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446195.39000000019</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2089770.81</v>
      </c>
      <c r="J133" s="84">
        <f>+J19</f>
        <v>3076855.04</v>
      </c>
      <c r="K133" s="84">
        <f>+K19</f>
        <v>5166625.8499999996</v>
      </c>
      <c r="M133" s="20"/>
      <c r="S133" s="18"/>
    </row>
    <row r="134" spans="1:19" hidden="1" x14ac:dyDescent="0.2">
      <c r="A134" s="109" t="s">
        <v>141</v>
      </c>
      <c r="B134" s="18"/>
      <c r="C134" s="18"/>
      <c r="D134" s="82" t="s">
        <v>141</v>
      </c>
      <c r="E134" s="83">
        <f>+E24</f>
        <v>1943441.5000000005</v>
      </c>
      <c r="F134" s="32">
        <f t="shared" si="22"/>
        <v>0</v>
      </c>
      <c r="G134" s="165"/>
      <c r="H134" s="83"/>
      <c r="I134" s="84">
        <f>+I24</f>
        <v>1921235.3300000005</v>
      </c>
      <c r="J134" s="84">
        <f>+J24</f>
        <v>-266474.03999999998</v>
      </c>
      <c r="K134" s="84">
        <f>+K24</f>
        <v>1654761.2900000005</v>
      </c>
      <c r="M134" s="20"/>
      <c r="S134" s="18"/>
    </row>
    <row r="135" spans="1:19" hidden="1" x14ac:dyDescent="0.2">
      <c r="A135" s="109" t="s">
        <v>61</v>
      </c>
      <c r="B135" s="18"/>
      <c r="C135" s="18"/>
      <c r="D135" s="82" t="s">
        <v>61</v>
      </c>
      <c r="E135" s="32">
        <f>+E30</f>
        <v>981311.2</v>
      </c>
      <c r="F135" s="32">
        <f t="shared" si="22"/>
        <v>0</v>
      </c>
      <c r="G135" s="157"/>
      <c r="H135" s="32"/>
      <c r="I135" s="84">
        <f>+I30</f>
        <v>996147.19999999995</v>
      </c>
      <c r="J135" s="84">
        <f>+J30</f>
        <v>0</v>
      </c>
      <c r="K135" s="84">
        <f>+K30</f>
        <v>996147.19999999995</v>
      </c>
      <c r="M135" s="20"/>
      <c r="S135" s="18"/>
    </row>
    <row r="136" spans="1:19" hidden="1" x14ac:dyDescent="0.2">
      <c r="A136" s="109" t="s">
        <v>143</v>
      </c>
      <c r="B136" s="18"/>
      <c r="C136" s="18"/>
      <c r="D136" s="82" t="s">
        <v>143</v>
      </c>
      <c r="E136" s="32">
        <f>+E70</f>
        <v>22208000.480000004</v>
      </c>
      <c r="F136" s="32">
        <f t="shared" si="22"/>
        <v>0</v>
      </c>
      <c r="G136" s="157"/>
      <c r="H136" s="32"/>
      <c r="I136" s="84">
        <f>+I70</f>
        <v>23500468.199999999</v>
      </c>
      <c r="J136" s="84">
        <f>+J70</f>
        <v>-2810381</v>
      </c>
      <c r="K136" s="84">
        <f>+K70</f>
        <v>20690087.199999999</v>
      </c>
      <c r="M136" s="20"/>
      <c r="S136" s="18"/>
    </row>
    <row r="137" spans="1:19" hidden="1" x14ac:dyDescent="0.2">
      <c r="A137" s="109" t="s">
        <v>151</v>
      </c>
      <c r="B137" s="18"/>
      <c r="C137" s="18"/>
      <c r="D137" s="82" t="s">
        <v>151</v>
      </c>
      <c r="E137" s="32">
        <f>+E78</f>
        <v>24415859.040000003</v>
      </c>
      <c r="F137" s="32">
        <f t="shared" si="22"/>
        <v>0</v>
      </c>
      <c r="G137" s="157"/>
      <c r="H137" s="32"/>
      <c r="I137" s="84">
        <f>+I78</f>
        <v>24220766.040000003</v>
      </c>
      <c r="J137" s="84">
        <f>+J78</f>
        <v>0</v>
      </c>
      <c r="K137" s="84">
        <f>+K78</f>
        <v>24220766.040000003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-4179830.4200000004</v>
      </c>
      <c r="F139" s="32" t="e">
        <f>+F88+#REF!</f>
        <v>#REF!</v>
      </c>
      <c r="G139" s="157"/>
      <c r="H139" s="32"/>
      <c r="I139" s="84">
        <f>+I94</f>
        <v>-5300293.2400000012</v>
      </c>
      <c r="J139" s="84">
        <f>+J94</f>
        <v>0</v>
      </c>
      <c r="K139" s="84">
        <f>+K94</f>
        <v>-5300293.2400000012</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-3769022.63</v>
      </c>
      <c r="F141" s="32" t="e">
        <f>+#REF!+#REF!</f>
        <v>#REF!</v>
      </c>
      <c r="G141" s="157"/>
      <c r="H141" s="32"/>
      <c r="I141" s="84">
        <f>+I102</f>
        <v>-3735994.63</v>
      </c>
      <c r="J141" s="84">
        <f>+J102</f>
        <v>0</v>
      </c>
      <c r="K141" s="84">
        <f>+K102</f>
        <v>-3735994.63</v>
      </c>
      <c r="M141" s="20"/>
      <c r="S141" s="18"/>
    </row>
    <row r="142" spans="1:19" hidden="1" x14ac:dyDescent="0.2">
      <c r="A142" s="109" t="s">
        <v>153</v>
      </c>
      <c r="B142" s="18"/>
      <c r="C142" s="18"/>
      <c r="D142" s="82" t="s">
        <v>153</v>
      </c>
      <c r="E142" s="32">
        <f>+E109</f>
        <v>-18417.900000000005</v>
      </c>
      <c r="F142" s="32" t="e">
        <f>+#REF!+F89</f>
        <v>#REF!</v>
      </c>
      <c r="G142" s="157"/>
      <c r="H142" s="32"/>
      <c r="I142" s="84">
        <f>+I109</f>
        <v>-16950.120000000006</v>
      </c>
      <c r="J142" s="84">
        <f>+J109</f>
        <v>0</v>
      </c>
      <c r="K142" s="84">
        <f>+K109</f>
        <v>-16950.120000000006</v>
      </c>
      <c r="M142" s="20"/>
      <c r="S142" s="18"/>
    </row>
    <row r="143" spans="1:19" hidden="1" x14ac:dyDescent="0.2">
      <c r="A143" s="109" t="s">
        <v>155</v>
      </c>
      <c r="B143" s="18"/>
      <c r="C143" s="18"/>
      <c r="D143" s="82" t="s">
        <v>155</v>
      </c>
      <c r="E143" s="32">
        <f>+E118</f>
        <v>-48682259.080000013</v>
      </c>
      <c r="F143" s="32">
        <f t="shared" ref="F143" si="23">+F89+F90</f>
        <v>0</v>
      </c>
      <c r="G143" s="157"/>
      <c r="H143" s="32"/>
      <c r="I143" s="84">
        <f>+I118</f>
        <v>-48359538.88000001</v>
      </c>
      <c r="J143" s="84">
        <f>+J118</f>
        <v>0</v>
      </c>
      <c r="K143" s="84">
        <f>+K118</f>
        <v>-48359538.88000001</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-4950593.0000000149</v>
      </c>
      <c r="F145" s="88" t="e">
        <f>SUM(F135:F144)</f>
        <v>#REF!</v>
      </c>
      <c r="G145" s="166"/>
      <c r="H145" s="88"/>
      <c r="I145" s="89">
        <f>SUM(I131:I144)</f>
        <v>-4684389.290000014</v>
      </c>
      <c r="J145" s="89">
        <f>SUM(J131:J144)</f>
        <v>0</v>
      </c>
      <c r="K145" s="89">
        <f>SUM(K131:K144)</f>
        <v>-4684389.290000014</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-7.4505805969238281E-9</v>
      </c>
      <c r="F147" s="19"/>
      <c r="G147" s="148"/>
      <c r="H147" s="19"/>
      <c r="I147" s="19">
        <f>+I145-I122</f>
        <v>0</v>
      </c>
      <c r="J147" s="19">
        <f>+J145-J122</f>
        <v>0</v>
      </c>
      <c r="K147" s="19">
        <f>+K145-K122</f>
        <v>-7.4505805969238281E-9</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283440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-142815.2699999999</v>
      </c>
      <c r="H153" s="19">
        <f>+H88+H89+H90+H91+H87</f>
        <v>-977647.54999999993</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-1283218.21</v>
      </c>
      <c r="H155" s="110">
        <f>+H151+H152+H153-H126</f>
        <v>0</v>
      </c>
      <c r="I155" s="19"/>
      <c r="J155" s="19"/>
      <c r="K155" s="19"/>
      <c r="M155" s="20"/>
      <c r="S155" s="18"/>
    </row>
    <row r="156" spans="1:19" hidden="1" x14ac:dyDescent="0.2">
      <c r="B156" s="18"/>
      <c r="C156" s="18"/>
      <c r="F156" s="19"/>
      <c r="H156" s="29">
        <f>+H152+H153+H151+G151+G152+G153</f>
        <v>-837022.81999999983</v>
      </c>
      <c r="I156" s="19"/>
      <c r="J156" s="19"/>
      <c r="K156" s="19"/>
      <c r="M156" s="20"/>
      <c r="S156" s="18"/>
    </row>
    <row r="157" spans="1:19" hidden="1" x14ac:dyDescent="0.2">
      <c r="B157" s="18"/>
      <c r="C157" s="18"/>
      <c r="F157" s="19"/>
      <c r="G157" s="148"/>
      <c r="H157" s="29">
        <f>+H156-G126-H126</f>
        <v>-1283218.21</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7"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4"/>
  <sheetViews>
    <sheetView zoomScale="80" zoomScaleNormal="80" workbookViewId="0">
      <selection activeCell="G187" sqref="G187"/>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63" t="s">
        <v>66</v>
      </c>
    </row>
    <row r="4" spans="1:22" x14ac:dyDescent="0.2">
      <c r="A4" s="99"/>
      <c r="B4" s="7"/>
      <c r="C4" s="3"/>
      <c r="D4" s="3"/>
      <c r="E4" s="212"/>
      <c r="F4" s="8"/>
      <c r="G4" s="215"/>
      <c r="H4" s="216"/>
      <c r="I4" s="202"/>
      <c r="J4" s="202"/>
      <c r="K4" s="202"/>
      <c r="M4" s="10"/>
      <c r="P4" s="263" t="s">
        <v>1</v>
      </c>
    </row>
    <row r="5" spans="1:22" x14ac:dyDescent="0.2">
      <c r="E5" s="217" t="s">
        <v>208</v>
      </c>
      <c r="F5" s="263" t="s">
        <v>3</v>
      </c>
      <c r="G5" s="263" t="s">
        <v>4</v>
      </c>
      <c r="H5" s="263"/>
      <c r="I5" s="204" t="s">
        <v>208</v>
      </c>
      <c r="J5" s="261" t="s">
        <v>180</v>
      </c>
      <c r="K5" s="204" t="s">
        <v>209</v>
      </c>
      <c r="L5" s="263" t="s">
        <v>5</v>
      </c>
      <c r="M5" s="11" t="s">
        <v>6</v>
      </c>
      <c r="N5" s="11" t="s">
        <v>0</v>
      </c>
      <c r="O5" s="11" t="s">
        <v>8</v>
      </c>
      <c r="P5" s="263" t="s">
        <v>9</v>
      </c>
      <c r="Q5" s="576" t="s">
        <v>10</v>
      </c>
      <c r="R5" s="576"/>
      <c r="U5" s="12" t="s">
        <v>11</v>
      </c>
    </row>
    <row r="6" spans="1:22" x14ac:dyDescent="0.2">
      <c r="E6" s="218">
        <v>42369</v>
      </c>
      <c r="F6" s="13" t="s">
        <v>12</v>
      </c>
      <c r="G6" s="14" t="s">
        <v>13</v>
      </c>
      <c r="H6" s="14" t="s">
        <v>8</v>
      </c>
      <c r="I6" s="205">
        <v>42400</v>
      </c>
      <c r="J6" s="261" t="s">
        <v>210</v>
      </c>
      <c r="K6" s="205">
        <f>I6</f>
        <v>42400</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2015'!$A$1:$I$252,9,FALSE)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2015'!$A$1:$I$252,9,FALSE)</f>
        <v>578872.6</v>
      </c>
      <c r="F10" s="33">
        <v>0</v>
      </c>
      <c r="G10" s="33">
        <v>3358514.85</v>
      </c>
      <c r="H10" s="33">
        <v>0</v>
      </c>
      <c r="I10" s="115">
        <f>E10+F10+G10+H10</f>
        <v>3937387.45</v>
      </c>
      <c r="J10" s="30">
        <v>0</v>
      </c>
      <c r="K10" s="115">
        <f>I10+J10</f>
        <v>3937387.45</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578872.59999999881</v>
      </c>
      <c r="F12" s="29">
        <f t="shared" ref="F12:J12" si="0">SUM(F9:F10)</f>
        <v>0</v>
      </c>
      <c r="G12" s="29">
        <f t="shared" si="0"/>
        <v>3358514.85</v>
      </c>
      <c r="H12" s="29">
        <f t="shared" si="0"/>
        <v>0</v>
      </c>
      <c r="I12" s="269">
        <f t="shared" si="0"/>
        <v>3937387.4499999993</v>
      </c>
      <c r="J12" s="29">
        <f t="shared" si="0"/>
        <v>0</v>
      </c>
      <c r="K12" s="269">
        <f>SUM(K9:K10)</f>
        <v>3937387.4499999993</v>
      </c>
      <c r="L12" s="258"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2015'!$A$1:$I$252,9,FALSE)</f>
        <v>486010.81000000006</v>
      </c>
      <c r="F15" s="30">
        <v>0</v>
      </c>
      <c r="G15" s="33">
        <v>-75612</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Dec 2015'!$A$1:$I$252,9,FALSE)</f>
        <v>1440146</v>
      </c>
      <c r="F16" s="30">
        <v>0</v>
      </c>
      <c r="G16" s="33">
        <v>-91883</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1926156.81</v>
      </c>
      <c r="F19" s="29">
        <f t="shared" ref="F19:J19" si="2">SUM(F15:F18)</f>
        <v>0</v>
      </c>
      <c r="G19" s="29">
        <f t="shared" si="2"/>
        <v>-167495</v>
      </c>
      <c r="H19" s="29">
        <f t="shared" si="2"/>
        <v>0</v>
      </c>
      <c r="I19" s="269">
        <f t="shared" si="2"/>
        <v>1758661.81</v>
      </c>
      <c r="J19" s="49">
        <f t="shared" si="2"/>
        <v>1927070.51</v>
      </c>
      <c r="K19" s="269">
        <f>SUM(K15:K18)</f>
        <v>3685732.3200000003</v>
      </c>
      <c r="L19" s="258"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2015'!$A$1:$I$252,9,FALSE)</f>
        <v>1721379.8300000012</v>
      </c>
      <c r="F22" s="33">
        <v>0</v>
      </c>
      <c r="G22" s="33">
        <v>0</v>
      </c>
      <c r="H22" s="33">
        <v>-266474.03000000003</v>
      </c>
      <c r="I22" s="115">
        <f>E22+F22+G22+H22</f>
        <v>1454905.8000000012</v>
      </c>
      <c r="J22" s="30">
        <v>-266473.8</v>
      </c>
      <c r="K22" s="115">
        <f>I22+J22</f>
        <v>1188432.0000000012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1721379.8300000012</v>
      </c>
      <c r="F24" s="29">
        <f t="shared" ref="F24:K24" si="3">SUM(F22:F23)</f>
        <v>0</v>
      </c>
      <c r="G24" s="29">
        <f t="shared" si="3"/>
        <v>0</v>
      </c>
      <c r="H24" s="29">
        <f t="shared" si="3"/>
        <v>-266474.03000000003</v>
      </c>
      <c r="I24" s="269">
        <f t="shared" si="3"/>
        <v>1454905.8000000012</v>
      </c>
      <c r="J24" s="49">
        <f t="shared" si="3"/>
        <v>-266473.8</v>
      </c>
      <c r="K24" s="269">
        <f t="shared" si="3"/>
        <v>1188432.0000000012</v>
      </c>
      <c r="L24" s="258"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2015'!$A$1:$I$252,9,FALSE)</f>
        <v>1965263</v>
      </c>
      <c r="F27" s="33">
        <v>0</v>
      </c>
      <c r="G27" s="33">
        <v>213130</v>
      </c>
      <c r="H27" s="29">
        <v>0</v>
      </c>
      <c r="I27" s="115">
        <f>E27+F27+G27+H27</f>
        <v>2178393</v>
      </c>
      <c r="J27" s="33">
        <v>0</v>
      </c>
      <c r="K27" s="115">
        <f>I27+J27</f>
        <v>2178393</v>
      </c>
      <c r="L27" s="210" t="s">
        <v>22</v>
      </c>
      <c r="M27" s="226"/>
      <c r="S27" s="28" t="s">
        <v>23</v>
      </c>
    </row>
    <row r="28" spans="1:21" ht="13.5" customHeight="1" x14ac:dyDescent="0.2">
      <c r="A28" s="100" t="s">
        <v>80</v>
      </c>
      <c r="B28" s="28"/>
      <c r="C28" s="28" t="s">
        <v>24</v>
      </c>
      <c r="D28" s="4" t="s">
        <v>204</v>
      </c>
      <c r="E28" s="32">
        <f>VLOOKUP(A28,'DEK Dec 2015'!$A$1:$I$252,9,FALSE)</f>
        <v>-3791680.8</v>
      </c>
      <c r="F28" s="33">
        <v>0</v>
      </c>
      <c r="G28" s="33">
        <v>3791681</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-1826417.7999999998</v>
      </c>
      <c r="F30" s="44">
        <f t="shared" ref="F30:K30" si="4">SUM(F27:F28)</f>
        <v>0</v>
      </c>
      <c r="G30" s="33">
        <f t="shared" si="4"/>
        <v>4004811</v>
      </c>
      <c r="H30" s="33">
        <f t="shared" si="4"/>
        <v>0</v>
      </c>
      <c r="I30" s="269">
        <f t="shared" si="4"/>
        <v>2178393.2000000002</v>
      </c>
      <c r="J30" s="33">
        <f t="shared" si="4"/>
        <v>0</v>
      </c>
      <c r="K30" s="269">
        <f t="shared" si="4"/>
        <v>2178393.2000000002</v>
      </c>
      <c r="L30" s="258"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2015'!$A$1:$I$252,9,FALSE)</f>
        <v>6662853.9800000014</v>
      </c>
      <c r="F52" s="33">
        <v>0</v>
      </c>
      <c r="G52" s="33">
        <v>-5002257.2699999996</v>
      </c>
      <c r="H52" s="33">
        <v>0</v>
      </c>
      <c r="I52" s="115">
        <f>E52+F52+G52+H52</f>
        <v>1660596.7100000018</v>
      </c>
      <c r="J52" s="50">
        <v>-1660596.71</v>
      </c>
      <c r="K52" s="115">
        <f>I52+J52</f>
        <v>1.862645149230957E-9</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2015'!$A$1:$I$252,9,FALSE)</f>
        <v>5735787</v>
      </c>
      <c r="F53" s="33">
        <v>0</v>
      </c>
      <c r="G53" s="33">
        <v>-625123</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Dec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2015'!$A$1:$I$252,9,FALSE)</f>
        <v>1400000</v>
      </c>
      <c r="F59" s="33">
        <v>0</v>
      </c>
      <c r="G59" s="33">
        <v>200000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Dec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2015'!$A$1:$I$252,9,FALSE)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Dec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2015'!$A$1:$I$252,9,FALSE)</f>
        <v>12182527.709999997</v>
      </c>
      <c r="F67" s="172"/>
      <c r="G67" s="33">
        <v>11279936.26</v>
      </c>
      <c r="H67" s="172"/>
      <c r="I67" s="115">
        <f t="shared" si="5"/>
        <v>23462463.969999999</v>
      </c>
      <c r="J67" s="172"/>
      <c r="K67" s="115">
        <f t="shared" si="6"/>
        <v>23462463.969999999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hidden="1"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2015'!$A$1:$I$252,9,FALSE)</f>
        <v>3015675.55</v>
      </c>
      <c r="F71" s="172"/>
      <c r="G71" s="33">
        <v>5018349.3099999996</v>
      </c>
      <c r="H71" s="33">
        <v>0</v>
      </c>
      <c r="I71" s="115">
        <f t="shared" si="5"/>
        <v>8034024.8599999994</v>
      </c>
      <c r="J71" s="33"/>
      <c r="K71" s="115">
        <f t="shared" si="6"/>
        <v>8034024.8599999994</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Dec 2015'!$A$1:$I$252,9,FALSE)</f>
        <v>-9618.8799999999992</v>
      </c>
      <c r="F73" s="172"/>
      <c r="G73" s="33">
        <v>-248947.94</v>
      </c>
      <c r="H73" s="33">
        <v>0</v>
      </c>
      <c r="I73" s="115">
        <f t="shared" si="5"/>
        <v>-258566.82</v>
      </c>
      <c r="J73" s="33"/>
      <c r="K73" s="115">
        <f t="shared" si="6"/>
        <v>-258566.82</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v>0</v>
      </c>
      <c r="F75" s="172"/>
      <c r="G75" s="33">
        <v>348</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2015'!$A$1:$I$252,9,FALSE)</f>
        <v>4282400.5200000005</v>
      </c>
      <c r="F77" s="172"/>
      <c r="G77" s="33">
        <v>4522344.21</v>
      </c>
      <c r="H77" s="33">
        <v>0</v>
      </c>
      <c r="I77" s="115">
        <f t="shared" ref="I77" si="9">E77+F77+G77+H77</f>
        <v>8804744.7300000004</v>
      </c>
      <c r="J77" s="33"/>
      <c r="K77" s="115">
        <f t="shared" ref="K77" si="10">I77+J77</f>
        <v>8804744.7300000004</v>
      </c>
      <c r="L77" s="210" t="s">
        <v>22</v>
      </c>
      <c r="M77" s="20" t="s">
        <v>247</v>
      </c>
      <c r="S77" s="18"/>
    </row>
    <row r="78" spans="1:19" ht="12.75" customHeight="1" x14ac:dyDescent="0.35">
      <c r="B78" s="28"/>
      <c r="C78" s="28"/>
      <c r="E78" s="32"/>
      <c r="F78" s="172"/>
      <c r="G78" s="33"/>
      <c r="H78" s="33"/>
      <c r="I78" s="115"/>
      <c r="J78" s="33"/>
      <c r="K78" s="115"/>
      <c r="M78" s="20"/>
      <c r="S78" s="18"/>
    </row>
    <row r="79" spans="1:19" ht="12.75" customHeight="1" x14ac:dyDescent="0.35">
      <c r="A79" s="100" t="s">
        <v>234</v>
      </c>
      <c r="B79" s="28"/>
      <c r="C79" s="28" t="s">
        <v>232</v>
      </c>
      <c r="D79" s="4" t="s">
        <v>233</v>
      </c>
      <c r="E79" s="32">
        <f>VLOOKUP(A79,'DEK Dec 2015'!$A$1:$I$252,9,FALSE)</f>
        <v>0</v>
      </c>
      <c r="F79" s="174"/>
      <c r="G79" s="33">
        <v>0</v>
      </c>
      <c r="H79" s="33">
        <v>0</v>
      </c>
      <c r="I79" s="115">
        <f t="shared" ref="I79:I81" si="11">E79+F79+G79+H79</f>
        <v>0</v>
      </c>
      <c r="J79" s="33"/>
      <c r="K79" s="115">
        <f t="shared" ref="K79:K81" si="12">I79+J79</f>
        <v>0</v>
      </c>
      <c r="M79" s="20"/>
      <c r="S79" s="18"/>
    </row>
    <row r="80" spans="1:19" ht="12.75" customHeight="1" x14ac:dyDescent="0.35">
      <c r="B80" s="28"/>
      <c r="C80" s="28"/>
      <c r="E80" s="32"/>
      <c r="F80" s="172"/>
      <c r="G80" s="33"/>
      <c r="H80" s="33"/>
      <c r="I80" s="115"/>
      <c r="J80" s="33"/>
      <c r="K80" s="115"/>
      <c r="M80" s="20"/>
      <c r="S80" s="18"/>
    </row>
    <row r="81" spans="1:21" ht="12.75" customHeight="1" x14ac:dyDescent="0.35">
      <c r="A81" s="100" t="s">
        <v>276</v>
      </c>
      <c r="B81" s="28"/>
      <c r="C81" s="28" t="s">
        <v>275</v>
      </c>
      <c r="D81" s="4" t="s">
        <v>276</v>
      </c>
      <c r="E81" s="35">
        <v>0</v>
      </c>
      <c r="F81" s="174"/>
      <c r="G81" s="36">
        <v>2172194.7599999998</v>
      </c>
      <c r="H81" s="36">
        <v>0</v>
      </c>
      <c r="I81" s="116">
        <f t="shared" si="11"/>
        <v>2172194.7599999998</v>
      </c>
      <c r="J81" s="36"/>
      <c r="K81" s="116">
        <f t="shared" si="12"/>
        <v>2172194.7599999998</v>
      </c>
      <c r="M81" s="20"/>
      <c r="S81" s="18"/>
    </row>
    <row r="82" spans="1:21" x14ac:dyDescent="0.2">
      <c r="B82" s="54"/>
      <c r="C82" s="28"/>
      <c r="E82" s="221">
        <f>SUM(E42:E81)</f>
        <v>38182309.879999995</v>
      </c>
      <c r="F82" s="29">
        <f>SUM(F39:F65)+F36</f>
        <v>0</v>
      </c>
      <c r="G82" s="29">
        <f>SUM(G39:G81)+G36</f>
        <v>17316844.329999998</v>
      </c>
      <c r="H82" s="29">
        <f>SUM(H39:H81)+H36</f>
        <v>0</v>
      </c>
      <c r="I82" s="269">
        <f>SUM(I39:I81)+I36</f>
        <v>55499154.210000001</v>
      </c>
      <c r="J82" s="49">
        <f>SUM(J39:J81)+J36</f>
        <v>-1660596.71</v>
      </c>
      <c r="K82" s="275">
        <f>SUM(K39:K81)+K36</f>
        <v>53838557.499999993</v>
      </c>
      <c r="L82" s="258" t="s">
        <v>259</v>
      </c>
      <c r="M82" s="20"/>
      <c r="S82" s="18"/>
    </row>
    <row r="83" spans="1:21" x14ac:dyDescent="0.2">
      <c r="B83" s="54"/>
      <c r="C83" s="28"/>
      <c r="E83" s="32"/>
      <c r="F83" s="32"/>
      <c r="G83" s="157"/>
      <c r="H83" s="32"/>
      <c r="I83" s="123"/>
      <c r="J83" s="32"/>
      <c r="K83" s="123"/>
      <c r="L83" s="230"/>
      <c r="M83" s="20"/>
      <c r="S83" s="18"/>
    </row>
    <row r="84" spans="1:21" x14ac:dyDescent="0.2">
      <c r="A84" s="100" t="s">
        <v>269</v>
      </c>
      <c r="B84" s="54"/>
      <c r="C84" s="28" t="s">
        <v>268</v>
      </c>
      <c r="D84" s="4" t="s">
        <v>269</v>
      </c>
      <c r="E84" s="272">
        <f>VLOOKUP(A84,'DEK Dec 2015'!$A$1:$I$252,9,FALSE)</f>
        <v>1419065.37</v>
      </c>
      <c r="F84" s="35"/>
      <c r="G84" s="35">
        <v>2217547.25</v>
      </c>
      <c r="H84" s="35">
        <v>0</v>
      </c>
      <c r="I84" s="273">
        <f>E84+F84+G84+H84</f>
        <v>3636612.62</v>
      </c>
      <c r="J84" s="274">
        <v>0</v>
      </c>
      <c r="K84" s="276">
        <f t="shared" ref="K84" si="13">I84+J84</f>
        <v>3636612.62</v>
      </c>
      <c r="L84" s="258" t="s">
        <v>279</v>
      </c>
      <c r="M84" s="20"/>
      <c r="S84" s="18"/>
    </row>
    <row r="85" spans="1:21" x14ac:dyDescent="0.2">
      <c r="B85" s="54"/>
      <c r="C85" s="28"/>
      <c r="E85" s="32"/>
      <c r="F85" s="29"/>
      <c r="G85" s="151"/>
      <c r="H85" s="29"/>
      <c r="I85" s="123"/>
      <c r="J85" s="49"/>
      <c r="K85" s="123"/>
      <c r="L85" s="230"/>
      <c r="M85" s="20"/>
      <c r="S85" s="18"/>
    </row>
    <row r="86" spans="1:21" s="22" customFormat="1" x14ac:dyDescent="0.2">
      <c r="A86" s="101"/>
      <c r="B86" s="54" t="s">
        <v>129</v>
      </c>
      <c r="C86" s="55"/>
      <c r="E86" s="220"/>
      <c r="F86" s="47"/>
      <c r="G86" s="162"/>
      <c r="H86" s="47"/>
      <c r="I86" s="124"/>
      <c r="J86" s="47"/>
      <c r="K86" s="124"/>
      <c r="M86" s="19"/>
      <c r="N86" s="48"/>
      <c r="O86" s="48"/>
      <c r="P86" s="56"/>
      <c r="R86" s="57"/>
      <c r="S86" s="57"/>
      <c r="T86" s="55"/>
      <c r="U86" s="55"/>
    </row>
    <row r="87" spans="1:21" ht="25.5" hidden="1" customHeight="1" x14ac:dyDescent="0.2">
      <c r="A87" s="100" t="s">
        <v>125</v>
      </c>
      <c r="B87" s="18"/>
      <c r="C87" s="28" t="s">
        <v>73</v>
      </c>
      <c r="D87" s="4" t="s">
        <v>125</v>
      </c>
      <c r="E87" s="32">
        <v>0</v>
      </c>
      <c r="F87" s="33">
        <v>0</v>
      </c>
      <c r="G87" s="144">
        <v>0</v>
      </c>
      <c r="H87" s="33">
        <v>0</v>
      </c>
      <c r="I87" s="115">
        <f>E87+F87+G87+H87</f>
        <v>0</v>
      </c>
      <c r="J87" s="30">
        <f>F87+G87+H87+I87</f>
        <v>0</v>
      </c>
      <c r="K87" s="115">
        <f>G87+H87+I87+J87</f>
        <v>0</v>
      </c>
      <c r="M87" s="42" t="s">
        <v>126</v>
      </c>
      <c r="O87" s="53"/>
      <c r="P87" s="31"/>
      <c r="R87" s="4" t="s">
        <v>107</v>
      </c>
      <c r="S87" s="18">
        <v>182940</v>
      </c>
      <c r="U87" s="39" t="s">
        <v>36</v>
      </c>
    </row>
    <row r="88" spans="1:21" x14ac:dyDescent="0.2">
      <c r="A88" s="100" t="s">
        <v>125</v>
      </c>
      <c r="B88" s="28"/>
      <c r="C88" s="28" t="s">
        <v>73</v>
      </c>
      <c r="D88" s="4" t="s">
        <v>125</v>
      </c>
      <c r="E88" s="32">
        <v>0</v>
      </c>
      <c r="F88" s="30">
        <v>0</v>
      </c>
      <c r="G88" s="33">
        <v>1566515</v>
      </c>
      <c r="H88" s="30">
        <v>0</v>
      </c>
      <c r="I88" s="115">
        <f t="shared" ref="I88:I93" si="14">E88+F88+G88+H88</f>
        <v>1566515</v>
      </c>
      <c r="J88" s="30">
        <v>0</v>
      </c>
      <c r="K88" s="115">
        <f t="shared" ref="K88:K93" si="15">I88+J88</f>
        <v>1566515</v>
      </c>
      <c r="L88" s="210" t="s">
        <v>22</v>
      </c>
      <c r="M88" s="20"/>
      <c r="P88" s="58"/>
      <c r="S88" s="18">
        <v>186801</v>
      </c>
    </row>
    <row r="89" spans="1:21" x14ac:dyDescent="0.2">
      <c r="A89" s="100" t="s">
        <v>281</v>
      </c>
      <c r="B89" s="28"/>
      <c r="C89" s="28" t="s">
        <v>280</v>
      </c>
      <c r="D89" s="4" t="s">
        <v>281</v>
      </c>
      <c r="E89" s="32">
        <v>0</v>
      </c>
      <c r="F89" s="30">
        <v>0</v>
      </c>
      <c r="G89" s="33">
        <v>893007.52</v>
      </c>
      <c r="H89" s="30">
        <v>0</v>
      </c>
      <c r="I89" s="115">
        <f t="shared" si="14"/>
        <v>893007.52</v>
      </c>
      <c r="J89" s="30">
        <v>0</v>
      </c>
      <c r="K89" s="115">
        <f t="shared" ref="K89" si="16">I89+J89</f>
        <v>893007.52</v>
      </c>
      <c r="L89" s="210" t="s">
        <v>22</v>
      </c>
      <c r="M89" s="20"/>
      <c r="P89" s="58"/>
      <c r="S89" s="18">
        <v>186801</v>
      </c>
    </row>
    <row r="90" spans="1:21" x14ac:dyDescent="0.2">
      <c r="A90" s="100" t="s">
        <v>161</v>
      </c>
      <c r="B90" s="28"/>
      <c r="C90" s="28" t="s">
        <v>72</v>
      </c>
      <c r="D90" s="4" t="s">
        <v>224</v>
      </c>
      <c r="E90" s="32">
        <f>VLOOKUP(A90,'DEK Dec 2015'!$A$1:$I$252,9,FALSE)</f>
        <v>25322652.440000001</v>
      </c>
      <c r="F90" s="30">
        <v>0</v>
      </c>
      <c r="G90" s="33">
        <v>22515607.719999999</v>
      </c>
      <c r="H90" s="30">
        <v>0</v>
      </c>
      <c r="I90" s="115">
        <f t="shared" si="14"/>
        <v>47838260.159999996</v>
      </c>
      <c r="J90" s="30">
        <v>0</v>
      </c>
      <c r="K90" s="115">
        <f t="shared" ref="K90" si="17">I90+J90</f>
        <v>47838260.159999996</v>
      </c>
      <c r="L90" s="210" t="s">
        <v>22</v>
      </c>
      <c r="M90" s="20"/>
      <c r="P90" s="58"/>
      <c r="S90" s="18">
        <v>186801</v>
      </c>
    </row>
    <row r="91" spans="1:21" x14ac:dyDescent="0.2">
      <c r="A91" s="108" t="s">
        <v>171</v>
      </c>
      <c r="B91" s="28"/>
      <c r="C91" s="28" t="s">
        <v>122</v>
      </c>
      <c r="D91" s="4" t="s">
        <v>225</v>
      </c>
      <c r="E91" s="32">
        <f>VLOOKUP(A91,'DEK Dec 2015'!$A$1:$I$252,9,FALSE)</f>
        <v>2914929.55</v>
      </c>
      <c r="F91" s="30">
        <v>0</v>
      </c>
      <c r="G91" s="33">
        <v>2610153.5499999998</v>
      </c>
      <c r="H91" s="30">
        <v>0</v>
      </c>
      <c r="I91" s="115">
        <f t="shared" si="14"/>
        <v>5525083.0999999996</v>
      </c>
      <c r="J91" s="30">
        <v>0</v>
      </c>
      <c r="K91" s="115">
        <f t="shared" si="15"/>
        <v>5525083.0999999996</v>
      </c>
      <c r="L91" s="210" t="s">
        <v>22</v>
      </c>
      <c r="M91" s="20"/>
      <c r="P91" s="58"/>
      <c r="S91" s="18"/>
    </row>
    <row r="92" spans="1:21" x14ac:dyDescent="0.2">
      <c r="A92" s="108" t="s">
        <v>284</v>
      </c>
      <c r="B92" s="28"/>
      <c r="C92" s="28" t="s">
        <v>285</v>
      </c>
      <c r="D92" s="4" t="s">
        <v>284</v>
      </c>
      <c r="E92" s="32">
        <v>0</v>
      </c>
      <c r="F92" s="30">
        <v>0</v>
      </c>
      <c r="G92" s="33">
        <v>3983408.2</v>
      </c>
      <c r="H92" s="30">
        <v>0</v>
      </c>
      <c r="I92" s="115">
        <f t="shared" si="14"/>
        <v>3983408.2</v>
      </c>
      <c r="J92" s="30">
        <v>0</v>
      </c>
      <c r="K92" s="115">
        <f t="shared" ref="K92" si="18">I92+J92</f>
        <v>3983408.2</v>
      </c>
      <c r="L92" s="210" t="s">
        <v>22</v>
      </c>
      <c r="M92" s="20"/>
      <c r="P92" s="58"/>
      <c r="S92" s="18"/>
    </row>
    <row r="93" spans="1:21" x14ac:dyDescent="0.2">
      <c r="A93" s="108" t="s">
        <v>172</v>
      </c>
      <c r="B93" s="28"/>
      <c r="C93" s="28" t="s">
        <v>123</v>
      </c>
      <c r="D93" s="4" t="s">
        <v>226</v>
      </c>
      <c r="E93" s="32">
        <f>VLOOKUP(A93,'DEK Dec 2015'!$A$1:$I$252,9,FALSE)</f>
        <v>51464.05</v>
      </c>
      <c r="F93" s="30">
        <v>0</v>
      </c>
      <c r="G93" s="33">
        <v>51069.05</v>
      </c>
      <c r="H93" s="30">
        <v>0</v>
      </c>
      <c r="I93" s="115">
        <f t="shared" si="14"/>
        <v>102533.1</v>
      </c>
      <c r="J93" s="30">
        <v>0</v>
      </c>
      <c r="K93" s="115">
        <f t="shared" si="15"/>
        <v>102533.1</v>
      </c>
      <c r="L93" s="210" t="s">
        <v>22</v>
      </c>
      <c r="M93" s="20"/>
      <c r="P93" s="58"/>
      <c r="S93" s="18"/>
    </row>
    <row r="94" spans="1:21" x14ac:dyDescent="0.2">
      <c r="B94" s="28"/>
      <c r="C94" s="28"/>
      <c r="E94" s="35"/>
      <c r="F94" s="36"/>
      <c r="G94" s="150"/>
      <c r="H94" s="36"/>
      <c r="I94" s="116"/>
      <c r="J94" s="36"/>
      <c r="K94" s="116"/>
      <c r="M94" s="20"/>
      <c r="P94" s="58"/>
      <c r="S94" s="18"/>
    </row>
    <row r="95" spans="1:21" x14ac:dyDescent="0.2">
      <c r="B95" s="28"/>
      <c r="C95" s="18"/>
      <c r="E95" s="32">
        <f>SUM(E87:E94)</f>
        <v>28289046.040000003</v>
      </c>
      <c r="F95" s="29">
        <f t="shared" ref="F95:K95" si="19">SUM(F87:F94)</f>
        <v>0</v>
      </c>
      <c r="G95" s="29">
        <f>SUM(G87:G94)</f>
        <v>31619761.039999999</v>
      </c>
      <c r="H95" s="29">
        <f t="shared" si="19"/>
        <v>0</v>
      </c>
      <c r="I95" s="269">
        <f t="shared" si="19"/>
        <v>59908807.080000006</v>
      </c>
      <c r="J95" s="29">
        <f t="shared" si="19"/>
        <v>0</v>
      </c>
      <c r="K95" s="269">
        <f t="shared" si="19"/>
        <v>59908807.080000006</v>
      </c>
      <c r="L95" s="258" t="s">
        <v>260</v>
      </c>
      <c r="M95" s="20"/>
      <c r="S95" s="18"/>
    </row>
    <row r="96" spans="1:21" ht="12.75" hidden="1" customHeight="1" x14ac:dyDescent="0.2">
      <c r="B96" s="54" t="s">
        <v>135</v>
      </c>
      <c r="C96" s="18"/>
      <c r="E96" s="32"/>
      <c r="F96" s="29"/>
      <c r="G96" s="151"/>
      <c r="H96" s="151"/>
      <c r="I96" s="117"/>
      <c r="J96" s="29"/>
      <c r="K96" s="117"/>
      <c r="M96" s="20"/>
      <c r="S96" s="18"/>
    </row>
    <row r="97" spans="1:20" ht="12.75" hidden="1" customHeight="1" x14ac:dyDescent="0.2">
      <c r="A97" s="100" t="s">
        <v>108</v>
      </c>
      <c r="B97" s="28"/>
      <c r="C97" s="28" t="s">
        <v>71</v>
      </c>
      <c r="D97" s="4" t="s">
        <v>108</v>
      </c>
      <c r="E97" s="32">
        <v>0</v>
      </c>
      <c r="F97" s="30">
        <v>0</v>
      </c>
      <c r="G97" s="152">
        <v>0</v>
      </c>
      <c r="H97" s="152">
        <v>0</v>
      </c>
      <c r="I97" s="115">
        <f t="shared" ref="I97:K98" si="20">E97+F97+G97+H97</f>
        <v>0</v>
      </c>
      <c r="J97" s="30">
        <f t="shared" si="20"/>
        <v>0</v>
      </c>
      <c r="K97" s="115">
        <f t="shared" si="20"/>
        <v>0</v>
      </c>
      <c r="M97" s="20"/>
      <c r="S97" s="18">
        <v>174995</v>
      </c>
    </row>
    <row r="98" spans="1:20" ht="12.75" hidden="1" customHeight="1" x14ac:dyDescent="0.2">
      <c r="A98" s="100" t="s">
        <v>139</v>
      </c>
      <c r="B98" s="28"/>
      <c r="C98" s="28" t="s">
        <v>124</v>
      </c>
      <c r="D98" s="4" t="s">
        <v>139</v>
      </c>
      <c r="E98" s="32">
        <v>0</v>
      </c>
      <c r="F98" s="30">
        <v>0</v>
      </c>
      <c r="G98" s="152">
        <v>0</v>
      </c>
      <c r="H98" s="152">
        <v>0</v>
      </c>
      <c r="I98" s="115">
        <f t="shared" si="20"/>
        <v>0</v>
      </c>
      <c r="J98" s="30">
        <f t="shared" si="20"/>
        <v>0</v>
      </c>
      <c r="K98" s="115">
        <f t="shared" si="20"/>
        <v>0</v>
      </c>
      <c r="M98" s="20"/>
      <c r="S98" s="18"/>
    </row>
    <row r="99" spans="1:20" ht="7.5" hidden="1" customHeight="1" x14ac:dyDescent="0.2">
      <c r="B99" s="28"/>
      <c r="C99" s="18"/>
      <c r="D99" s="59"/>
      <c r="E99" s="32"/>
      <c r="F99" s="30"/>
      <c r="G99" s="152"/>
      <c r="H99" s="152"/>
      <c r="I99" s="115"/>
      <c r="J99" s="30"/>
      <c r="K99" s="115"/>
      <c r="M99" s="20"/>
      <c r="P99" s="58"/>
      <c r="S99" s="18"/>
    </row>
    <row r="100" spans="1:20" x14ac:dyDescent="0.2">
      <c r="B100" s="28"/>
      <c r="C100" s="18"/>
      <c r="E100" s="32"/>
      <c r="F100" s="30"/>
      <c r="G100" s="152"/>
      <c r="H100" s="152"/>
      <c r="I100" s="115"/>
      <c r="J100" s="30"/>
      <c r="K100" s="115"/>
      <c r="M100" s="20"/>
      <c r="S100" s="18"/>
    </row>
    <row r="101" spans="1:20" x14ac:dyDescent="0.2">
      <c r="B101" s="18"/>
      <c r="C101" s="131" t="s">
        <v>41</v>
      </c>
      <c r="D101" s="135"/>
      <c r="E101" s="133">
        <f>+E12+E24+E30+E82+E84+E95+E97+E19+E98</f>
        <v>70290412.730000004</v>
      </c>
      <c r="F101" s="133">
        <f>+F12+F24+F30+F82+F95+F97+F19+F98</f>
        <v>0</v>
      </c>
      <c r="G101" s="133">
        <f>+G12+G24+G30+G82+G84+G95+G97+G19+G98</f>
        <v>58349983.469999999</v>
      </c>
      <c r="H101" s="133">
        <f>+H12+H24+H30+H82+H84+H95+H97+H19+H98</f>
        <v>-266474.03000000003</v>
      </c>
      <c r="I101" s="134">
        <f>+I12+I24+I30+I82+I84+I95+I97+I19+I98</f>
        <v>128373922.17000002</v>
      </c>
      <c r="J101" s="133">
        <f>+J12+J24+J30+J82+J84+J95+J97+J19+J98</f>
        <v>0</v>
      </c>
      <c r="K101" s="134">
        <f>+K12+K24+K30+K82+K84+K95+K97+K19+K98</f>
        <v>128373922.16999999</v>
      </c>
      <c r="M101" s="45"/>
      <c r="N101" s="143"/>
      <c r="S101" s="18"/>
    </row>
    <row r="102" spans="1:20" x14ac:dyDescent="0.2">
      <c r="A102" s="105"/>
      <c r="B102" s="18"/>
      <c r="C102" s="18"/>
      <c r="D102" s="12"/>
      <c r="E102" s="221"/>
      <c r="F102" s="50"/>
      <c r="G102" s="145"/>
      <c r="H102" s="145"/>
      <c r="I102" s="115"/>
      <c r="J102" s="30"/>
      <c r="K102" s="115"/>
      <c r="M102" s="45"/>
      <c r="S102" s="18"/>
    </row>
    <row r="103" spans="1:20" s="22" customFormat="1" x14ac:dyDescent="0.2">
      <c r="A103" s="106"/>
      <c r="B103" s="21" t="s">
        <v>130</v>
      </c>
      <c r="C103" s="46"/>
      <c r="D103" s="27"/>
      <c r="E103" s="222"/>
      <c r="F103" s="50"/>
      <c r="G103" s="145"/>
      <c r="H103" s="145"/>
      <c r="I103" s="113"/>
      <c r="J103" s="19"/>
      <c r="K103" s="113"/>
      <c r="M103" s="19"/>
      <c r="N103" s="20"/>
      <c r="O103" s="48"/>
      <c r="R103" s="57"/>
      <c r="S103" s="57"/>
    </row>
    <row r="104" spans="1:20" hidden="1" x14ac:dyDescent="0.2">
      <c r="A104" s="100" t="s">
        <v>114</v>
      </c>
      <c r="B104" s="18"/>
      <c r="C104" s="28" t="s">
        <v>52</v>
      </c>
      <c r="D104" s="4" t="s">
        <v>114</v>
      </c>
      <c r="E104" s="32">
        <f>VLOOKUP(A104,'DEK Dec 2015'!$A$1:$I$252,9,FALSE)</f>
        <v>2.9103830456733704E-10</v>
      </c>
      <c r="F104" s="30">
        <v>0</v>
      </c>
      <c r="G104" s="33">
        <v>0</v>
      </c>
      <c r="H104" s="144">
        <v>0</v>
      </c>
      <c r="I104" s="115">
        <f t="shared" ref="I104:I109" si="21">E104+F104+G104+H104</f>
        <v>2.9103830456733704E-10</v>
      </c>
      <c r="J104" s="30">
        <v>0</v>
      </c>
      <c r="K104" s="115">
        <f t="shared" ref="K104:K109" si="22">I104+J104</f>
        <v>2.9103830456733704E-10</v>
      </c>
      <c r="L104" s="210" t="s">
        <v>22</v>
      </c>
      <c r="M104" s="33"/>
      <c r="N104" s="42"/>
      <c r="O104" s="42"/>
      <c r="S104" s="18">
        <v>191400</v>
      </c>
      <c r="T104" s="58"/>
    </row>
    <row r="105" spans="1:20" x14ac:dyDescent="0.2">
      <c r="A105" s="100" t="s">
        <v>115</v>
      </c>
      <c r="B105" s="18"/>
      <c r="C105" s="28" t="s">
        <v>53</v>
      </c>
      <c r="D105" s="4" t="s">
        <v>115</v>
      </c>
      <c r="E105" s="32">
        <f>VLOOKUP(A105,'DEK Dec 2015'!$A$1:$I$252,9,FALSE)</f>
        <v>0</v>
      </c>
      <c r="F105" s="30">
        <v>0</v>
      </c>
      <c r="G105" s="33">
        <v>-2309471.4900000002</v>
      </c>
      <c r="H105" s="33">
        <v>0</v>
      </c>
      <c r="I105" s="115">
        <f t="shared" si="21"/>
        <v>-2309471.4900000002</v>
      </c>
      <c r="J105" s="30">
        <v>0</v>
      </c>
      <c r="K105" s="115">
        <f t="shared" si="22"/>
        <v>-2309471.4900000002</v>
      </c>
      <c r="L105" s="210" t="s">
        <v>22</v>
      </c>
      <c r="M105" s="30"/>
      <c r="N105" s="42"/>
      <c r="O105" s="42"/>
      <c r="S105" s="18">
        <v>191800</v>
      </c>
      <c r="T105" s="58"/>
    </row>
    <row r="106" spans="1:20" ht="12.75" customHeight="1" x14ac:dyDescent="0.2">
      <c r="A106" s="100" t="s">
        <v>117</v>
      </c>
      <c r="B106" s="18"/>
      <c r="C106" s="28" t="s">
        <v>77</v>
      </c>
      <c r="D106" s="4" t="s">
        <v>117</v>
      </c>
      <c r="E106" s="32">
        <f>VLOOKUP(A106,'DEK Dec 2015'!$A$1:$I$252,9,FALSE)</f>
        <v>-979018</v>
      </c>
      <c r="F106" s="30">
        <v>0</v>
      </c>
      <c r="G106" s="30">
        <v>-1523196.27</v>
      </c>
      <c r="H106" s="33">
        <v>0</v>
      </c>
      <c r="I106" s="277">
        <f t="shared" si="21"/>
        <v>-2502214.27</v>
      </c>
      <c r="J106" s="30">
        <v>0</v>
      </c>
      <c r="K106" s="115">
        <f t="shared" si="22"/>
        <v>-2502214.27</v>
      </c>
      <c r="L106" s="210" t="s">
        <v>22</v>
      </c>
      <c r="M106" s="20"/>
      <c r="N106" s="42"/>
      <c r="O106" s="42"/>
      <c r="S106" s="18">
        <v>242995</v>
      </c>
      <c r="T106" s="58"/>
    </row>
    <row r="107" spans="1:20" x14ac:dyDescent="0.2">
      <c r="A107" s="100" t="s">
        <v>119</v>
      </c>
      <c r="B107" s="18"/>
      <c r="C107" s="28" t="s">
        <v>118</v>
      </c>
      <c r="D107" s="4" t="s">
        <v>119</v>
      </c>
      <c r="E107" s="32">
        <f>VLOOKUP(A107,'DEK Dec 2015'!$A$1:$I$252,9,FALSE)</f>
        <v>-716883.78000000049</v>
      </c>
      <c r="F107" s="30">
        <v>0</v>
      </c>
      <c r="G107" s="30">
        <v>-497743.07</v>
      </c>
      <c r="H107" s="33">
        <v>0</v>
      </c>
      <c r="I107" s="115">
        <f t="shared" si="21"/>
        <v>-1214626.8500000006</v>
      </c>
      <c r="J107" s="30">
        <v>0</v>
      </c>
      <c r="K107" s="115">
        <f t="shared" si="22"/>
        <v>-1214626.8500000006</v>
      </c>
      <c r="L107" s="210" t="s">
        <v>22</v>
      </c>
      <c r="M107" s="20"/>
      <c r="N107" s="42"/>
      <c r="O107" s="42"/>
      <c r="S107" s="18">
        <v>242997</v>
      </c>
      <c r="T107" s="58"/>
    </row>
    <row r="108" spans="1:20" x14ac:dyDescent="0.2">
      <c r="A108" s="100" t="s">
        <v>120</v>
      </c>
      <c r="B108" s="18"/>
      <c r="C108" s="28" t="s">
        <v>54</v>
      </c>
      <c r="D108" s="4" t="s">
        <v>120</v>
      </c>
      <c r="E108" s="32">
        <f>VLOOKUP(A108,'DEK Dec 2015'!$A$1:$I$252,9,FALSE)</f>
        <v>-468742.74999999977</v>
      </c>
      <c r="F108" s="33">
        <v>0</v>
      </c>
      <c r="G108" s="33">
        <v>-208445.04</v>
      </c>
      <c r="H108" s="33">
        <v>322291.7</v>
      </c>
      <c r="I108" s="115">
        <f t="shared" si="21"/>
        <v>-354896.08999999979</v>
      </c>
      <c r="J108" s="33">
        <v>0</v>
      </c>
      <c r="K108" s="115">
        <f t="shared" si="22"/>
        <v>-354896.08999999979</v>
      </c>
      <c r="L108" s="210" t="s">
        <v>22</v>
      </c>
      <c r="M108" s="42"/>
      <c r="N108" s="42"/>
      <c r="O108" s="42"/>
      <c r="S108" s="18">
        <v>253130</v>
      </c>
      <c r="T108" s="58"/>
    </row>
    <row r="109" spans="1:20" x14ac:dyDescent="0.2">
      <c r="A109" s="100" t="s">
        <v>156</v>
      </c>
      <c r="B109" s="18"/>
      <c r="C109" s="28" t="s">
        <v>116</v>
      </c>
      <c r="D109" s="4" t="s">
        <v>211</v>
      </c>
      <c r="E109" s="32">
        <f>VLOOKUP(A109,'DEK Dec 2015'!$A$1:$I$252,9,FALSE)</f>
        <v>-503666.72</v>
      </c>
      <c r="F109" s="33"/>
      <c r="G109" s="33">
        <v>-5288416.8600000003</v>
      </c>
      <c r="H109" s="33">
        <v>0</v>
      </c>
      <c r="I109" s="115">
        <f t="shared" si="21"/>
        <v>-5792083.5800000001</v>
      </c>
      <c r="J109" s="30">
        <v>0</v>
      </c>
      <c r="K109" s="115">
        <f t="shared" si="22"/>
        <v>-5792083.5800000001</v>
      </c>
      <c r="M109" s="42"/>
      <c r="N109" s="42"/>
      <c r="O109" s="42"/>
      <c r="S109" s="18"/>
      <c r="T109" s="58"/>
    </row>
    <row r="110" spans="1:20" x14ac:dyDescent="0.2">
      <c r="B110" s="18"/>
      <c r="C110" s="28"/>
      <c r="E110" s="36"/>
      <c r="F110" s="36"/>
      <c r="G110" s="150"/>
      <c r="H110" s="150"/>
      <c r="I110" s="116"/>
      <c r="J110" s="36"/>
      <c r="K110" s="116"/>
      <c r="M110" s="42"/>
      <c r="N110" s="42"/>
      <c r="O110" s="42"/>
      <c r="S110" s="18"/>
      <c r="T110" s="58"/>
    </row>
    <row r="111" spans="1:20" x14ac:dyDescent="0.2">
      <c r="B111" s="18"/>
      <c r="C111" s="61"/>
      <c r="D111" s="34"/>
      <c r="E111" s="33">
        <f t="shared" ref="E111:K111" si="23">SUM(E104:E110)</f>
        <v>-2668311.25</v>
      </c>
      <c r="F111" s="33">
        <f t="shared" si="23"/>
        <v>0</v>
      </c>
      <c r="G111" s="33">
        <f t="shared" si="23"/>
        <v>-9827272.7300000004</v>
      </c>
      <c r="H111" s="33">
        <f t="shared" si="23"/>
        <v>322291.7</v>
      </c>
      <c r="I111" s="269">
        <f t="shared" si="23"/>
        <v>-12173292.280000001</v>
      </c>
      <c r="J111" s="33">
        <f t="shared" si="23"/>
        <v>0</v>
      </c>
      <c r="K111" s="269">
        <f t="shared" si="23"/>
        <v>-12173292.280000001</v>
      </c>
      <c r="L111" s="258" t="s">
        <v>263</v>
      </c>
      <c r="M111" s="42"/>
      <c r="N111" s="42"/>
      <c r="O111" s="42"/>
      <c r="S111" s="18"/>
      <c r="T111" s="58"/>
    </row>
    <row r="112" spans="1:20" hidden="1" x14ac:dyDescent="0.2">
      <c r="B112" s="21" t="s">
        <v>188</v>
      </c>
      <c r="C112" s="61"/>
      <c r="D112" s="34"/>
      <c r="E112" s="33"/>
      <c r="F112" s="33"/>
      <c r="G112" s="144"/>
      <c r="H112" s="144"/>
      <c r="I112" s="115"/>
      <c r="J112" s="33"/>
      <c r="K112" s="115"/>
      <c r="M112" s="42"/>
      <c r="N112" s="42"/>
      <c r="O112" s="42"/>
      <c r="S112" s="18"/>
      <c r="T112" s="58"/>
    </row>
    <row r="113" spans="1:23" hidden="1" x14ac:dyDescent="0.2">
      <c r="A113" s="100" t="s">
        <v>185</v>
      </c>
      <c r="B113" s="18"/>
      <c r="C113" s="28" t="s">
        <v>186</v>
      </c>
      <c r="D113" s="4" t="s">
        <v>213</v>
      </c>
      <c r="E113" s="32">
        <v>0</v>
      </c>
      <c r="F113" s="33">
        <v>0</v>
      </c>
      <c r="G113" s="144">
        <v>0</v>
      </c>
      <c r="H113" s="144">
        <v>0</v>
      </c>
      <c r="I113" s="115">
        <f>E113+F113+G113+H113</f>
        <v>0</v>
      </c>
      <c r="J113" s="33">
        <v>0</v>
      </c>
      <c r="K113" s="115">
        <f>I113+J113</f>
        <v>0</v>
      </c>
      <c r="M113" s="42"/>
      <c r="N113" s="42"/>
      <c r="O113" s="42"/>
      <c r="S113" s="18"/>
      <c r="T113" s="58"/>
    </row>
    <row r="114" spans="1:23" ht="12.75" hidden="1" customHeight="1" x14ac:dyDescent="0.2">
      <c r="A114" s="100" t="s">
        <v>181</v>
      </c>
      <c r="B114" s="18"/>
      <c r="C114" s="28" t="s">
        <v>182</v>
      </c>
      <c r="D114" s="4" t="s">
        <v>213</v>
      </c>
      <c r="E114" s="32">
        <f>VLOOKUP(A114,'[23]DEK Jul 2013'!$A$1:$I$252,9,FALSE)</f>
        <v>0</v>
      </c>
      <c r="F114" s="33">
        <v>0</v>
      </c>
      <c r="G114" s="144">
        <v>0</v>
      </c>
      <c r="H114" s="144">
        <v>0</v>
      </c>
      <c r="I114" s="115">
        <f>E114+F114+G114+H114</f>
        <v>0</v>
      </c>
      <c r="J114" s="30">
        <v>0</v>
      </c>
      <c r="K114" s="115">
        <f>I114+J114</f>
        <v>0</v>
      </c>
      <c r="L114" s="4" t="s">
        <v>22</v>
      </c>
      <c r="M114" s="42"/>
      <c r="N114" s="42"/>
      <c r="O114" s="42"/>
      <c r="S114" s="18">
        <v>253130</v>
      </c>
      <c r="T114" s="58"/>
    </row>
    <row r="115" spans="1:23" hidden="1" x14ac:dyDescent="0.2">
      <c r="B115" s="18"/>
      <c r="C115" s="28"/>
      <c r="E115" s="33"/>
      <c r="F115" s="36"/>
      <c r="G115" s="150"/>
      <c r="H115" s="150"/>
      <c r="I115" s="116"/>
      <c r="J115" s="36"/>
      <c r="K115" s="116"/>
      <c r="M115" s="42"/>
      <c r="N115" s="42"/>
      <c r="O115" s="42"/>
      <c r="S115" s="18"/>
      <c r="T115" s="58"/>
    </row>
    <row r="116" spans="1:23" hidden="1" x14ac:dyDescent="0.2">
      <c r="B116" s="18"/>
      <c r="C116" s="28"/>
      <c r="E116" s="33">
        <f>SUM(E113:E114)</f>
        <v>0</v>
      </c>
      <c r="F116" s="33">
        <f t="shared" ref="F116:L116" si="24">SUM(F113:F114)</f>
        <v>0</v>
      </c>
      <c r="G116" s="144">
        <f t="shared" si="24"/>
        <v>0</v>
      </c>
      <c r="H116" s="144">
        <f t="shared" si="24"/>
        <v>0</v>
      </c>
      <c r="I116" s="128">
        <f>SUM(I113:I114)</f>
        <v>0</v>
      </c>
      <c r="J116" s="33">
        <f t="shared" si="24"/>
        <v>0</v>
      </c>
      <c r="K116" s="128">
        <f t="shared" si="24"/>
        <v>0</v>
      </c>
      <c r="L116" s="33">
        <f t="shared" si="24"/>
        <v>0</v>
      </c>
      <c r="M116" s="42"/>
      <c r="N116" s="42"/>
      <c r="O116" s="42"/>
      <c r="S116" s="18"/>
      <c r="T116" s="58"/>
    </row>
    <row r="117" spans="1:23" hidden="1" x14ac:dyDescent="0.2">
      <c r="B117" s="18"/>
      <c r="C117" s="61"/>
      <c r="D117" s="34"/>
      <c r="E117" s="33"/>
      <c r="F117" s="33"/>
      <c r="G117" s="144"/>
      <c r="H117" s="144"/>
      <c r="I117" s="115"/>
      <c r="J117" s="33"/>
      <c r="K117" s="115"/>
      <c r="M117" s="42"/>
      <c r="N117" s="42"/>
      <c r="O117" s="42"/>
      <c r="S117" s="18"/>
      <c r="T117" s="58"/>
    </row>
    <row r="118" spans="1:23" s="22" customFormat="1" x14ac:dyDescent="0.2">
      <c r="A118" s="101"/>
      <c r="B118" s="21" t="s">
        <v>214</v>
      </c>
      <c r="C118" s="63"/>
      <c r="D118" s="64"/>
      <c r="E118" s="33"/>
      <c r="F118" s="30"/>
      <c r="G118" s="152" t="s">
        <v>187</v>
      </c>
      <c r="H118" s="152"/>
      <c r="I118" s="113"/>
      <c r="J118" s="19"/>
      <c r="K118" s="113"/>
      <c r="M118" s="19"/>
      <c r="N118" s="42"/>
      <c r="O118" s="48"/>
      <c r="T118" s="46"/>
      <c r="U118" s="46"/>
    </row>
    <row r="119" spans="1:23" x14ac:dyDescent="0.2">
      <c r="A119" s="100" t="s">
        <v>162</v>
      </c>
      <c r="B119" s="18"/>
      <c r="C119" s="28" t="s">
        <v>76</v>
      </c>
      <c r="D119" s="4" t="s">
        <v>194</v>
      </c>
      <c r="E119" s="32">
        <f>VLOOKUP(A119,'DEK Dec 2015'!$A$1:$I$252,9,FALSE)</f>
        <v>-4937507.7300000004</v>
      </c>
      <c r="F119" s="30">
        <v>0</v>
      </c>
      <c r="G119" s="33">
        <v>4937507.7300000004</v>
      </c>
      <c r="H119" s="33">
        <v>0</v>
      </c>
      <c r="I119" s="123">
        <f>E119+G119+H119+F119</f>
        <v>0</v>
      </c>
      <c r="J119" s="91">
        <v>0</v>
      </c>
      <c r="K119" s="123">
        <f>I119+J119</f>
        <v>0</v>
      </c>
      <c r="L119" s="259"/>
      <c r="M119" s="67"/>
      <c r="P119" s="51"/>
      <c r="Q119" s="18"/>
      <c r="R119" s="58"/>
      <c r="S119" s="18"/>
    </row>
    <row r="120" spans="1:23" x14ac:dyDescent="0.2">
      <c r="A120" s="100" t="s">
        <v>287</v>
      </c>
      <c r="B120" s="18"/>
      <c r="C120" s="28" t="s">
        <v>286</v>
      </c>
      <c r="D120" s="4" t="s">
        <v>287</v>
      </c>
      <c r="E120" s="35">
        <v>0</v>
      </c>
      <c r="F120" s="36">
        <v>0</v>
      </c>
      <c r="G120" s="36">
        <v>-5549675.7300000004</v>
      </c>
      <c r="H120" s="36">
        <v>0</v>
      </c>
      <c r="I120" s="267">
        <f>E120+G120+H120+F120</f>
        <v>-5549675.7300000004</v>
      </c>
      <c r="J120" s="266">
        <v>0</v>
      </c>
      <c r="K120" s="267">
        <f>I120+J120</f>
        <v>-5549675.7300000004</v>
      </c>
      <c r="L120" s="210" t="s">
        <v>22</v>
      </c>
      <c r="M120" s="67"/>
      <c r="P120" s="51"/>
      <c r="Q120" s="18"/>
      <c r="R120" s="58"/>
      <c r="S120" s="18"/>
    </row>
    <row r="121" spans="1:23" ht="15" x14ac:dyDescent="0.25">
      <c r="B121" s="18"/>
      <c r="C121" s="28"/>
      <c r="D121" s="65"/>
      <c r="E121" s="83">
        <f>SUM(E119:E120)</f>
        <v>-4937507.7300000004</v>
      </c>
      <c r="F121" s="30"/>
      <c r="G121" s="33">
        <f>SUM(G119:G120)</f>
        <v>-612168</v>
      </c>
      <c r="H121" s="33">
        <f>SUM(H119:H120)</f>
        <v>0</v>
      </c>
      <c r="I121" s="271">
        <f>SUM(I119:I120)</f>
        <v>-5549675.7300000004</v>
      </c>
      <c r="J121" s="1"/>
      <c r="K121" s="271">
        <f>SUM(K119:K120)</f>
        <v>-5549675.7300000004</v>
      </c>
      <c r="L121" s="259" t="s">
        <v>264</v>
      </c>
      <c r="M121" s="67"/>
      <c r="P121" s="51"/>
      <c r="Q121" s="18"/>
      <c r="R121" s="58"/>
      <c r="S121" s="18"/>
    </row>
    <row r="122" spans="1:23" x14ac:dyDescent="0.2">
      <c r="B122" s="21" t="s">
        <v>227</v>
      </c>
      <c r="C122" s="28"/>
      <c r="E122" s="83"/>
      <c r="F122" s="30"/>
      <c r="G122" s="152"/>
      <c r="H122" s="30"/>
      <c r="I122" s="115"/>
      <c r="J122" s="30"/>
      <c r="K122" s="115"/>
      <c r="M122" s="20"/>
      <c r="N122" s="42"/>
      <c r="O122" s="42"/>
      <c r="R122" s="58"/>
      <c r="S122" s="18"/>
      <c r="T122" s="58"/>
    </row>
    <row r="123" spans="1:23" x14ac:dyDescent="0.2">
      <c r="A123" s="100" t="s">
        <v>163</v>
      </c>
      <c r="B123" s="18"/>
      <c r="C123" s="28" t="s">
        <v>48</v>
      </c>
      <c r="D123" s="4" t="s">
        <v>195</v>
      </c>
      <c r="E123" s="32">
        <f>VLOOKUP(A123,'DEK Dec 2015'!$A$1:$I$252,9,FALSE)</f>
        <v>0</v>
      </c>
      <c r="F123" s="30">
        <v>0</v>
      </c>
      <c r="G123" s="33">
        <v>-436402</v>
      </c>
      <c r="H123" s="33">
        <v>0</v>
      </c>
      <c r="I123" s="115">
        <f>E123+F123+G123+H123</f>
        <v>-436402</v>
      </c>
      <c r="J123" s="30">
        <v>0</v>
      </c>
      <c r="K123" s="115">
        <f t="shared" ref="K123:K125" si="25">I123+J123</f>
        <v>-436402</v>
      </c>
      <c r="M123" s="62"/>
      <c r="P123" s="51"/>
      <c r="Q123" s="18"/>
      <c r="R123" s="58"/>
      <c r="S123" s="18">
        <v>254998</v>
      </c>
    </row>
    <row r="124" spans="1:23" x14ac:dyDescent="0.2">
      <c r="A124" s="100" t="s">
        <v>179</v>
      </c>
      <c r="B124" s="18"/>
      <c r="C124" s="28" t="s">
        <v>47</v>
      </c>
      <c r="D124" s="4" t="s">
        <v>196</v>
      </c>
      <c r="E124" s="32">
        <f>VLOOKUP(A124,'DEK Oct 2016'!$A$1:$I$252,9,FALSE)</f>
        <v>0</v>
      </c>
      <c r="F124" s="30">
        <v>0</v>
      </c>
      <c r="G124" s="30">
        <v>0</v>
      </c>
      <c r="H124" s="33">
        <v>0</v>
      </c>
      <c r="I124" s="115">
        <f>E124+F124+G124+H124</f>
        <v>0</v>
      </c>
      <c r="J124" s="30">
        <v>0</v>
      </c>
      <c r="K124" s="115">
        <f t="shared" si="25"/>
        <v>0</v>
      </c>
      <c r="M124" s="62"/>
      <c r="P124" s="51"/>
      <c r="Q124" s="18"/>
      <c r="R124" s="58"/>
      <c r="S124" s="18">
        <v>254998</v>
      </c>
      <c r="W124" s="47"/>
    </row>
    <row r="125" spans="1:23" x14ac:dyDescent="0.2">
      <c r="A125" s="100" t="s">
        <v>164</v>
      </c>
      <c r="B125" s="18"/>
      <c r="C125" s="28" t="s">
        <v>75</v>
      </c>
      <c r="D125" s="4" t="s">
        <v>215</v>
      </c>
      <c r="E125" s="32">
        <f>VLOOKUP(A125,'DEK Dec 2015'!$A$1:$I$252,9,FALSE)</f>
        <v>-15853.620000000004</v>
      </c>
      <c r="F125" s="30">
        <v>0</v>
      </c>
      <c r="G125" s="33">
        <v>1171.57</v>
      </c>
      <c r="H125" s="33">
        <v>0</v>
      </c>
      <c r="I125" s="278">
        <f>E125+F125+G125+H125</f>
        <v>-14682.050000000005</v>
      </c>
      <c r="J125" s="30">
        <v>0</v>
      </c>
      <c r="K125" s="117">
        <f t="shared" si="25"/>
        <v>-14682.050000000005</v>
      </c>
      <c r="L125" s="230"/>
      <c r="M125" s="62"/>
      <c r="P125" s="51"/>
      <c r="Q125" s="18"/>
      <c r="R125" s="58"/>
      <c r="S125" s="18">
        <v>254210</v>
      </c>
    </row>
    <row r="126" spans="1:23" x14ac:dyDescent="0.2">
      <c r="B126" s="18"/>
      <c r="C126" s="28"/>
      <c r="D126" s="65"/>
      <c r="E126" s="36"/>
      <c r="F126" s="36"/>
      <c r="G126" s="150"/>
      <c r="H126" s="36"/>
      <c r="I126" s="116"/>
      <c r="J126" s="36"/>
      <c r="K126" s="116"/>
      <c r="M126" s="62"/>
      <c r="P126" s="51"/>
      <c r="Q126" s="18"/>
      <c r="R126" s="58"/>
      <c r="S126" s="18"/>
    </row>
    <row r="127" spans="1:23" x14ac:dyDescent="0.2">
      <c r="B127" s="18"/>
      <c r="C127" s="28"/>
      <c r="E127" s="33">
        <f t="shared" ref="E127" si="26">SUM(E123:E126)</f>
        <v>-15853.620000000004</v>
      </c>
      <c r="F127" s="30">
        <f t="shared" ref="F127:K127" si="27">SUM(F123:F126)</f>
        <v>0</v>
      </c>
      <c r="G127" s="30">
        <f t="shared" si="27"/>
        <v>-435230.43</v>
      </c>
      <c r="H127" s="30">
        <f t="shared" si="27"/>
        <v>0</v>
      </c>
      <c r="I127" s="270">
        <f t="shared" si="27"/>
        <v>-451084.05</v>
      </c>
      <c r="J127" s="30">
        <f t="shared" si="27"/>
        <v>0</v>
      </c>
      <c r="K127" s="270">
        <f t="shared" si="27"/>
        <v>-451084.05</v>
      </c>
      <c r="L127" s="259" t="s">
        <v>265</v>
      </c>
      <c r="M127" s="20"/>
      <c r="N127" s="42"/>
      <c r="O127" s="42"/>
      <c r="R127" s="58"/>
      <c r="S127" s="18"/>
      <c r="T127" s="58"/>
    </row>
    <row r="128" spans="1:23" x14ac:dyDescent="0.2">
      <c r="B128" s="21" t="s">
        <v>216</v>
      </c>
      <c r="C128" s="28"/>
      <c r="E128" s="33"/>
      <c r="F128" s="30"/>
      <c r="G128" s="152"/>
      <c r="H128" s="152"/>
      <c r="I128" s="115"/>
      <c r="J128" s="30"/>
      <c r="K128" s="115"/>
      <c r="M128" s="20"/>
      <c r="N128" s="42"/>
      <c r="O128" s="42"/>
      <c r="R128" s="58"/>
      <c r="S128" s="18"/>
      <c r="T128" s="58"/>
    </row>
    <row r="129" spans="1:22" x14ac:dyDescent="0.2">
      <c r="A129" s="100" t="s">
        <v>165</v>
      </c>
      <c r="B129" s="18"/>
      <c r="C129" s="28" t="s">
        <v>45</v>
      </c>
      <c r="D129" s="4" t="s">
        <v>197</v>
      </c>
      <c r="E129" s="32">
        <f>VLOOKUP(A129,'DEK Dec 2015'!$A$1:$I$252,9,FALSE)</f>
        <v>-17488922.300000004</v>
      </c>
      <c r="F129" s="30">
        <v>0</v>
      </c>
      <c r="G129" s="30">
        <v>-671735.38</v>
      </c>
      <c r="H129" s="30">
        <v>0</v>
      </c>
      <c r="I129" s="115">
        <f t="shared" ref="I129:I135" si="28">E129+F129+G129+H129</f>
        <v>-18160657.680000003</v>
      </c>
      <c r="J129" s="30">
        <v>0</v>
      </c>
      <c r="K129" s="115">
        <f t="shared" ref="K129:K135" si="29">I129+J129</f>
        <v>-18160657.680000003</v>
      </c>
      <c r="L129" s="210" t="s">
        <v>241</v>
      </c>
      <c r="M129" s="20"/>
      <c r="N129" s="42"/>
      <c r="O129" s="42"/>
      <c r="Q129" s="263">
        <v>75086</v>
      </c>
      <c r="R129" s="58" t="s">
        <v>44</v>
      </c>
      <c r="S129" s="18">
        <v>108201</v>
      </c>
      <c r="T129" s="58"/>
    </row>
    <row r="130" spans="1:22" x14ac:dyDescent="0.2">
      <c r="A130" s="100" t="s">
        <v>166</v>
      </c>
      <c r="B130" s="18"/>
      <c r="C130" s="28" t="s">
        <v>45</v>
      </c>
      <c r="D130" s="4" t="s">
        <v>198</v>
      </c>
      <c r="E130" s="32">
        <f>VLOOKUP(A130,'DEK Dec 2015'!$A$1:$I$252,9,FALSE)</f>
        <v>-47028297.050000004</v>
      </c>
      <c r="F130" s="30">
        <v>0</v>
      </c>
      <c r="G130" s="30">
        <v>-701691.8</v>
      </c>
      <c r="H130" s="30">
        <v>0</v>
      </c>
      <c r="I130" s="115">
        <f t="shared" si="28"/>
        <v>-47729988.850000001</v>
      </c>
      <c r="J130" s="30">
        <v>0</v>
      </c>
      <c r="K130" s="115">
        <f t="shared" si="29"/>
        <v>-47729988.850000001</v>
      </c>
      <c r="L130" s="210" t="s">
        <v>242</v>
      </c>
      <c r="M130" s="20"/>
      <c r="N130" s="42"/>
      <c r="O130" s="42"/>
      <c r="R130" s="58" t="s">
        <v>44</v>
      </c>
      <c r="S130" s="18">
        <v>108301</v>
      </c>
      <c r="T130" s="58"/>
    </row>
    <row r="131" spans="1:22" x14ac:dyDescent="0.2">
      <c r="A131" s="100" t="s">
        <v>167</v>
      </c>
      <c r="B131" s="18"/>
      <c r="C131" s="28" t="s">
        <v>46</v>
      </c>
      <c r="D131" s="4" t="s">
        <v>199</v>
      </c>
      <c r="E131" s="32">
        <f>VLOOKUP(A131,'DEK Dec 2015'!$A$1:$I$252,9,FALSE)</f>
        <v>10041717.999999998</v>
      </c>
      <c r="F131" s="30">
        <v>0</v>
      </c>
      <c r="G131" s="30">
        <v>3184377.28</v>
      </c>
      <c r="H131" s="30">
        <v>0</v>
      </c>
      <c r="I131" s="115">
        <f t="shared" si="28"/>
        <v>13226095.279999997</v>
      </c>
      <c r="J131" s="30">
        <v>0</v>
      </c>
      <c r="K131" s="115">
        <f>I131+J131</f>
        <v>13226095.279999997</v>
      </c>
      <c r="L131" s="210" t="s">
        <v>242</v>
      </c>
      <c r="M131" s="20"/>
      <c r="N131" s="42"/>
      <c r="O131" s="42"/>
      <c r="S131" s="18">
        <v>108410</v>
      </c>
      <c r="T131" s="58"/>
    </row>
    <row r="132" spans="1:22" x14ac:dyDescent="0.2">
      <c r="A132" s="100" t="s">
        <v>168</v>
      </c>
      <c r="B132" s="18"/>
      <c r="C132" s="28" t="s">
        <v>74</v>
      </c>
      <c r="D132" s="4" t="s">
        <v>217</v>
      </c>
      <c r="E132" s="32">
        <f>VLOOKUP(A132,'DEK Dec 2015'!$A$1:$I$252,9,FALSE)</f>
        <v>2271628.58</v>
      </c>
      <c r="F132" s="30">
        <v>0</v>
      </c>
      <c r="G132" s="30">
        <v>90805.28</v>
      </c>
      <c r="H132" s="30">
        <v>0</v>
      </c>
      <c r="I132" s="115">
        <f t="shared" si="28"/>
        <v>2362433.86</v>
      </c>
      <c r="J132" s="30">
        <v>0</v>
      </c>
      <c r="K132" s="115">
        <f>I132+J132</f>
        <v>2362433.86</v>
      </c>
      <c r="M132" s="20"/>
      <c r="N132" s="42"/>
      <c r="O132" s="42"/>
      <c r="Q132" s="4" t="s">
        <v>50</v>
      </c>
      <c r="R132" s="4" t="s">
        <v>51</v>
      </c>
      <c r="S132" s="18">
        <v>182303</v>
      </c>
      <c r="T132" s="58"/>
    </row>
    <row r="133" spans="1:22" x14ac:dyDescent="0.2">
      <c r="A133" s="100" t="s">
        <v>169</v>
      </c>
      <c r="B133" s="18"/>
      <c r="C133" s="28" t="s">
        <v>49</v>
      </c>
      <c r="D133" s="4" t="s">
        <v>218</v>
      </c>
      <c r="E133" s="32">
        <f>VLOOKUP(A133,'DEK Dec 2015'!$A$1:$I$252,9,FALSE)</f>
        <v>4311315.6900000023</v>
      </c>
      <c r="F133" s="30">
        <v>0</v>
      </c>
      <c r="G133" s="30">
        <v>312703.58</v>
      </c>
      <c r="H133" s="30">
        <v>0</v>
      </c>
      <c r="I133" s="115">
        <f t="shared" si="28"/>
        <v>4624019.2700000023</v>
      </c>
      <c r="J133" s="30">
        <v>0</v>
      </c>
      <c r="K133" s="115">
        <f t="shared" si="29"/>
        <v>4624019.2700000023</v>
      </c>
      <c r="M133" s="20"/>
      <c r="N133" s="42"/>
      <c r="O133" s="42"/>
      <c r="Q133" s="4" t="s">
        <v>50</v>
      </c>
      <c r="S133" s="18">
        <v>182304</v>
      </c>
      <c r="T133" s="58"/>
    </row>
    <row r="134" spans="1:22" x14ac:dyDescent="0.2">
      <c r="A134" s="100" t="s">
        <v>170</v>
      </c>
      <c r="B134" s="18"/>
      <c r="C134" s="28" t="s">
        <v>42</v>
      </c>
      <c r="D134" s="4" t="s">
        <v>200</v>
      </c>
      <c r="E134" s="32">
        <f>VLOOKUP(A134,'DEK Dec 2015'!$A$1:$I$252,9,FALSE)</f>
        <v>-139814.51000000004</v>
      </c>
      <c r="F134" s="30">
        <v>0</v>
      </c>
      <c r="G134" s="30">
        <v>-81121.899999999994</v>
      </c>
      <c r="H134" s="30">
        <v>0</v>
      </c>
      <c r="I134" s="115">
        <f t="shared" si="28"/>
        <v>-220936.41000000003</v>
      </c>
      <c r="J134" s="30">
        <v>0</v>
      </c>
      <c r="K134" s="115">
        <f t="shared" si="29"/>
        <v>-220936.41000000003</v>
      </c>
      <c r="L134" s="210" t="s">
        <v>241</v>
      </c>
      <c r="M134" s="20"/>
      <c r="N134" s="42"/>
      <c r="O134" s="42"/>
      <c r="R134" s="58" t="s">
        <v>44</v>
      </c>
      <c r="S134" s="18">
        <v>108101</v>
      </c>
      <c r="T134" s="58"/>
    </row>
    <row r="135" spans="1:22" x14ac:dyDescent="0.2">
      <c r="A135" s="100" t="s">
        <v>272</v>
      </c>
      <c r="B135" s="18"/>
      <c r="C135" s="28" t="s">
        <v>271</v>
      </c>
      <c r="D135" s="4" t="s">
        <v>272</v>
      </c>
      <c r="E135" s="32">
        <v>0</v>
      </c>
      <c r="F135" s="30">
        <v>0</v>
      </c>
      <c r="G135" s="30">
        <v>21438.01</v>
      </c>
      <c r="H135" s="30">
        <v>0</v>
      </c>
      <c r="I135" s="115">
        <f t="shared" si="28"/>
        <v>21438.01</v>
      </c>
      <c r="J135" s="30">
        <v>0</v>
      </c>
      <c r="K135" s="115">
        <f t="shared" si="29"/>
        <v>21438.01</v>
      </c>
      <c r="L135" s="210" t="s">
        <v>241</v>
      </c>
      <c r="M135" s="20"/>
      <c r="N135" s="42"/>
      <c r="O135" s="42"/>
      <c r="R135" s="58" t="s">
        <v>44</v>
      </c>
      <c r="S135" s="18">
        <v>108101</v>
      </c>
      <c r="T135" s="58"/>
    </row>
    <row r="136" spans="1:22" x14ac:dyDescent="0.2">
      <c r="B136" s="18"/>
      <c r="C136" s="28"/>
      <c r="E136" s="36"/>
      <c r="F136" s="36"/>
      <c r="G136" s="150"/>
      <c r="H136" s="150"/>
      <c r="I136" s="127"/>
      <c r="J136" s="68"/>
      <c r="K136" s="127"/>
      <c r="M136" s="62"/>
      <c r="P136" s="51"/>
      <c r="Q136" s="18"/>
      <c r="R136" s="58"/>
      <c r="S136" s="18">
        <v>254401</v>
      </c>
    </row>
    <row r="137" spans="1:22" x14ac:dyDescent="0.2">
      <c r="B137" s="18"/>
      <c r="C137" s="28"/>
      <c r="E137" s="33">
        <f t="shared" ref="E137:K137" si="30">SUM(E129:E136)</f>
        <v>-48032371.590000004</v>
      </c>
      <c r="F137" s="33">
        <f t="shared" si="30"/>
        <v>0</v>
      </c>
      <c r="G137" s="33">
        <f t="shared" si="30"/>
        <v>2154775.0699999994</v>
      </c>
      <c r="H137" s="33">
        <f t="shared" si="30"/>
        <v>0</v>
      </c>
      <c r="I137" s="269">
        <f t="shared" si="30"/>
        <v>-45877596.519999996</v>
      </c>
      <c r="J137" s="33">
        <f t="shared" si="30"/>
        <v>0</v>
      </c>
      <c r="K137" s="269">
        <f t="shared" si="30"/>
        <v>-45877596.519999996</v>
      </c>
      <c r="L137" s="259" t="s">
        <v>266</v>
      </c>
      <c r="M137" s="62"/>
      <c r="P137" s="51"/>
      <c r="Q137" s="18"/>
      <c r="R137" s="58"/>
      <c r="S137" s="18"/>
    </row>
    <row r="138" spans="1:22" ht="15" x14ac:dyDescent="0.25">
      <c r="B138" s="18"/>
      <c r="C138" s="28"/>
      <c r="D138" s="65"/>
      <c r="E138" s="33"/>
      <c r="F138" s="30"/>
      <c r="G138" s="144"/>
      <c r="H138" s="33"/>
      <c r="I138" s="126"/>
      <c r="J138" s="1"/>
      <c r="K138" s="126"/>
      <c r="L138" s="66"/>
      <c r="M138" s="67"/>
      <c r="P138" s="51"/>
      <c r="Q138" s="18"/>
      <c r="R138" s="58"/>
      <c r="S138" s="18"/>
    </row>
    <row r="139" spans="1:22" x14ac:dyDescent="0.2">
      <c r="A139" s="105" t="s">
        <v>55</v>
      </c>
      <c r="B139" s="18"/>
      <c r="C139" s="131" t="s">
        <v>55</v>
      </c>
      <c r="D139" s="132"/>
      <c r="E139" s="133">
        <f>+E111+E121+E127+E137+E116</f>
        <v>-55654044.190000005</v>
      </c>
      <c r="F139" s="133">
        <f t="shared" ref="F139" si="31">+F111+F119+F127+F137+F116</f>
        <v>0</v>
      </c>
      <c r="G139" s="133">
        <f>+G111+G121+G127+G137+G116</f>
        <v>-8719896.0899999999</v>
      </c>
      <c r="H139" s="133">
        <f>+H111+H121+H127+H137+H116</f>
        <v>322291.7</v>
      </c>
      <c r="I139" s="134">
        <f>+I111+I121+I127+I137+I116</f>
        <v>-64051648.579999998</v>
      </c>
      <c r="J139" s="133">
        <f>+J111+J119+J127+J137+J116</f>
        <v>0</v>
      </c>
      <c r="K139" s="134">
        <f>+K111+K121+K127+K137+K116</f>
        <v>-64051648.579999998</v>
      </c>
      <c r="M139" s="20"/>
      <c r="N139" s="69"/>
      <c r="R139" s="58"/>
      <c r="S139" s="18"/>
    </row>
    <row r="140" spans="1:22" x14ac:dyDescent="0.2">
      <c r="A140" s="105"/>
      <c r="B140" s="18"/>
      <c r="C140" s="18"/>
      <c r="D140" s="12"/>
      <c r="E140" s="221"/>
      <c r="F140" s="50"/>
      <c r="G140" s="145"/>
      <c r="H140" s="50"/>
      <c r="I140" s="122"/>
      <c r="J140" s="50"/>
      <c r="K140" s="122"/>
      <c r="M140" s="45"/>
      <c r="S140" s="18"/>
    </row>
    <row r="141" spans="1:22" x14ac:dyDescent="0.2">
      <c r="A141" s="105" t="s">
        <v>56</v>
      </c>
      <c r="B141" s="18"/>
      <c r="C141" s="18"/>
      <c r="D141" s="136" t="s">
        <v>219</v>
      </c>
      <c r="E141" s="137">
        <f>E139+E101</f>
        <v>14636368.539999999</v>
      </c>
      <c r="F141" s="137">
        <f>F139+F101</f>
        <v>0</v>
      </c>
      <c r="G141" s="137">
        <f>G139+G101</f>
        <v>49630087.379999995</v>
      </c>
      <c r="H141" s="137">
        <f>H139+H101</f>
        <v>55817.669999999984</v>
      </c>
      <c r="I141" s="138">
        <f>I101+I139</f>
        <v>64322273.590000018</v>
      </c>
      <c r="J141" s="137">
        <f>J139+J101</f>
        <v>0</v>
      </c>
      <c r="K141" s="138">
        <f>K101+K139</f>
        <v>64322273.589999989</v>
      </c>
      <c r="L141" s="50">
        <v>0</v>
      </c>
      <c r="M141" s="70"/>
      <c r="N141" s="70"/>
      <c r="O141" s="70"/>
      <c r="P141" s="50"/>
      <c r="Q141" s="50"/>
      <c r="R141" s="50"/>
      <c r="S141" s="18"/>
      <c r="T141" s="29">
        <f>+G141+H141+F141</f>
        <v>49685905.049999997</v>
      </c>
      <c r="U141" s="19">
        <v>13111056.41</v>
      </c>
      <c r="V141" s="29">
        <f>+T141-U141</f>
        <v>36574848.640000001</v>
      </c>
    </row>
    <row r="142" spans="1:22" hidden="1" x14ac:dyDescent="0.2">
      <c r="A142" s="105"/>
      <c r="B142" s="18"/>
      <c r="C142" s="18"/>
      <c r="D142" s="12"/>
      <c r="E142" s="221"/>
      <c r="F142" s="50"/>
      <c r="G142" s="145"/>
      <c r="H142" s="50"/>
      <c r="I142" s="50"/>
      <c r="J142" s="50"/>
      <c r="K142" s="50"/>
      <c r="M142" s="45"/>
      <c r="S142" s="18"/>
    </row>
    <row r="143" spans="1:22" s="75" customFormat="1" ht="12.75" hidden="1" customHeight="1" x14ac:dyDescent="0.2">
      <c r="A143" s="107" t="s">
        <v>57</v>
      </c>
      <c r="B143" s="71"/>
      <c r="C143" s="18"/>
      <c r="D143" s="140" t="s">
        <v>57</v>
      </c>
      <c r="E143" s="223"/>
      <c r="F143" s="142"/>
      <c r="G143" s="163">
        <f>-G134-G129-G130-G131-G132-G133-G88-G16-G123-G30-G22-G53-G125-G91-G93-G119-G124-G52</f>
        <v>-9148899.6900000013</v>
      </c>
      <c r="H143" s="139">
        <f>-H134-H129-H130-H131-H132-H133-H88-H16-H123-H30-H22-H53-H125-H91-H93-H119-H124-H52</f>
        <v>266474.03000000003</v>
      </c>
      <c r="I143" s="74"/>
      <c r="J143" s="74"/>
      <c r="K143" s="74"/>
      <c r="M143" s="76"/>
      <c r="N143" s="77"/>
      <c r="O143" s="77"/>
      <c r="S143" s="18"/>
    </row>
    <row r="144" spans="1:22" ht="12.75" customHeight="1" x14ac:dyDescent="0.2">
      <c r="A144" s="107"/>
      <c r="B144" s="18"/>
      <c r="C144" s="18"/>
      <c r="D144" s="72"/>
      <c r="E144" s="224"/>
      <c r="F144" s="50"/>
      <c r="G144" s="185">
        <f>G141+H141</f>
        <v>49685905.049999997</v>
      </c>
      <c r="H144" s="145"/>
      <c r="I144" s="145"/>
      <c r="J144" s="50"/>
      <c r="K144" s="50"/>
      <c r="M144" s="20"/>
      <c r="S144" s="18"/>
    </row>
    <row r="145" spans="1:19" ht="12.75" customHeight="1" x14ac:dyDescent="0.2">
      <c r="A145" s="107" t="s">
        <v>58</v>
      </c>
      <c r="B145" s="18"/>
      <c r="C145" s="71"/>
      <c r="D145" s="72"/>
      <c r="E145" s="73"/>
      <c r="F145" s="50"/>
      <c r="G145" s="145"/>
      <c r="H145" s="50"/>
      <c r="I145" s="50"/>
      <c r="J145" s="50"/>
      <c r="K145" s="30"/>
      <c r="M145" s="20"/>
      <c r="S145" s="71"/>
    </row>
    <row r="146" spans="1:19" ht="12.75" customHeight="1" x14ac:dyDescent="0.2">
      <c r="A146" s="107"/>
      <c r="B146" s="18"/>
      <c r="C146" s="18"/>
      <c r="D146" s="72"/>
      <c r="E146" s="83"/>
      <c r="F146" s="50"/>
      <c r="G146" s="30"/>
      <c r="H146" s="50"/>
      <c r="I146" s="50"/>
      <c r="J146" s="50"/>
      <c r="K146" s="33"/>
      <c r="M146" s="20"/>
      <c r="S146" s="18"/>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236"/>
      <c r="F148" s="50"/>
      <c r="G148" s="44"/>
      <c r="H148" s="50"/>
      <c r="I148" s="50"/>
      <c r="J148" s="50"/>
      <c r="K148" s="161"/>
      <c r="M148" s="20"/>
      <c r="S148" s="18"/>
    </row>
    <row r="149" spans="1:19" ht="12.75" customHeight="1" x14ac:dyDescent="0.2">
      <c r="A149" s="107"/>
      <c r="B149" s="18"/>
      <c r="C149" s="18"/>
      <c r="D149" s="72"/>
      <c r="E149" s="224"/>
      <c r="F149" s="50"/>
      <c r="G149" s="145"/>
      <c r="H149" s="50"/>
      <c r="I149" s="50"/>
      <c r="J149" s="50"/>
      <c r="K149" s="44"/>
      <c r="M149" s="20"/>
      <c r="S149" s="18"/>
    </row>
    <row r="150" spans="1:19" ht="12.75" customHeight="1" x14ac:dyDescent="0.2">
      <c r="A150" s="107"/>
      <c r="B150" s="18"/>
      <c r="C150" s="18"/>
      <c r="D150" s="264"/>
      <c r="E150" s="73"/>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50"/>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5"/>
      <c r="E157" s="73"/>
      <c r="F157" s="50"/>
      <c r="G157" s="145"/>
      <c r="H157" s="50"/>
      <c r="I157" s="50"/>
      <c r="J157" s="50"/>
      <c r="K157" s="50"/>
      <c r="M157" s="20"/>
      <c r="S157" s="18"/>
    </row>
    <row r="158" spans="1:19" ht="12.75" customHeight="1" x14ac:dyDescent="0.2">
      <c r="A158" s="107"/>
      <c r="B158" s="18"/>
      <c r="C158" s="18"/>
      <c r="D158" s="72"/>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hidden="1" customHeight="1" x14ac:dyDescent="0.2">
      <c r="A165" s="107" t="s">
        <v>59</v>
      </c>
      <c r="B165" s="18"/>
      <c r="C165" s="18"/>
      <c r="D165" s="72" t="s">
        <v>59</v>
      </c>
      <c r="E165" s="73"/>
      <c r="F165" s="50"/>
      <c r="G165" s="145">
        <f>+G141+H141+G143+H143</f>
        <v>40803479.390000001</v>
      </c>
      <c r="H165" s="50"/>
      <c r="I165" s="50"/>
      <c r="J165" s="50"/>
      <c r="K165" s="50"/>
      <c r="M165" s="20"/>
      <c r="S165" s="18"/>
    </row>
    <row r="166" spans="1:19" hidden="1" x14ac:dyDescent="0.2">
      <c r="B166" s="18"/>
      <c r="C166" s="18"/>
      <c r="E166" s="29"/>
      <c r="F166" s="19"/>
      <c r="G166" s="148"/>
      <c r="H166" s="19"/>
      <c r="I166" s="19"/>
      <c r="J166" s="19"/>
      <c r="K166" s="19"/>
      <c r="M166" s="20"/>
      <c r="S166" s="18"/>
    </row>
    <row r="167" spans="1:19" hidden="1" x14ac:dyDescent="0.2">
      <c r="A167" s="109" t="s">
        <v>60</v>
      </c>
      <c r="B167" s="18"/>
      <c r="C167" s="18"/>
      <c r="D167" s="78" t="s">
        <v>60</v>
      </c>
      <c r="E167" s="79"/>
      <c r="F167" s="80"/>
      <c r="G167" s="164"/>
      <c r="H167" s="80"/>
      <c r="I167" s="81"/>
      <c r="J167" s="81"/>
      <c r="K167" s="81"/>
      <c r="M167" s="20"/>
      <c r="S167" s="18"/>
    </row>
    <row r="168" spans="1:19" hidden="1" x14ac:dyDescent="0.2">
      <c r="A168" s="109" t="s">
        <v>138</v>
      </c>
      <c r="B168" s="18"/>
      <c r="C168" s="18"/>
      <c r="D168" s="82" t="s">
        <v>138</v>
      </c>
      <c r="E168" s="32">
        <v>0</v>
      </c>
      <c r="F168" s="32">
        <f>+F97+F98</f>
        <v>0</v>
      </c>
      <c r="G168" s="157"/>
      <c r="H168" s="32">
        <f>+H97+H98</f>
        <v>0</v>
      </c>
      <c r="I168" s="84">
        <f>+I97+I98</f>
        <v>0</v>
      </c>
      <c r="J168" s="84">
        <f>+J97+J98</f>
        <v>0</v>
      </c>
      <c r="K168" s="84">
        <f>+K97+K98</f>
        <v>0</v>
      </c>
      <c r="M168" s="20"/>
      <c r="S168" s="18"/>
    </row>
    <row r="169" spans="1:19" hidden="1" x14ac:dyDescent="0.2">
      <c r="A169" s="109" t="s">
        <v>140</v>
      </c>
      <c r="B169" s="18"/>
      <c r="C169" s="18"/>
      <c r="D169" s="82" t="s">
        <v>140</v>
      </c>
      <c r="E169" s="83">
        <f>+E12</f>
        <v>578872.59999999881</v>
      </c>
      <c r="F169" s="32">
        <f>+F98+F99</f>
        <v>0</v>
      </c>
      <c r="G169" s="165"/>
      <c r="H169" s="83"/>
      <c r="I169" s="84">
        <f>+I12</f>
        <v>3937387.4499999993</v>
      </c>
      <c r="J169" s="84">
        <f>+J12</f>
        <v>0</v>
      </c>
      <c r="K169" s="84">
        <f>+K12</f>
        <v>3937387.4499999993</v>
      </c>
      <c r="M169" s="20"/>
      <c r="S169" s="18"/>
    </row>
    <row r="170" spans="1:19" hidden="1" x14ac:dyDescent="0.2">
      <c r="A170" s="109" t="s">
        <v>142</v>
      </c>
      <c r="B170" s="18"/>
      <c r="C170" s="18"/>
      <c r="D170" s="82" t="s">
        <v>142</v>
      </c>
      <c r="E170" s="83">
        <f>+E19</f>
        <v>1926156.81</v>
      </c>
      <c r="F170" s="32">
        <f t="shared" ref="F170:F175" si="32">+F99+F100</f>
        <v>0</v>
      </c>
      <c r="G170" s="165"/>
      <c r="H170" s="83"/>
      <c r="I170" s="84">
        <f>+I19</f>
        <v>1758661.81</v>
      </c>
      <c r="J170" s="84">
        <f>+J19</f>
        <v>1927070.51</v>
      </c>
      <c r="K170" s="84">
        <f>+K19</f>
        <v>3685732.3200000003</v>
      </c>
      <c r="M170" s="20"/>
      <c r="S170" s="18"/>
    </row>
    <row r="171" spans="1:19" hidden="1" x14ac:dyDescent="0.2">
      <c r="A171" s="109" t="s">
        <v>141</v>
      </c>
      <c r="B171" s="18"/>
      <c r="C171" s="18"/>
      <c r="D171" s="82" t="s">
        <v>141</v>
      </c>
      <c r="E171" s="83">
        <f>+E24</f>
        <v>1721379.8300000012</v>
      </c>
      <c r="F171" s="32">
        <f t="shared" si="32"/>
        <v>0</v>
      </c>
      <c r="G171" s="165"/>
      <c r="H171" s="83"/>
      <c r="I171" s="84">
        <f>+I24</f>
        <v>1454905.8000000012</v>
      </c>
      <c r="J171" s="84">
        <f>+J24</f>
        <v>-266473.8</v>
      </c>
      <c r="K171" s="84">
        <f>+K24</f>
        <v>1188432.0000000012</v>
      </c>
      <c r="M171" s="20"/>
      <c r="S171" s="18"/>
    </row>
    <row r="172" spans="1:19" hidden="1" x14ac:dyDescent="0.2">
      <c r="A172" s="109" t="s">
        <v>61</v>
      </c>
      <c r="B172" s="18"/>
      <c r="C172" s="18"/>
      <c r="D172" s="82" t="s">
        <v>61</v>
      </c>
      <c r="E172" s="32">
        <f>+E30</f>
        <v>-1826417.7999999998</v>
      </c>
      <c r="F172" s="32">
        <f t="shared" si="32"/>
        <v>0</v>
      </c>
      <c r="G172" s="157"/>
      <c r="H172" s="32"/>
      <c r="I172" s="84">
        <f>+I30</f>
        <v>2178393.2000000002</v>
      </c>
      <c r="J172" s="84">
        <f>+J30</f>
        <v>0</v>
      </c>
      <c r="K172" s="84">
        <f>+K30</f>
        <v>2178393.2000000002</v>
      </c>
      <c r="M172" s="20"/>
      <c r="S172" s="18"/>
    </row>
    <row r="173" spans="1:19" hidden="1" x14ac:dyDescent="0.2">
      <c r="A173" s="109" t="s">
        <v>143</v>
      </c>
      <c r="B173" s="18"/>
      <c r="C173" s="18"/>
      <c r="D173" s="82" t="s">
        <v>143</v>
      </c>
      <c r="E173" s="32">
        <f>+E82</f>
        <v>38182309.879999995</v>
      </c>
      <c r="F173" s="32">
        <f t="shared" si="32"/>
        <v>0</v>
      </c>
      <c r="G173" s="157"/>
      <c r="H173" s="32"/>
      <c r="I173" s="84">
        <f>+I82</f>
        <v>55499154.210000001</v>
      </c>
      <c r="J173" s="84">
        <f>+J82</f>
        <v>-1660596.71</v>
      </c>
      <c r="K173" s="84">
        <f>+K82</f>
        <v>53838557.499999993</v>
      </c>
      <c r="M173" s="20"/>
      <c r="S173" s="18"/>
    </row>
    <row r="174" spans="1:19" hidden="1" x14ac:dyDescent="0.2">
      <c r="A174" s="109" t="s">
        <v>151</v>
      </c>
      <c r="B174" s="18"/>
      <c r="C174" s="18"/>
      <c r="D174" s="82" t="s">
        <v>151</v>
      </c>
      <c r="E174" s="32">
        <f>+E95</f>
        <v>28289046.040000003</v>
      </c>
      <c r="F174" s="32">
        <f t="shared" si="32"/>
        <v>0</v>
      </c>
      <c r="G174" s="157"/>
      <c r="H174" s="32"/>
      <c r="I174" s="84">
        <f>+I95</f>
        <v>59908807.080000006</v>
      </c>
      <c r="J174" s="84">
        <f>+J95</f>
        <v>0</v>
      </c>
      <c r="K174" s="84">
        <f>+K95</f>
        <v>59908807.080000006</v>
      </c>
      <c r="M174" s="20"/>
      <c r="S174" s="18"/>
    </row>
    <row r="175" spans="1:19" hidden="1" x14ac:dyDescent="0.2">
      <c r="A175" s="109" t="s">
        <v>62</v>
      </c>
      <c r="B175" s="18"/>
      <c r="C175" s="18"/>
      <c r="D175" s="82" t="s">
        <v>62</v>
      </c>
      <c r="E175" s="32">
        <v>0</v>
      </c>
      <c r="F175" s="32">
        <f t="shared" si="32"/>
        <v>0</v>
      </c>
      <c r="G175" s="157"/>
      <c r="H175" s="32"/>
      <c r="I175" s="84">
        <v>0</v>
      </c>
      <c r="J175" s="84">
        <v>0</v>
      </c>
      <c r="K175" s="84">
        <v>0</v>
      </c>
      <c r="M175" s="20"/>
      <c r="S175" s="18"/>
    </row>
    <row r="176" spans="1:19" hidden="1" x14ac:dyDescent="0.2">
      <c r="A176" s="109" t="s">
        <v>152</v>
      </c>
      <c r="B176" s="18"/>
      <c r="C176" s="18"/>
      <c r="D176" s="82" t="s">
        <v>152</v>
      </c>
      <c r="E176" s="32">
        <f>+E111</f>
        <v>-2668311.25</v>
      </c>
      <c r="F176" s="32" t="e">
        <f>+F105+#REF!</f>
        <v>#REF!</v>
      </c>
      <c r="G176" s="157"/>
      <c r="H176" s="32"/>
      <c r="I176" s="84">
        <f>+I111</f>
        <v>-12173292.280000001</v>
      </c>
      <c r="J176" s="84">
        <f>+J111</f>
        <v>0</v>
      </c>
      <c r="K176" s="84">
        <f>+K111</f>
        <v>-12173292.280000001</v>
      </c>
      <c r="M176" s="20"/>
      <c r="S176" s="18"/>
    </row>
    <row r="177" spans="1:19" hidden="1" x14ac:dyDescent="0.2">
      <c r="A177" s="109"/>
      <c r="B177" s="18"/>
      <c r="C177" s="18"/>
      <c r="D177" s="82" t="s">
        <v>189</v>
      </c>
      <c r="E177" s="32">
        <f>E116</f>
        <v>0</v>
      </c>
      <c r="F177" s="32"/>
      <c r="G177" s="157"/>
      <c r="H177" s="32"/>
      <c r="I177" s="84">
        <f>I116</f>
        <v>0</v>
      </c>
      <c r="J177" s="84">
        <f>J116</f>
        <v>0</v>
      </c>
      <c r="K177" s="84">
        <f>K116</f>
        <v>0</v>
      </c>
      <c r="M177" s="20"/>
      <c r="S177" s="18"/>
    </row>
    <row r="178" spans="1:19" hidden="1" x14ac:dyDescent="0.2">
      <c r="A178" s="109" t="s">
        <v>154</v>
      </c>
      <c r="B178" s="18"/>
      <c r="C178" s="18"/>
      <c r="D178" s="82" t="s">
        <v>154</v>
      </c>
      <c r="E178" s="32">
        <f>+E119</f>
        <v>-4937507.7300000004</v>
      </c>
      <c r="F178" s="32" t="e">
        <f>+#REF!+#REF!</f>
        <v>#REF!</v>
      </c>
      <c r="G178" s="157"/>
      <c r="H178" s="32"/>
      <c r="I178" s="84">
        <f>+I119</f>
        <v>0</v>
      </c>
      <c r="J178" s="84">
        <f>+J119</f>
        <v>0</v>
      </c>
      <c r="K178" s="84">
        <f>+K119</f>
        <v>0</v>
      </c>
      <c r="M178" s="20"/>
      <c r="S178" s="18"/>
    </row>
    <row r="179" spans="1:19" hidden="1" x14ac:dyDescent="0.2">
      <c r="A179" s="109" t="s">
        <v>153</v>
      </c>
      <c r="B179" s="18"/>
      <c r="C179" s="18"/>
      <c r="D179" s="82" t="s">
        <v>153</v>
      </c>
      <c r="E179" s="32">
        <f>+E127</f>
        <v>-15853.620000000004</v>
      </c>
      <c r="F179" s="32" t="e">
        <f>+#REF!+F106</f>
        <v>#REF!</v>
      </c>
      <c r="G179" s="157"/>
      <c r="H179" s="32"/>
      <c r="I179" s="84">
        <f>+I127</f>
        <v>-451084.05</v>
      </c>
      <c r="J179" s="84">
        <f>+J127</f>
        <v>0</v>
      </c>
      <c r="K179" s="84">
        <f>+K127</f>
        <v>-451084.05</v>
      </c>
      <c r="M179" s="20"/>
      <c r="S179" s="18"/>
    </row>
    <row r="180" spans="1:19" hidden="1" x14ac:dyDescent="0.2">
      <c r="A180" s="109" t="s">
        <v>155</v>
      </c>
      <c r="B180" s="18"/>
      <c r="C180" s="18"/>
      <c r="D180" s="82" t="s">
        <v>155</v>
      </c>
      <c r="E180" s="32">
        <f>+E137</f>
        <v>-48032371.590000004</v>
      </c>
      <c r="F180" s="32">
        <f t="shared" ref="F180" si="33">+F106+F107</f>
        <v>0</v>
      </c>
      <c r="G180" s="157"/>
      <c r="H180" s="32"/>
      <c r="I180" s="84">
        <f>+I137</f>
        <v>-45877596.519999996</v>
      </c>
      <c r="J180" s="84">
        <f>+J137</f>
        <v>0</v>
      </c>
      <c r="K180" s="84">
        <f>+K137</f>
        <v>-45877596.519999996</v>
      </c>
      <c r="M180" s="20"/>
      <c r="S180" s="18"/>
    </row>
    <row r="181" spans="1:19" hidden="1" x14ac:dyDescent="0.2">
      <c r="A181" s="109"/>
      <c r="B181" s="18"/>
      <c r="C181" s="18"/>
      <c r="D181" s="85"/>
      <c r="E181" s="83"/>
      <c r="F181" s="83"/>
      <c r="G181" s="165"/>
      <c r="H181" s="83"/>
      <c r="I181" s="86"/>
      <c r="J181" s="86"/>
      <c r="K181" s="86"/>
      <c r="M181" s="20"/>
      <c r="S181" s="18"/>
    </row>
    <row r="182" spans="1:19" hidden="1" x14ac:dyDescent="0.2">
      <c r="A182" s="109" t="s">
        <v>121</v>
      </c>
      <c r="B182" s="18"/>
      <c r="C182" s="18"/>
      <c r="D182" s="87" t="s">
        <v>121</v>
      </c>
      <c r="E182" s="88">
        <f>SUM(E168:E181)</f>
        <v>13217303.169999994</v>
      </c>
      <c r="F182" s="88" t="e">
        <f>SUM(F172:F181)</f>
        <v>#REF!</v>
      </c>
      <c r="G182" s="166"/>
      <c r="H182" s="88"/>
      <c r="I182" s="89">
        <f>SUM(I168:I181)</f>
        <v>66235336.700000018</v>
      </c>
      <c r="J182" s="89">
        <f>SUM(J168:J181)</f>
        <v>0</v>
      </c>
      <c r="K182" s="89">
        <f>SUM(K168:K181)</f>
        <v>66235336.700000018</v>
      </c>
      <c r="M182" s="20"/>
      <c r="S182" s="18"/>
    </row>
    <row r="183" spans="1:19" hidden="1" x14ac:dyDescent="0.2">
      <c r="B183" s="18"/>
      <c r="C183" s="18"/>
      <c r="F183" s="19"/>
      <c r="G183" s="148"/>
      <c r="H183" s="19"/>
      <c r="I183" s="19"/>
      <c r="J183" s="19"/>
      <c r="K183" s="19"/>
      <c r="M183" s="20"/>
      <c r="S183" s="18"/>
    </row>
    <row r="184" spans="1:19" hidden="1" x14ac:dyDescent="0.2">
      <c r="B184" s="18"/>
      <c r="C184" s="18"/>
      <c r="E184" s="19">
        <f>+E182-E141</f>
        <v>-1419065.3700000048</v>
      </c>
      <c r="F184" s="19"/>
      <c r="G184" s="148"/>
      <c r="H184" s="19"/>
      <c r="I184" s="19">
        <f>+I182-I141</f>
        <v>1913063.1099999994</v>
      </c>
      <c r="J184" s="19">
        <f>+J182-J141</f>
        <v>0</v>
      </c>
      <c r="K184" s="19">
        <f>+K182-K141</f>
        <v>1913063.1100000292</v>
      </c>
      <c r="M184" s="20"/>
      <c r="S184" s="18"/>
    </row>
    <row r="185" spans="1:19" hidden="1" x14ac:dyDescent="0.2">
      <c r="B185" s="18"/>
      <c r="C185" s="18"/>
      <c r="F185" s="19"/>
      <c r="G185" s="148"/>
      <c r="H185" s="19"/>
      <c r="I185" s="19"/>
      <c r="J185" s="19"/>
      <c r="K185" s="19"/>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A188" s="100" t="s">
        <v>63</v>
      </c>
      <c r="B188" s="18"/>
      <c r="C188" s="18"/>
      <c r="D188" s="4" t="s">
        <v>63</v>
      </c>
      <c r="F188" s="19"/>
      <c r="G188" s="148">
        <f>+G34+G42+G44+G46+G48+G87+G57+G59+G15+G50+G66+G55+G65</f>
        <v>124388</v>
      </c>
      <c r="H188" s="19">
        <f>+H34+H52+H42+H44+H46+H48+H87+H57+H59+H15+H50+H66+H55</f>
        <v>0</v>
      </c>
      <c r="I188" s="19"/>
      <c r="J188" s="19"/>
      <c r="K188" s="19"/>
      <c r="M188" s="20"/>
      <c r="S188" s="18"/>
    </row>
    <row r="189" spans="1:19" hidden="1" x14ac:dyDescent="0.2">
      <c r="A189" s="100" t="s">
        <v>64</v>
      </c>
      <c r="B189" s="18"/>
      <c r="C189" s="18"/>
      <c r="D189" s="34" t="s">
        <v>64</v>
      </c>
      <c r="F189" s="19"/>
      <c r="G189" s="148">
        <f>+G9+G97+G10</f>
        <v>3358514.85</v>
      </c>
      <c r="H189" s="19">
        <f>+H9+H97+H10</f>
        <v>0</v>
      </c>
      <c r="I189" s="19"/>
      <c r="J189" s="19"/>
      <c r="K189" s="19"/>
      <c r="M189" s="20"/>
      <c r="S189" s="18"/>
    </row>
    <row r="190" spans="1:19" hidden="1" x14ac:dyDescent="0.2">
      <c r="A190" s="100" t="s">
        <v>65</v>
      </c>
      <c r="B190" s="18"/>
      <c r="C190" s="18"/>
      <c r="D190" s="34" t="s">
        <v>65</v>
      </c>
      <c r="F190" s="19"/>
      <c r="G190" s="148">
        <f>+G105+G106+G107+G108+G104+G109</f>
        <v>-9827272.7300000004</v>
      </c>
      <c r="H190" s="19">
        <f>+H105+H106+H107+H108+H104</f>
        <v>322291.7</v>
      </c>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67">
        <f>+G188+G189+G190-G145</f>
        <v>-6344369.8800000008</v>
      </c>
      <c r="H192" s="110">
        <f>+H188+H189+H190-H145</f>
        <v>322291.7</v>
      </c>
      <c r="I192" s="19"/>
      <c r="J192" s="19"/>
      <c r="K192" s="19"/>
      <c r="M192" s="20"/>
      <c r="S192" s="18"/>
    </row>
    <row r="193" spans="1:19" hidden="1" x14ac:dyDescent="0.2">
      <c r="B193" s="18"/>
      <c r="C193" s="18"/>
      <c r="F193" s="19"/>
      <c r="H193" s="29">
        <f>+H189+H190+H188+G188+G189+G190</f>
        <v>-6022078.1799999997</v>
      </c>
      <c r="I193" s="19"/>
      <c r="J193" s="19"/>
      <c r="K193" s="19"/>
      <c r="M193" s="20"/>
      <c r="S193" s="18"/>
    </row>
    <row r="194" spans="1:19" hidden="1" x14ac:dyDescent="0.2">
      <c r="B194" s="18"/>
      <c r="C194" s="18"/>
      <c r="F194" s="19"/>
      <c r="G194" s="148"/>
      <c r="H194" s="29">
        <f>+H193-G145-H145</f>
        <v>-6022078.1799999997</v>
      </c>
      <c r="I194" s="19"/>
      <c r="J194" s="19"/>
      <c r="K194" s="19"/>
      <c r="M194" s="20"/>
      <c r="S194" s="18"/>
    </row>
    <row r="195" spans="1:19" x14ac:dyDescent="0.2">
      <c r="B195" s="18"/>
      <c r="C195" s="18"/>
      <c r="F195" s="19"/>
      <c r="G195" s="148"/>
      <c r="H195" s="19"/>
      <c r="I195" s="19"/>
      <c r="J195" s="19"/>
      <c r="K195" s="19"/>
      <c r="M195" s="20"/>
      <c r="S195" s="18"/>
    </row>
    <row r="196" spans="1:19" ht="12.75" hidden="1" customHeight="1" x14ac:dyDescent="0.2">
      <c r="B196" s="18"/>
      <c r="C196" s="18"/>
      <c r="F196" s="19"/>
      <c r="G196" s="148"/>
      <c r="H196" s="19"/>
      <c r="I196" s="19"/>
      <c r="J196" s="19"/>
      <c r="K196" s="19"/>
      <c r="M196" s="20"/>
      <c r="S196" s="18"/>
    </row>
    <row r="197" spans="1:19" ht="12.75" hidden="1" customHeight="1" x14ac:dyDescent="0.2">
      <c r="A197" s="101" t="s">
        <v>144</v>
      </c>
      <c r="B197" s="18"/>
      <c r="C197" s="18"/>
      <c r="D197" s="22" t="s">
        <v>144</v>
      </c>
      <c r="E197" s="4" t="s">
        <v>121</v>
      </c>
      <c r="F197" s="19" t="s">
        <v>147</v>
      </c>
      <c r="G197" s="148" t="s">
        <v>148</v>
      </c>
      <c r="H197" s="19"/>
      <c r="I197" s="19"/>
      <c r="J197" s="19"/>
      <c r="K197" s="19"/>
      <c r="M197" s="20"/>
      <c r="S197" s="18"/>
    </row>
    <row r="198" spans="1:19" ht="12.75" hidden="1" customHeight="1" x14ac:dyDescent="0.2">
      <c r="A198" s="101" t="s">
        <v>145</v>
      </c>
      <c r="B198" s="18"/>
      <c r="C198" s="18"/>
      <c r="D198" s="22" t="s">
        <v>145</v>
      </c>
      <c r="E198" s="19">
        <v>19066028.010000002</v>
      </c>
      <c r="F198" s="19">
        <v>62319564.710000008</v>
      </c>
      <c r="G198" s="148">
        <v>-43253536.700000003</v>
      </c>
      <c r="H198" s="19"/>
      <c r="I198" s="19"/>
      <c r="J198" s="19"/>
      <c r="K198" s="19"/>
      <c r="M198" s="20"/>
      <c r="S198" s="18"/>
    </row>
    <row r="199" spans="1:19" ht="12.75" hidden="1" customHeight="1" x14ac:dyDescent="0.2">
      <c r="A199" s="101" t="s">
        <v>146</v>
      </c>
      <c r="B199" s="18"/>
      <c r="C199" s="18"/>
      <c r="D199" s="22" t="s">
        <v>146</v>
      </c>
      <c r="F199" s="19"/>
      <c r="G199" s="148"/>
      <c r="H199" s="19"/>
      <c r="I199" s="19"/>
      <c r="J199" s="19"/>
      <c r="K199" s="19"/>
      <c r="M199" s="20"/>
      <c r="S199" s="18"/>
    </row>
    <row r="200" spans="1:19" ht="12.75" hidden="1" customHeight="1" x14ac:dyDescent="0.2">
      <c r="A200" s="100" t="s">
        <v>149</v>
      </c>
      <c r="B200" s="18"/>
      <c r="C200" s="18"/>
      <c r="D200" s="4" t="s">
        <v>149</v>
      </c>
      <c r="E200" s="29">
        <f>SUM(F200:G200)</f>
        <v>905563</v>
      </c>
      <c r="F200" s="19">
        <v>905563</v>
      </c>
      <c r="G200" s="148"/>
      <c r="H200" s="19"/>
      <c r="I200" s="19"/>
      <c r="J200" s="19"/>
      <c r="K200" s="19"/>
      <c r="M200" s="20"/>
      <c r="S200" s="18"/>
    </row>
    <row r="201" spans="1:19" ht="12.75" hidden="1" customHeight="1" x14ac:dyDescent="0.2">
      <c r="A201" s="100" t="s">
        <v>150</v>
      </c>
      <c r="B201" s="18"/>
      <c r="C201" s="18"/>
      <c r="D201" s="4" t="s">
        <v>150</v>
      </c>
      <c r="E201" s="29">
        <f>SUM(F201:G201)</f>
        <v>-905563</v>
      </c>
      <c r="G201" s="148">
        <v>-905563</v>
      </c>
      <c r="H201" s="19"/>
      <c r="I201" s="19"/>
      <c r="J201" s="19"/>
      <c r="K201" s="19"/>
      <c r="M201" s="20"/>
      <c r="S201" s="18"/>
    </row>
    <row r="202" spans="1:19" ht="12.75" hidden="1" customHeight="1" x14ac:dyDescent="0.2">
      <c r="B202" s="18"/>
      <c r="C202" s="18"/>
      <c r="F202" s="19"/>
      <c r="G202" s="148"/>
      <c r="H202" s="19"/>
      <c r="I202" s="19"/>
      <c r="J202" s="19"/>
      <c r="K202" s="19"/>
      <c r="M202" s="20"/>
      <c r="S202" s="18"/>
    </row>
    <row r="203" spans="1:19" ht="12.75" hidden="1" customHeight="1" x14ac:dyDescent="0.2">
      <c r="B203" s="18"/>
      <c r="C203" s="18"/>
      <c r="E203" s="94"/>
      <c r="F203" s="95"/>
      <c r="G203" s="169"/>
      <c r="H203" s="19"/>
      <c r="I203" s="19"/>
      <c r="J203" s="19"/>
      <c r="K203" s="19"/>
      <c r="M203" s="20"/>
      <c r="S203" s="18"/>
    </row>
    <row r="204" spans="1:19" ht="12.75" hidden="1" customHeight="1" x14ac:dyDescent="0.2">
      <c r="B204" s="18"/>
      <c r="C204" s="18"/>
      <c r="E204" s="29">
        <f>SUM(E198:E203)</f>
        <v>19066028.010000002</v>
      </c>
      <c r="F204" s="29">
        <f>SUM(F198:F203)</f>
        <v>63225127.710000008</v>
      </c>
      <c r="G204" s="151">
        <f>SUM(G198:G203)</f>
        <v>-44159099.700000003</v>
      </c>
      <c r="H204" s="19"/>
      <c r="I204" s="19"/>
      <c r="J204" s="19"/>
      <c r="K204" s="19"/>
      <c r="M204" s="20"/>
      <c r="S204" s="18"/>
    </row>
    <row r="205" spans="1:19" x14ac:dyDescent="0.2">
      <c r="B205" s="18"/>
      <c r="C205" s="18"/>
      <c r="E205" s="98"/>
      <c r="F205" s="19"/>
      <c r="G205" s="148"/>
      <c r="H205" s="19"/>
      <c r="I205" s="19"/>
      <c r="J205" s="19"/>
      <c r="K205" s="19"/>
      <c r="M205" s="20"/>
      <c r="S205" s="18"/>
    </row>
    <row r="206" spans="1:19" x14ac:dyDescent="0.2">
      <c r="B206" s="18"/>
      <c r="C206" s="18"/>
      <c r="E206" s="83"/>
      <c r="F206" s="19"/>
      <c r="G206" s="232"/>
      <c r="H206" s="19"/>
      <c r="I206" s="19"/>
      <c r="J206" s="19"/>
      <c r="K206" s="19"/>
      <c r="M206" s="20"/>
      <c r="S206" s="18"/>
    </row>
    <row r="207" spans="1:19" x14ac:dyDescent="0.2">
      <c r="B207" s="18"/>
      <c r="C207" s="18"/>
      <c r="E207" s="83"/>
      <c r="F207" s="19"/>
      <c r="G207" s="148"/>
      <c r="H207" s="19"/>
      <c r="I207" s="19"/>
      <c r="J207" s="19"/>
      <c r="K207" s="19"/>
      <c r="M207" s="20"/>
      <c r="S207" s="18"/>
    </row>
    <row r="208" spans="1:19" x14ac:dyDescent="0.2">
      <c r="B208" s="18"/>
      <c r="C208" s="18"/>
      <c r="E208" s="234"/>
      <c r="F208" s="19"/>
      <c r="G208" s="148"/>
      <c r="H208" s="19"/>
      <c r="I208" s="19"/>
      <c r="J208" s="19"/>
      <c r="K208" s="19"/>
      <c r="M208" s="20"/>
      <c r="S208" s="18"/>
    </row>
    <row r="209" spans="1:19" x14ac:dyDescent="0.2">
      <c r="B209" s="18"/>
      <c r="C209" s="18"/>
      <c r="E209" s="98"/>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x14ac:dyDescent="0.2">
      <c r="H324" s="19"/>
    </row>
  </sheetData>
  <mergeCells count="1">
    <mergeCell ref="Q5:R5"/>
  </mergeCells>
  <conditionalFormatting sqref="H192 G194">
    <cfRule type="cellIs" dxfId="1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5"/>
  <sheetViews>
    <sheetView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79" t="s">
        <v>66</v>
      </c>
    </row>
    <row r="4" spans="1:22" x14ac:dyDescent="0.2">
      <c r="A4" s="99"/>
      <c r="B4" s="7"/>
      <c r="C4" s="3"/>
      <c r="D4" s="3"/>
      <c r="E4" s="212"/>
      <c r="F4" s="8"/>
      <c r="G4" s="215"/>
      <c r="H4" s="216"/>
      <c r="I4" s="202"/>
      <c r="J4" s="202"/>
      <c r="K4" s="202"/>
      <c r="M4" s="10"/>
      <c r="P4" s="279" t="s">
        <v>1</v>
      </c>
    </row>
    <row r="5" spans="1:22" x14ac:dyDescent="0.2">
      <c r="E5" s="217" t="s">
        <v>208</v>
      </c>
      <c r="F5" s="279" t="s">
        <v>3</v>
      </c>
      <c r="G5" s="279" t="s">
        <v>4</v>
      </c>
      <c r="H5" s="279"/>
      <c r="I5" s="204" t="s">
        <v>208</v>
      </c>
      <c r="J5" s="261" t="s">
        <v>180</v>
      </c>
      <c r="K5" s="204" t="s">
        <v>209</v>
      </c>
      <c r="L5" s="279" t="s">
        <v>5</v>
      </c>
      <c r="M5" s="11" t="s">
        <v>6</v>
      </c>
      <c r="N5" s="11" t="s">
        <v>0</v>
      </c>
      <c r="O5" s="11" t="s">
        <v>8</v>
      </c>
      <c r="P5" s="279" t="s">
        <v>9</v>
      </c>
      <c r="Q5" s="576" t="s">
        <v>10</v>
      </c>
      <c r="R5" s="576"/>
      <c r="U5" s="12" t="s">
        <v>11</v>
      </c>
    </row>
    <row r="6" spans="1:22" x14ac:dyDescent="0.2">
      <c r="E6" s="218">
        <v>42735</v>
      </c>
      <c r="F6" s="13" t="s">
        <v>12</v>
      </c>
      <c r="G6" s="14" t="s">
        <v>13</v>
      </c>
      <c r="H6" s="14" t="s">
        <v>8</v>
      </c>
      <c r="I6" s="205">
        <v>42766</v>
      </c>
      <c r="J6" s="261" t="s">
        <v>210</v>
      </c>
      <c r="K6" s="205">
        <f>I6</f>
        <v>42766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2016'!$A$1:$I$252,9,FALSE)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2016'!$A$1:$I$252,9,FALSE)</f>
        <v>3937387.45</v>
      </c>
      <c r="F10" s="33">
        <v>0</v>
      </c>
      <c r="G10" s="33">
        <v>-3937387.45</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3937387.4499999993</v>
      </c>
      <c r="F12" s="29">
        <f t="shared" ref="F12:J12" si="0">SUM(F9:F10)</f>
        <v>0</v>
      </c>
      <c r="G12" s="29">
        <f t="shared" si="0"/>
        <v>-3937387.45</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2016'!$A$1:$I$252,9,FALSE)</f>
        <v>410398.81000000006</v>
      </c>
      <c r="F15" s="30">
        <v>0</v>
      </c>
      <c r="G15" s="33">
        <v>0</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Dec 2016'!$A$1:$I$252,9,FALSE)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Dec 2015'!$A$1:$I$252,9,FALSE)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0</v>
      </c>
      <c r="H19" s="29">
        <f t="shared" si="2"/>
        <v>0</v>
      </c>
      <c r="I19" s="269">
        <f t="shared" si="2"/>
        <v>1758661.81</v>
      </c>
      <c r="J19" s="49">
        <f t="shared" si="2"/>
        <v>1927070.51</v>
      </c>
      <c r="K19" s="269">
        <f>SUM(K15:K18)</f>
        <v>3685732.3200000003</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2016'!$A$1:$I$252,9,FALSE)</f>
        <v>1454905.8000000012</v>
      </c>
      <c r="F22" s="33">
        <v>0</v>
      </c>
      <c r="G22" s="33">
        <v>0</v>
      </c>
      <c r="H22" s="33">
        <v>-22206.18</v>
      </c>
      <c r="I22" s="115">
        <f>E22+F22+G22+H22</f>
        <v>1432699.6200000013</v>
      </c>
      <c r="J22" s="30">
        <v>-266473.8</v>
      </c>
      <c r="K22" s="115">
        <f>I22+J22</f>
        <v>1166225.8200000012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1454905.8000000012</v>
      </c>
      <c r="F24" s="29">
        <f t="shared" ref="F24:K24" si="3">SUM(F22:F23)</f>
        <v>0</v>
      </c>
      <c r="G24" s="29">
        <f t="shared" si="3"/>
        <v>0</v>
      </c>
      <c r="H24" s="29">
        <f t="shared" si="3"/>
        <v>-22206.18</v>
      </c>
      <c r="I24" s="269">
        <f t="shared" si="3"/>
        <v>1432699.6200000013</v>
      </c>
      <c r="J24" s="49">
        <f t="shared" si="3"/>
        <v>-266473.8</v>
      </c>
      <c r="K24" s="269">
        <f t="shared" si="3"/>
        <v>1166225.8200000012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2016'!$A$1:$I$252,9,FALSE)</f>
        <v>2178393</v>
      </c>
      <c r="F27" s="33">
        <v>0</v>
      </c>
      <c r="G27" s="144">
        <v>0</v>
      </c>
      <c r="H27" s="29">
        <v>0</v>
      </c>
      <c r="I27" s="115">
        <f>E27+F27+G27+H27</f>
        <v>2178393</v>
      </c>
      <c r="J27" s="33">
        <v>0</v>
      </c>
      <c r="K27" s="115">
        <f>I27+J27</f>
        <v>2178393</v>
      </c>
      <c r="L27" s="210" t="s">
        <v>22</v>
      </c>
      <c r="M27" s="226"/>
      <c r="S27" s="28" t="s">
        <v>23</v>
      </c>
    </row>
    <row r="28" spans="1:21" ht="13.5" customHeight="1" x14ac:dyDescent="0.2">
      <c r="A28" s="100" t="s">
        <v>80</v>
      </c>
      <c r="B28" s="28"/>
      <c r="C28" s="28" t="s">
        <v>24</v>
      </c>
      <c r="D28" s="4" t="s">
        <v>204</v>
      </c>
      <c r="E28" s="32">
        <f>VLOOKUP(A28,'DEK Dec 2016'!$A$1:$I$252,9,FALSE)</f>
        <v>0.20000000018626451</v>
      </c>
      <c r="F28" s="33">
        <v>0</v>
      </c>
      <c r="G28" s="33">
        <v>-436402</v>
      </c>
      <c r="H28" s="32">
        <v>0</v>
      </c>
      <c r="I28" s="115">
        <f>E28+F28+G28+H28</f>
        <v>-436401.79999999981</v>
      </c>
      <c r="J28" s="33">
        <v>0</v>
      </c>
      <c r="K28" s="115">
        <f>I28+J28</f>
        <v>-436401.79999999981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2178393.2000000002</v>
      </c>
      <c r="F30" s="44">
        <f t="shared" ref="F30:K30" si="4">SUM(F27:F28)</f>
        <v>0</v>
      </c>
      <c r="G30" s="33">
        <f t="shared" si="4"/>
        <v>-436402</v>
      </c>
      <c r="H30" s="33">
        <f t="shared" si="4"/>
        <v>0</v>
      </c>
      <c r="I30" s="269">
        <f t="shared" si="4"/>
        <v>1741991.2000000002</v>
      </c>
      <c r="J30" s="33">
        <f t="shared" si="4"/>
        <v>0</v>
      </c>
      <c r="K30" s="269">
        <f t="shared" si="4"/>
        <v>1741991.2000000002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2016'!$A$1:$I$252,9,FALSE)</f>
        <v>1660596.7100000018</v>
      </c>
      <c r="F52" s="33">
        <v>0</v>
      </c>
      <c r="G52" s="33">
        <v>-804806.77</v>
      </c>
      <c r="H52" s="33">
        <v>0</v>
      </c>
      <c r="I52" s="115">
        <f>E52+F52+G52+H52</f>
        <v>855789.94000000181</v>
      </c>
      <c r="J52" s="50">
        <v>-1660596.71</v>
      </c>
      <c r="K52" s="115">
        <f>I52+J52</f>
        <v>-804806.76999999816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2016'!$A$1:$I$252,9,FALSE)</f>
        <v>5110664</v>
      </c>
      <c r="F53" s="33">
        <v>0</v>
      </c>
      <c r="G53" s="33">
        <v>0</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Dec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2016'!$A$1:$I$252,9,FALSE)</f>
        <v>1600000</v>
      </c>
      <c r="F59" s="33">
        <v>0</v>
      </c>
      <c r="G59" s="33">
        <v>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Dec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2016'!$A$1:$I$252,9,FALSE)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Dec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2016'!$A$1:$I$252,9,FALSE)</f>
        <v>23462463.969999999</v>
      </c>
      <c r="F67" s="172"/>
      <c r="G67" s="33">
        <v>836459.57</v>
      </c>
      <c r="H67" s="172"/>
      <c r="I67" s="115">
        <f t="shared" si="5"/>
        <v>24298923.539999999</v>
      </c>
      <c r="J67" s="172"/>
      <c r="K67" s="115">
        <f t="shared" si="6"/>
        <v>24298923.539999999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hidden="1" customHeight="1" x14ac:dyDescent="0.35">
      <c r="A69" s="100" t="s">
        <v>238</v>
      </c>
      <c r="B69" s="28"/>
      <c r="C69" s="28" t="s">
        <v>236</v>
      </c>
      <c r="D69" s="4" t="s">
        <v>238</v>
      </c>
      <c r="E69" s="32">
        <f>VLOOKUP(A69,'DEK Dec 2015'!$A$1:$I$252,9,FALSE)</f>
        <v>0</v>
      </c>
      <c r="F69" s="172"/>
      <c r="G69" s="33">
        <v>0</v>
      </c>
      <c r="H69" s="33"/>
      <c r="I69" s="115">
        <f t="shared" si="5"/>
        <v>0</v>
      </c>
      <c r="J69" s="33"/>
      <c r="K69" s="115">
        <f t="shared" si="6"/>
        <v>0</v>
      </c>
      <c r="L69" s="210" t="s">
        <v>251</v>
      </c>
      <c r="M69" s="20"/>
      <c r="S69" s="18"/>
    </row>
    <row r="70" spans="1:19" ht="12.75" hidden="1"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2016'!$A$1:$I$252,9,FALSE)</f>
        <v>8034024.8599999994</v>
      </c>
      <c r="F71" s="172"/>
      <c r="G71" s="33">
        <v>415955.37</v>
      </c>
      <c r="H71" s="33">
        <v>0</v>
      </c>
      <c r="I71" s="115">
        <f t="shared" si="5"/>
        <v>8449980.2299999986</v>
      </c>
      <c r="J71" s="33"/>
      <c r="K71" s="115">
        <f t="shared" si="6"/>
        <v>8449980.2299999986</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Dec 2016'!$A$1:$I$252,9,FALSE)</f>
        <v>-258566.82</v>
      </c>
      <c r="F73" s="172"/>
      <c r="G73" s="33">
        <v>-32616.54</v>
      </c>
      <c r="H73" s="33">
        <v>0</v>
      </c>
      <c r="I73" s="115">
        <f t="shared" si="5"/>
        <v>-291183.35999999999</v>
      </c>
      <c r="J73" s="33"/>
      <c r="K73" s="115">
        <f t="shared" si="6"/>
        <v>-291183.35999999999</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2016'!$A$1:$I$252,9,FALSE)</f>
        <v>8804744.7300000004</v>
      </c>
      <c r="F77" s="172"/>
      <c r="G77" s="33">
        <v>362786.77</v>
      </c>
      <c r="H77" s="33">
        <v>0</v>
      </c>
      <c r="I77" s="115">
        <f t="shared" ref="I77" si="9">E77+F77+G77+H77</f>
        <v>9167531.5</v>
      </c>
      <c r="J77" s="33"/>
      <c r="K77" s="115">
        <f t="shared" ref="K77" si="10">I77+J77</f>
        <v>9167531.5</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v>0</v>
      </c>
      <c r="F79" s="172"/>
      <c r="G79" s="33">
        <v>647.5</v>
      </c>
      <c r="H79" s="33">
        <v>0</v>
      </c>
      <c r="I79" s="115">
        <f t="shared" ref="I79" si="11">E79+F79+G79+H79</f>
        <v>647.5</v>
      </c>
      <c r="J79" s="33"/>
      <c r="K79" s="115">
        <f t="shared" ref="K79" si="12">I79+J79</f>
        <v>647.5</v>
      </c>
      <c r="L79" s="210" t="s">
        <v>22</v>
      </c>
      <c r="M79" s="20" t="s">
        <v>247</v>
      </c>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Dec 2015'!$A$1:$I$252,9,FALSE)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v>2172194.7599999998</v>
      </c>
      <c r="F83" s="174"/>
      <c r="G83" s="150">
        <v>0</v>
      </c>
      <c r="H83" s="36">
        <v>0</v>
      </c>
      <c r="I83" s="116">
        <f t="shared" si="13"/>
        <v>2172194.7599999998</v>
      </c>
      <c r="J83" s="36"/>
      <c r="K83" s="116">
        <f t="shared" si="14"/>
        <v>2172194.7599999998</v>
      </c>
      <c r="M83" s="20"/>
      <c r="S83" s="18"/>
    </row>
    <row r="84" spans="1:21" x14ac:dyDescent="0.2">
      <c r="B84" s="54"/>
      <c r="C84" s="28"/>
      <c r="E84" s="221">
        <f>SUM(E42:E83)</f>
        <v>55499154.210000001</v>
      </c>
      <c r="F84" s="29">
        <f>SUM(F39:F65)+F36</f>
        <v>0</v>
      </c>
      <c r="G84" s="29">
        <f>SUM(G39:G83)+G36</f>
        <v>778425.89999999991</v>
      </c>
      <c r="H84" s="29">
        <f>SUM(H39:H83)+H36</f>
        <v>0</v>
      </c>
      <c r="I84" s="269">
        <f>SUM(I39:I83)+I36</f>
        <v>56277580.109999999</v>
      </c>
      <c r="J84" s="49">
        <f>SUM(J39:J83)+J36</f>
        <v>-1660596.71</v>
      </c>
      <c r="K84" s="275">
        <f>SUM(K39:K83)+K36</f>
        <v>54616983.399999999</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Dec 2016'!$A$1:$I$252,9,FALSE)</f>
        <v>3636612.62</v>
      </c>
      <c r="F86" s="35"/>
      <c r="G86" s="35">
        <v>-101054.61</v>
      </c>
      <c r="H86" s="35">
        <v>0</v>
      </c>
      <c r="I86" s="273">
        <f>E86+F86+G86+H86</f>
        <v>3535558.0100000002</v>
      </c>
      <c r="J86" s="274">
        <v>0</v>
      </c>
      <c r="K86" s="276">
        <f t="shared" ref="K86" si="15">I86+J86</f>
        <v>3535558.0100000002</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25.5" x14ac:dyDescent="0.2">
      <c r="A89" s="100" t="s">
        <v>125</v>
      </c>
      <c r="B89" s="28"/>
      <c r="C89" s="28" t="s">
        <v>73</v>
      </c>
      <c r="D89" s="4" t="s">
        <v>125</v>
      </c>
      <c r="E89" s="32">
        <v>1566515</v>
      </c>
      <c r="F89" s="30">
        <v>0</v>
      </c>
      <c r="G89" s="33">
        <v>0</v>
      </c>
      <c r="H89" s="30">
        <v>0</v>
      </c>
      <c r="I89" s="115">
        <f t="shared" ref="I89:I94" si="16">E89+F89+G89+H89</f>
        <v>1566515</v>
      </c>
      <c r="J89" s="30">
        <v>0</v>
      </c>
      <c r="K89" s="115">
        <f t="shared" ref="K89:K94" si="17">I89+J89</f>
        <v>1566515</v>
      </c>
      <c r="L89" s="210" t="s">
        <v>22</v>
      </c>
      <c r="M89" s="42" t="s">
        <v>126</v>
      </c>
      <c r="P89" s="58"/>
      <c r="S89" s="18">
        <v>186801</v>
      </c>
    </row>
    <row r="90" spans="1:21" x14ac:dyDescent="0.2">
      <c r="A90" s="100" t="s">
        <v>281</v>
      </c>
      <c r="B90" s="28"/>
      <c r="C90" s="28" t="s">
        <v>280</v>
      </c>
      <c r="D90" s="4" t="s">
        <v>281</v>
      </c>
      <c r="E90" s="32">
        <v>893007.52</v>
      </c>
      <c r="F90" s="30">
        <v>0</v>
      </c>
      <c r="G90" s="33">
        <v>0</v>
      </c>
      <c r="H90" s="30">
        <v>0</v>
      </c>
      <c r="I90" s="115">
        <f t="shared" si="16"/>
        <v>893007.52</v>
      </c>
      <c r="J90" s="30">
        <v>0</v>
      </c>
      <c r="K90" s="115">
        <f t="shared" si="17"/>
        <v>893007.52</v>
      </c>
      <c r="L90" s="210" t="s">
        <v>22</v>
      </c>
      <c r="M90" s="20"/>
      <c r="P90" s="58"/>
      <c r="S90" s="18">
        <v>186801</v>
      </c>
    </row>
    <row r="91" spans="1:21" x14ac:dyDescent="0.2">
      <c r="A91" s="100" t="s">
        <v>161</v>
      </c>
      <c r="B91" s="28"/>
      <c r="C91" s="28" t="s">
        <v>72</v>
      </c>
      <c r="D91" s="4" t="s">
        <v>224</v>
      </c>
      <c r="E91" s="32">
        <v>22515607.719999999</v>
      </c>
      <c r="F91" s="30">
        <v>0</v>
      </c>
      <c r="G91" s="33">
        <v>0</v>
      </c>
      <c r="H91" s="30">
        <v>0</v>
      </c>
      <c r="I91" s="115">
        <f t="shared" si="16"/>
        <v>22515607.719999999</v>
      </c>
      <c r="J91" s="30">
        <v>0</v>
      </c>
      <c r="K91" s="115">
        <f t="shared" si="17"/>
        <v>22515607.719999999</v>
      </c>
      <c r="L91" s="210" t="s">
        <v>22</v>
      </c>
      <c r="M91" s="20"/>
      <c r="P91" s="58"/>
      <c r="S91" s="18">
        <v>186801</v>
      </c>
    </row>
    <row r="92" spans="1:21" x14ac:dyDescent="0.2">
      <c r="A92" s="108" t="s">
        <v>171</v>
      </c>
      <c r="B92" s="28"/>
      <c r="C92" s="28" t="s">
        <v>122</v>
      </c>
      <c r="D92" s="4" t="s">
        <v>225</v>
      </c>
      <c r="E92" s="32">
        <v>2610153.5499999998</v>
      </c>
      <c r="F92" s="30">
        <v>0</v>
      </c>
      <c r="G92" s="33">
        <v>0</v>
      </c>
      <c r="H92" s="30">
        <v>0</v>
      </c>
      <c r="I92" s="115">
        <f t="shared" si="16"/>
        <v>2610153.5499999998</v>
      </c>
      <c r="J92" s="30">
        <v>0</v>
      </c>
      <c r="K92" s="115">
        <f t="shared" si="17"/>
        <v>2610153.5499999998</v>
      </c>
      <c r="L92" s="210" t="s">
        <v>22</v>
      </c>
      <c r="M92" s="20"/>
      <c r="P92" s="58"/>
      <c r="S92" s="18"/>
    </row>
    <row r="93" spans="1:21" x14ac:dyDescent="0.2">
      <c r="A93" s="108" t="s">
        <v>284</v>
      </c>
      <c r="B93" s="28"/>
      <c r="C93" s="28" t="s">
        <v>285</v>
      </c>
      <c r="D93" s="4" t="s">
        <v>284</v>
      </c>
      <c r="E93" s="32">
        <v>3983408.2</v>
      </c>
      <c r="F93" s="30">
        <v>0</v>
      </c>
      <c r="G93" s="33">
        <v>0</v>
      </c>
      <c r="H93" s="30">
        <v>0</v>
      </c>
      <c r="I93" s="115">
        <f t="shared" si="16"/>
        <v>3983408.2</v>
      </c>
      <c r="J93" s="30">
        <v>0</v>
      </c>
      <c r="K93" s="115">
        <f t="shared" si="17"/>
        <v>3983408.2</v>
      </c>
      <c r="L93" s="210" t="s">
        <v>22</v>
      </c>
      <c r="M93" s="20"/>
      <c r="P93" s="58"/>
      <c r="S93" s="18"/>
    </row>
    <row r="94" spans="1:21" x14ac:dyDescent="0.2">
      <c r="A94" s="108" t="s">
        <v>172</v>
      </c>
      <c r="B94" s="28"/>
      <c r="C94" s="28" t="s">
        <v>123</v>
      </c>
      <c r="D94" s="4" t="s">
        <v>226</v>
      </c>
      <c r="E94" s="32">
        <f>VLOOKUP(A94,'DEK Dec 2016'!$A$1:$I$252,9,FALSE)</f>
        <v>102533.1</v>
      </c>
      <c r="F94" s="30">
        <v>0</v>
      </c>
      <c r="G94" s="33">
        <v>0</v>
      </c>
      <c r="H94" s="30">
        <v>0</v>
      </c>
      <c r="I94" s="115">
        <f t="shared" si="16"/>
        <v>102533.1</v>
      </c>
      <c r="J94" s="30">
        <v>0</v>
      </c>
      <c r="K94" s="115">
        <f t="shared" si="17"/>
        <v>102533.1</v>
      </c>
      <c r="L94" s="210" t="s">
        <v>22</v>
      </c>
      <c r="M94" s="20"/>
      <c r="P94" s="58"/>
      <c r="S94" s="18"/>
    </row>
    <row r="95" spans="1:21" x14ac:dyDescent="0.2">
      <c r="B95" s="28"/>
      <c r="C95" s="28"/>
      <c r="E95" s="35"/>
      <c r="F95" s="36"/>
      <c r="G95" s="150"/>
      <c r="H95" s="36"/>
      <c r="I95" s="116"/>
      <c r="J95" s="36"/>
      <c r="K95" s="116"/>
      <c r="M95" s="20"/>
      <c r="P95" s="58"/>
      <c r="S95" s="18"/>
    </row>
    <row r="96" spans="1:21" x14ac:dyDescent="0.2">
      <c r="B96" s="28"/>
      <c r="C96" s="18"/>
      <c r="E96" s="221">
        <f t="shared" ref="E96:K96" si="18">SUM(E89:E95)</f>
        <v>31671225.09</v>
      </c>
      <c r="F96" s="29">
        <f t="shared" si="18"/>
        <v>0</v>
      </c>
      <c r="G96" s="29">
        <f t="shared" si="18"/>
        <v>0</v>
      </c>
      <c r="H96" s="29">
        <f t="shared" si="18"/>
        <v>0</v>
      </c>
      <c r="I96" s="269">
        <f t="shared" si="18"/>
        <v>31671225.09</v>
      </c>
      <c r="J96" s="29">
        <f t="shared" si="18"/>
        <v>0</v>
      </c>
      <c r="K96" s="269">
        <f t="shared" si="18"/>
        <v>31671225.09</v>
      </c>
      <c r="L96" s="280" t="s">
        <v>260</v>
      </c>
      <c r="M96" s="20"/>
      <c r="S96" s="18"/>
    </row>
    <row r="97" spans="1:20" ht="12.75" hidden="1" customHeight="1" x14ac:dyDescent="0.2">
      <c r="B97" s="54" t="s">
        <v>135</v>
      </c>
      <c r="C97" s="18"/>
      <c r="E97" s="32"/>
      <c r="F97" s="29"/>
      <c r="G97" s="151"/>
      <c r="H97" s="151"/>
      <c r="I97" s="117"/>
      <c r="J97" s="29"/>
      <c r="K97" s="117"/>
      <c r="M97" s="20"/>
      <c r="S97" s="18"/>
    </row>
    <row r="98" spans="1:20" ht="12.75" hidden="1" customHeight="1" x14ac:dyDescent="0.2">
      <c r="A98" s="100" t="s">
        <v>108</v>
      </c>
      <c r="B98" s="28"/>
      <c r="C98" s="28" t="s">
        <v>71</v>
      </c>
      <c r="D98" s="4" t="s">
        <v>108</v>
      </c>
      <c r="E98" s="32">
        <v>0</v>
      </c>
      <c r="F98" s="30">
        <v>0</v>
      </c>
      <c r="G98" s="152">
        <v>0</v>
      </c>
      <c r="H98" s="152">
        <v>0</v>
      </c>
      <c r="I98" s="115">
        <f t="shared" ref="I98:K99" si="19">E98+F98+G98+H98</f>
        <v>0</v>
      </c>
      <c r="J98" s="30">
        <f t="shared" si="19"/>
        <v>0</v>
      </c>
      <c r="K98" s="115">
        <f t="shared" si="19"/>
        <v>0</v>
      </c>
      <c r="M98" s="20"/>
      <c r="S98" s="18">
        <v>174995</v>
      </c>
    </row>
    <row r="99" spans="1:20" ht="12.75" hidden="1" customHeight="1" x14ac:dyDescent="0.2">
      <c r="A99" s="100" t="s">
        <v>139</v>
      </c>
      <c r="B99" s="28"/>
      <c r="C99" s="28" t="s">
        <v>124</v>
      </c>
      <c r="D99" s="4" t="s">
        <v>139</v>
      </c>
      <c r="E99" s="32">
        <v>0</v>
      </c>
      <c r="F99" s="30">
        <v>0</v>
      </c>
      <c r="G99" s="152">
        <v>0</v>
      </c>
      <c r="H99" s="152">
        <v>0</v>
      </c>
      <c r="I99" s="115">
        <f t="shared" si="19"/>
        <v>0</v>
      </c>
      <c r="J99" s="30">
        <f t="shared" si="19"/>
        <v>0</v>
      </c>
      <c r="K99" s="115">
        <f t="shared" si="19"/>
        <v>0</v>
      </c>
      <c r="M99" s="20"/>
      <c r="S99" s="18"/>
    </row>
    <row r="100" spans="1:20" ht="7.5" hidden="1" customHeight="1" x14ac:dyDescent="0.2">
      <c r="B100" s="28"/>
      <c r="C100" s="18"/>
      <c r="D100" s="59"/>
      <c r="E100" s="32"/>
      <c r="F100" s="30"/>
      <c r="G100" s="152"/>
      <c r="H100" s="152"/>
      <c r="I100" s="115"/>
      <c r="J100" s="30"/>
      <c r="K100" s="115"/>
      <c r="M100" s="20"/>
      <c r="P100" s="58"/>
      <c r="S100" s="18"/>
    </row>
    <row r="101" spans="1:20" x14ac:dyDescent="0.2">
      <c r="B101" s="28"/>
      <c r="C101" s="18"/>
      <c r="E101" s="32"/>
      <c r="F101" s="30"/>
      <c r="G101" s="152"/>
      <c r="H101" s="152"/>
      <c r="I101" s="115"/>
      <c r="J101" s="30"/>
      <c r="K101" s="115"/>
      <c r="M101" s="20"/>
      <c r="S101" s="18"/>
    </row>
    <row r="102" spans="1:20" x14ac:dyDescent="0.2">
      <c r="B102" s="18"/>
      <c r="C102" s="131" t="s">
        <v>41</v>
      </c>
      <c r="D102" s="135"/>
      <c r="E102" s="133">
        <f>+E12+E24+E30+E84+E86+E96+E98+E19+E99</f>
        <v>100136340.18000001</v>
      </c>
      <c r="F102" s="133">
        <f>+F12+F24+F30+F84+F96+F98+F19+F99</f>
        <v>0</v>
      </c>
      <c r="G102" s="133">
        <f>+G12+G24+G30+G84+G86+G96+G98+G19+G99</f>
        <v>-3696418.16</v>
      </c>
      <c r="H102" s="133">
        <f>+H12+H24+H30+H84+H86+H96+H98+H19+H99</f>
        <v>-22206.18</v>
      </c>
      <c r="I102" s="134">
        <f>+I12+I24+I30+I84+I86+I96+I98+I19+I99</f>
        <v>96417715.840000004</v>
      </c>
      <c r="J102" s="133">
        <f>+J12+J24+J30+J84+J86+J96+J98+J19+J99</f>
        <v>0</v>
      </c>
      <c r="K102" s="134">
        <f>+K12+K24+K30+K84+K86+K96+K98+K19+K99</f>
        <v>96417715.840000004</v>
      </c>
      <c r="M102" s="45"/>
      <c r="N102" s="143"/>
      <c r="S102" s="18"/>
    </row>
    <row r="103" spans="1:20" x14ac:dyDescent="0.2">
      <c r="A103" s="105"/>
      <c r="B103" s="18"/>
      <c r="C103" s="18"/>
      <c r="D103" s="12"/>
      <c r="E103" s="221"/>
      <c r="F103" s="50"/>
      <c r="G103" s="145"/>
      <c r="H103" s="145"/>
      <c r="I103" s="115"/>
      <c r="J103" s="30"/>
      <c r="K103" s="115"/>
      <c r="M103" s="45"/>
      <c r="S103" s="18"/>
    </row>
    <row r="104" spans="1:20" s="22" customFormat="1" x14ac:dyDescent="0.2">
      <c r="A104" s="106"/>
      <c r="B104" s="21" t="s">
        <v>130</v>
      </c>
      <c r="C104" s="46"/>
      <c r="D104" s="27"/>
      <c r="E104" s="222"/>
      <c r="F104" s="50"/>
      <c r="G104" s="145"/>
      <c r="H104" s="145"/>
      <c r="I104" s="113"/>
      <c r="J104" s="19"/>
      <c r="K104" s="113"/>
      <c r="M104" s="19"/>
      <c r="N104" s="20"/>
      <c r="O104" s="48"/>
      <c r="R104" s="57"/>
      <c r="S104" s="57"/>
    </row>
    <row r="105" spans="1:20" x14ac:dyDescent="0.2">
      <c r="A105" s="100" t="s">
        <v>114</v>
      </c>
      <c r="B105" s="18"/>
      <c r="C105" s="28" t="s">
        <v>52</v>
      </c>
      <c r="D105" s="4" t="s">
        <v>114</v>
      </c>
      <c r="E105" s="32">
        <f>VLOOKUP(A105,'DEK Dec 2015'!$A$1:$I$252,9,FALSE)</f>
        <v>2.9103830456733704E-10</v>
      </c>
      <c r="F105" s="30">
        <v>0</v>
      </c>
      <c r="G105" s="33">
        <v>4087465.87</v>
      </c>
      <c r="H105" s="144">
        <v>0</v>
      </c>
      <c r="I105" s="115">
        <f t="shared" ref="I105:I110" si="20">E105+F105+G105+H105</f>
        <v>4087465.8700000006</v>
      </c>
      <c r="J105" s="30">
        <v>0</v>
      </c>
      <c r="K105" s="115">
        <f t="shared" ref="K105:K110" si="21">I105+J105</f>
        <v>4087465.8700000006</v>
      </c>
      <c r="L105" s="210" t="s">
        <v>22</v>
      </c>
      <c r="M105" s="33"/>
      <c r="N105" s="42"/>
      <c r="O105" s="42"/>
      <c r="S105" s="18">
        <v>191400</v>
      </c>
      <c r="T105" s="58"/>
    </row>
    <row r="106" spans="1:20" x14ac:dyDescent="0.2">
      <c r="A106" s="100" t="s">
        <v>115</v>
      </c>
      <c r="B106" s="18"/>
      <c r="C106" s="28" t="s">
        <v>53</v>
      </c>
      <c r="D106" s="4" t="s">
        <v>115</v>
      </c>
      <c r="E106" s="32">
        <f>VLOOKUP(A106,'DEK Dec 2016'!$A$1:$I$252,9,FALSE)</f>
        <v>-2309471.4900000002</v>
      </c>
      <c r="F106" s="30">
        <v>0</v>
      </c>
      <c r="G106" s="33">
        <v>-948139.39</v>
      </c>
      <c r="H106" s="33">
        <v>0</v>
      </c>
      <c r="I106" s="115">
        <f t="shared" si="20"/>
        <v>-3257610.8800000004</v>
      </c>
      <c r="J106" s="30">
        <v>0</v>
      </c>
      <c r="K106" s="115">
        <f t="shared" si="21"/>
        <v>-3257610.8800000004</v>
      </c>
      <c r="L106" s="210" t="s">
        <v>22</v>
      </c>
      <c r="M106" s="30"/>
      <c r="N106" s="42"/>
      <c r="O106" s="42"/>
      <c r="S106" s="18">
        <v>191800</v>
      </c>
      <c r="T106" s="58"/>
    </row>
    <row r="107" spans="1:20" ht="12.75" customHeight="1" x14ac:dyDescent="0.2">
      <c r="A107" s="100" t="s">
        <v>117</v>
      </c>
      <c r="B107" s="18"/>
      <c r="C107" s="28" t="s">
        <v>77</v>
      </c>
      <c r="D107" s="4" t="s">
        <v>117</v>
      </c>
      <c r="E107" s="32">
        <f>VLOOKUP(A107,'DEK Dec 2016'!$A$1:$I$252,9,FALSE)</f>
        <v>-2502214.27</v>
      </c>
      <c r="F107" s="30">
        <v>0</v>
      </c>
      <c r="G107" s="30">
        <v>0</v>
      </c>
      <c r="H107" s="33">
        <v>0</v>
      </c>
      <c r="I107" s="115">
        <f t="shared" si="20"/>
        <v>-2502214.27</v>
      </c>
      <c r="J107" s="30">
        <v>0</v>
      </c>
      <c r="K107" s="115">
        <f t="shared" si="21"/>
        <v>-2502214.27</v>
      </c>
      <c r="L107" s="210" t="s">
        <v>22</v>
      </c>
      <c r="M107" s="20"/>
      <c r="N107" s="42"/>
      <c r="O107" s="42"/>
      <c r="S107" s="18">
        <v>242995</v>
      </c>
      <c r="T107" s="58"/>
    </row>
    <row r="108" spans="1:20" x14ac:dyDescent="0.2">
      <c r="A108" s="100" t="s">
        <v>119</v>
      </c>
      <c r="B108" s="18"/>
      <c r="C108" s="28" t="s">
        <v>118</v>
      </c>
      <c r="D108" s="4" t="s">
        <v>119</v>
      </c>
      <c r="E108" s="32">
        <f>VLOOKUP(A108,'DEK Dec 2016'!$A$1:$I$252,9,FALSE)</f>
        <v>-1214626.8500000006</v>
      </c>
      <c r="F108" s="30">
        <v>0</v>
      </c>
      <c r="G108" s="30">
        <v>93347.07</v>
      </c>
      <c r="H108" s="33">
        <v>0</v>
      </c>
      <c r="I108" s="115">
        <f t="shared" si="20"/>
        <v>-1121279.7800000005</v>
      </c>
      <c r="J108" s="30">
        <v>0</v>
      </c>
      <c r="K108" s="115">
        <f t="shared" si="21"/>
        <v>-1121279.7800000005</v>
      </c>
      <c r="L108" s="210" t="s">
        <v>22</v>
      </c>
      <c r="M108" s="20"/>
      <c r="N108" s="42"/>
      <c r="O108" s="42"/>
      <c r="S108" s="18">
        <v>242997</v>
      </c>
      <c r="T108" s="58"/>
    </row>
    <row r="109" spans="1:20" x14ac:dyDescent="0.2">
      <c r="A109" s="100" t="s">
        <v>120</v>
      </c>
      <c r="B109" s="18"/>
      <c r="C109" s="28" t="s">
        <v>54</v>
      </c>
      <c r="D109" s="4" t="s">
        <v>120</v>
      </c>
      <c r="E109" s="32">
        <f>VLOOKUP(A109,'DEK Dec 2016'!$A$1:$I$252,9,FALSE)</f>
        <v>-354896.08999999979</v>
      </c>
      <c r="F109" s="33">
        <v>0</v>
      </c>
      <c r="G109" s="33">
        <v>88085.79</v>
      </c>
      <c r="H109" s="144">
        <v>0</v>
      </c>
      <c r="I109" s="115">
        <f t="shared" si="20"/>
        <v>-266810.29999999981</v>
      </c>
      <c r="J109" s="33">
        <v>0</v>
      </c>
      <c r="K109" s="115">
        <f t="shared" si="21"/>
        <v>-266810.29999999981</v>
      </c>
      <c r="L109" s="210" t="s">
        <v>22</v>
      </c>
      <c r="M109" s="42"/>
      <c r="N109" s="42"/>
      <c r="O109" s="42"/>
      <c r="S109" s="18">
        <v>253130</v>
      </c>
      <c r="T109" s="58"/>
    </row>
    <row r="110" spans="1:20" x14ac:dyDescent="0.2">
      <c r="A110" s="100" t="s">
        <v>156</v>
      </c>
      <c r="B110" s="18"/>
      <c r="C110" s="28" t="s">
        <v>116</v>
      </c>
      <c r="D110" s="4" t="s">
        <v>211</v>
      </c>
      <c r="E110" s="32">
        <f>VLOOKUP(A110,'DEK Dec 2016'!$A$1:$I$252,9,FALSE)</f>
        <v>-5792083.5800000001</v>
      </c>
      <c r="F110" s="33"/>
      <c r="G110" s="33">
        <v>150770.20000000001</v>
      </c>
      <c r="H110" s="33">
        <v>0</v>
      </c>
      <c r="I110" s="115">
        <f t="shared" si="20"/>
        <v>-5641313.3799999999</v>
      </c>
      <c r="J110" s="30">
        <v>0</v>
      </c>
      <c r="K110" s="115">
        <f t="shared" si="21"/>
        <v>-5641313.3799999999</v>
      </c>
      <c r="M110" s="42"/>
      <c r="N110" s="42"/>
      <c r="O110" s="42"/>
      <c r="S110" s="18"/>
      <c r="T110" s="58"/>
    </row>
    <row r="111" spans="1:20" x14ac:dyDescent="0.2">
      <c r="B111" s="18"/>
      <c r="C111" s="28"/>
      <c r="E111" s="36"/>
      <c r="F111" s="36"/>
      <c r="G111" s="150"/>
      <c r="H111" s="150"/>
      <c r="I111" s="116"/>
      <c r="J111" s="36"/>
      <c r="K111" s="116"/>
      <c r="M111" s="42"/>
      <c r="N111" s="42"/>
      <c r="O111" s="42"/>
      <c r="S111" s="18"/>
      <c r="T111" s="58"/>
    </row>
    <row r="112" spans="1:20" x14ac:dyDescent="0.2">
      <c r="B112" s="18"/>
      <c r="C112" s="61"/>
      <c r="D112" s="34"/>
      <c r="E112" s="44">
        <f t="shared" ref="E112:K112" si="22">SUM(E105:E111)</f>
        <v>-12173292.280000001</v>
      </c>
      <c r="F112" s="33">
        <f t="shared" si="22"/>
        <v>0</v>
      </c>
      <c r="G112" s="33">
        <f t="shared" si="22"/>
        <v>3471529.54</v>
      </c>
      <c r="H112" s="33">
        <f t="shared" si="22"/>
        <v>0</v>
      </c>
      <c r="I112" s="269">
        <f t="shared" si="22"/>
        <v>-8701762.7400000002</v>
      </c>
      <c r="J112" s="33">
        <f t="shared" si="22"/>
        <v>0</v>
      </c>
      <c r="K112" s="269">
        <f t="shared" si="22"/>
        <v>-8701762.7400000002</v>
      </c>
      <c r="L112" s="280" t="s">
        <v>263</v>
      </c>
      <c r="M112" s="42"/>
      <c r="N112" s="42"/>
      <c r="O112" s="42"/>
      <c r="S112" s="18"/>
      <c r="T112" s="58"/>
    </row>
    <row r="113" spans="1:23" hidden="1" x14ac:dyDescent="0.2">
      <c r="B113" s="21" t="s">
        <v>188</v>
      </c>
      <c r="C113" s="61"/>
      <c r="D113" s="34"/>
      <c r="E113" s="33"/>
      <c r="F113" s="33"/>
      <c r="G113" s="144"/>
      <c r="H113" s="144"/>
      <c r="I113" s="115"/>
      <c r="J113" s="33"/>
      <c r="K113" s="115"/>
      <c r="M113" s="42"/>
      <c r="N113" s="42"/>
      <c r="O113" s="42"/>
      <c r="S113" s="18"/>
      <c r="T113" s="58"/>
    </row>
    <row r="114" spans="1:23" hidden="1" x14ac:dyDescent="0.2">
      <c r="A114" s="100" t="s">
        <v>185</v>
      </c>
      <c r="B114" s="18"/>
      <c r="C114" s="28" t="s">
        <v>186</v>
      </c>
      <c r="D114" s="4" t="s">
        <v>213</v>
      </c>
      <c r="E114" s="32">
        <v>0</v>
      </c>
      <c r="F114" s="33">
        <v>0</v>
      </c>
      <c r="G114" s="144">
        <v>0</v>
      </c>
      <c r="H114" s="144">
        <v>0</v>
      </c>
      <c r="I114" s="115">
        <f>E114+F114+G114+H114</f>
        <v>0</v>
      </c>
      <c r="J114" s="33">
        <v>0</v>
      </c>
      <c r="K114" s="115">
        <f>I114+J114</f>
        <v>0</v>
      </c>
      <c r="M114" s="42"/>
      <c r="N114" s="42"/>
      <c r="O114" s="42"/>
      <c r="S114" s="18"/>
      <c r="T114" s="58"/>
    </row>
    <row r="115" spans="1:23" ht="12.75" hidden="1" customHeight="1" x14ac:dyDescent="0.2">
      <c r="A115" s="100" t="s">
        <v>181</v>
      </c>
      <c r="B115" s="18"/>
      <c r="C115" s="28" t="s">
        <v>182</v>
      </c>
      <c r="D115" s="4" t="s">
        <v>213</v>
      </c>
      <c r="E115" s="32">
        <f>VLOOKUP(A115,'[23]DEK Jul 2013'!$A$1:$I$252,9,FALSE)</f>
        <v>0</v>
      </c>
      <c r="F115" s="33">
        <v>0</v>
      </c>
      <c r="G115" s="144">
        <v>0</v>
      </c>
      <c r="H115" s="144">
        <v>0</v>
      </c>
      <c r="I115" s="115">
        <f>E115+F115+G115+H115</f>
        <v>0</v>
      </c>
      <c r="J115" s="30">
        <v>0</v>
      </c>
      <c r="K115" s="115">
        <f>I115+J115</f>
        <v>0</v>
      </c>
      <c r="L115" s="4" t="s">
        <v>22</v>
      </c>
      <c r="M115" s="42"/>
      <c r="N115" s="42"/>
      <c r="O115" s="42"/>
      <c r="S115" s="18">
        <v>253130</v>
      </c>
      <c r="T115" s="58"/>
    </row>
    <row r="116" spans="1:23" hidden="1" x14ac:dyDescent="0.2">
      <c r="B116" s="18"/>
      <c r="C116" s="28"/>
      <c r="E116" s="33"/>
      <c r="F116" s="36"/>
      <c r="G116" s="150"/>
      <c r="H116" s="150"/>
      <c r="I116" s="116"/>
      <c r="J116" s="36"/>
      <c r="K116" s="116"/>
      <c r="M116" s="42"/>
      <c r="N116" s="42"/>
      <c r="O116" s="42"/>
      <c r="S116" s="18"/>
      <c r="T116" s="58"/>
    </row>
    <row r="117" spans="1:23" hidden="1" x14ac:dyDescent="0.2">
      <c r="B117" s="18"/>
      <c r="C117" s="28"/>
      <c r="E117" s="33">
        <f>SUM(E114:E115)</f>
        <v>0</v>
      </c>
      <c r="F117" s="33">
        <f t="shared" ref="F117:L117" si="23">SUM(F114:F115)</f>
        <v>0</v>
      </c>
      <c r="G117" s="144">
        <f t="shared" si="23"/>
        <v>0</v>
      </c>
      <c r="H117" s="144">
        <f t="shared" si="23"/>
        <v>0</v>
      </c>
      <c r="I117" s="128">
        <f>SUM(I114:I115)</f>
        <v>0</v>
      </c>
      <c r="J117" s="33">
        <f t="shared" si="23"/>
        <v>0</v>
      </c>
      <c r="K117" s="128">
        <f t="shared" si="23"/>
        <v>0</v>
      </c>
      <c r="L117" s="33">
        <f t="shared" si="23"/>
        <v>0</v>
      </c>
      <c r="M117" s="42"/>
      <c r="N117" s="42"/>
      <c r="O117" s="42"/>
      <c r="S117" s="18"/>
      <c r="T117" s="58"/>
    </row>
    <row r="118" spans="1:23" hidden="1" x14ac:dyDescent="0.2">
      <c r="B118" s="18"/>
      <c r="C118" s="61"/>
      <c r="D118" s="34"/>
      <c r="E118" s="33"/>
      <c r="F118" s="33"/>
      <c r="G118" s="144"/>
      <c r="H118" s="144"/>
      <c r="I118" s="115"/>
      <c r="J118" s="33"/>
      <c r="K118" s="115"/>
      <c r="M118" s="42"/>
      <c r="N118" s="42"/>
      <c r="O118" s="42"/>
      <c r="S118" s="18"/>
      <c r="T118" s="58"/>
    </row>
    <row r="119" spans="1:23" s="22" customFormat="1" x14ac:dyDescent="0.2">
      <c r="A119" s="101"/>
      <c r="B119" s="21" t="s">
        <v>214</v>
      </c>
      <c r="C119" s="63"/>
      <c r="D119" s="64"/>
      <c r="E119" s="33"/>
      <c r="F119" s="30"/>
      <c r="G119" s="152" t="s">
        <v>187</v>
      </c>
      <c r="H119" s="152"/>
      <c r="I119" s="113"/>
      <c r="J119" s="19"/>
      <c r="K119" s="113"/>
      <c r="M119" s="19"/>
      <c r="N119" s="42"/>
      <c r="O119" s="48"/>
      <c r="T119" s="46"/>
      <c r="U119" s="46"/>
    </row>
    <row r="120" spans="1:23" x14ac:dyDescent="0.2">
      <c r="A120" s="100" t="s">
        <v>162</v>
      </c>
      <c r="B120" s="18"/>
      <c r="C120" s="28" t="s">
        <v>76</v>
      </c>
      <c r="D120" s="4" t="s">
        <v>194</v>
      </c>
      <c r="E120" s="32">
        <f>VLOOKUP(A120,'DEK Dec 2016'!$A$1:$I$252,9,FALSE)</f>
        <v>0</v>
      </c>
      <c r="F120" s="30">
        <v>0</v>
      </c>
      <c r="G120" s="33">
        <v>0</v>
      </c>
      <c r="H120" s="33">
        <v>0</v>
      </c>
      <c r="I120" s="123">
        <f>E120+G120+H120+F120</f>
        <v>0</v>
      </c>
      <c r="J120" s="91">
        <v>0</v>
      </c>
      <c r="K120" s="123">
        <f>I120+J120</f>
        <v>0</v>
      </c>
      <c r="L120" s="259"/>
      <c r="M120" s="67"/>
      <c r="P120" s="51"/>
      <c r="Q120" s="18"/>
      <c r="R120" s="58"/>
      <c r="S120" s="18"/>
    </row>
    <row r="121" spans="1:23" x14ac:dyDescent="0.2">
      <c r="A121" s="100" t="s">
        <v>287</v>
      </c>
      <c r="B121" s="18"/>
      <c r="C121" s="28" t="s">
        <v>286</v>
      </c>
      <c r="D121" s="4" t="s">
        <v>287</v>
      </c>
      <c r="E121" s="35">
        <f>VLOOKUP(A121,'DEK Dec 2016'!$A$1:$I$252,9,FALSE)</f>
        <v>-5549675.7300000004</v>
      </c>
      <c r="F121" s="36">
        <v>0</v>
      </c>
      <c r="G121" s="36">
        <v>0</v>
      </c>
      <c r="H121" s="36">
        <v>0</v>
      </c>
      <c r="I121" s="267">
        <f>E121+G121+H121+F121</f>
        <v>-5549675.7300000004</v>
      </c>
      <c r="J121" s="266">
        <v>0</v>
      </c>
      <c r="K121" s="267">
        <f>I121+J121</f>
        <v>-5549675.7300000004</v>
      </c>
      <c r="L121" s="210" t="s">
        <v>22</v>
      </c>
      <c r="M121" s="67"/>
      <c r="P121" s="51"/>
      <c r="Q121" s="18"/>
      <c r="R121" s="58"/>
      <c r="S121" s="18"/>
    </row>
    <row r="122" spans="1:23" ht="15" x14ac:dyDescent="0.25">
      <c r="B122" s="18"/>
      <c r="C122" s="28"/>
      <c r="D122" s="65"/>
      <c r="E122" s="83">
        <f>SUM(E120:E121)</f>
        <v>-5549675.7300000004</v>
      </c>
      <c r="F122" s="30"/>
      <c r="G122" s="33">
        <f>SUM(G120:G121)</f>
        <v>0</v>
      </c>
      <c r="H122" s="33">
        <f>SUM(H120:H121)</f>
        <v>0</v>
      </c>
      <c r="I122" s="271">
        <f>SUM(I120:I121)</f>
        <v>-5549675.7300000004</v>
      </c>
      <c r="J122" s="1"/>
      <c r="K122" s="271">
        <f>SUM(K120:K121)</f>
        <v>-5549675.7300000004</v>
      </c>
      <c r="L122" s="281" t="s">
        <v>264</v>
      </c>
      <c r="M122" s="67"/>
      <c r="P122" s="51"/>
      <c r="Q122" s="18"/>
      <c r="R122" s="58"/>
      <c r="S122" s="18"/>
    </row>
    <row r="123" spans="1:23" x14ac:dyDescent="0.2">
      <c r="B123" s="21" t="s">
        <v>227</v>
      </c>
      <c r="C123" s="28"/>
      <c r="E123" s="83"/>
      <c r="F123" s="30"/>
      <c r="G123" s="152"/>
      <c r="H123" s="30"/>
      <c r="I123" s="115"/>
      <c r="J123" s="30"/>
      <c r="K123" s="115"/>
      <c r="M123" s="20"/>
      <c r="N123" s="42"/>
      <c r="O123" s="42"/>
      <c r="R123" s="58"/>
      <c r="S123" s="18"/>
      <c r="T123" s="58"/>
    </row>
    <row r="124" spans="1:23" x14ac:dyDescent="0.2">
      <c r="A124" s="100" t="s">
        <v>163</v>
      </c>
      <c r="B124" s="18"/>
      <c r="C124" s="28" t="s">
        <v>48</v>
      </c>
      <c r="D124" s="4" t="s">
        <v>195</v>
      </c>
      <c r="E124" s="32">
        <f>VLOOKUP(A124,'DEK Dec 2016'!$A$1:$I$252,9,FALSE)</f>
        <v>-436402</v>
      </c>
      <c r="F124" s="30">
        <v>0</v>
      </c>
      <c r="G124" s="33">
        <v>436402</v>
      </c>
      <c r="H124" s="33">
        <v>0</v>
      </c>
      <c r="I124" s="115">
        <f>E124+F124+G124+H124</f>
        <v>0</v>
      </c>
      <c r="J124" s="30">
        <v>0</v>
      </c>
      <c r="K124" s="115">
        <f t="shared" ref="K124:K126" si="24">I124+J124</f>
        <v>0</v>
      </c>
      <c r="M124" s="62"/>
      <c r="P124" s="51"/>
      <c r="Q124" s="18"/>
      <c r="R124" s="58"/>
      <c r="S124" s="18">
        <v>254998</v>
      </c>
    </row>
    <row r="125" spans="1:23" x14ac:dyDescent="0.2">
      <c r="A125" s="100" t="s">
        <v>179</v>
      </c>
      <c r="B125" s="18"/>
      <c r="C125" s="28" t="s">
        <v>47</v>
      </c>
      <c r="D125" s="4" t="s">
        <v>196</v>
      </c>
      <c r="E125" s="32">
        <f>VLOOKUP(A125,'DEK Oct 2016'!$A$1:$I$252,9,FALSE)</f>
        <v>0</v>
      </c>
      <c r="F125" s="30">
        <v>0</v>
      </c>
      <c r="G125" s="30">
        <v>0</v>
      </c>
      <c r="H125" s="33">
        <v>0</v>
      </c>
      <c r="I125" s="115">
        <f>E125+F125+G125+H125</f>
        <v>0</v>
      </c>
      <c r="J125" s="30">
        <v>0</v>
      </c>
      <c r="K125" s="115">
        <f t="shared" si="24"/>
        <v>0</v>
      </c>
      <c r="M125" s="62"/>
      <c r="P125" s="51"/>
      <c r="Q125" s="18"/>
      <c r="R125" s="58"/>
      <c r="S125" s="18">
        <v>254998</v>
      </c>
      <c r="W125" s="47"/>
    </row>
    <row r="126" spans="1:23" x14ac:dyDescent="0.2">
      <c r="A126" s="100" t="s">
        <v>164</v>
      </c>
      <c r="B126" s="18"/>
      <c r="C126" s="28" t="s">
        <v>75</v>
      </c>
      <c r="D126" s="4" t="s">
        <v>215</v>
      </c>
      <c r="E126" s="32">
        <f>VLOOKUP(A126,'DEK Dec 2016'!$A$1:$I$252,9,FALSE)</f>
        <v>-14682.050000000005</v>
      </c>
      <c r="F126" s="30">
        <v>0</v>
      </c>
      <c r="G126" s="33">
        <v>43.7</v>
      </c>
      <c r="H126" s="33">
        <v>0</v>
      </c>
      <c r="I126" s="117">
        <f>E126+F126+G126+H126</f>
        <v>-14638.350000000004</v>
      </c>
      <c r="J126" s="30">
        <v>0</v>
      </c>
      <c r="K126" s="117">
        <f t="shared" si="24"/>
        <v>-14638.350000000004</v>
      </c>
      <c r="L126" s="230"/>
      <c r="M126" s="62"/>
      <c r="P126" s="51"/>
      <c r="Q126" s="18"/>
      <c r="R126" s="58"/>
      <c r="S126" s="18">
        <v>254210</v>
      </c>
    </row>
    <row r="127" spans="1:23" x14ac:dyDescent="0.2">
      <c r="B127" s="18"/>
      <c r="C127" s="28"/>
      <c r="D127" s="65"/>
      <c r="E127" s="36"/>
      <c r="F127" s="36"/>
      <c r="G127" s="150"/>
      <c r="H127" s="36"/>
      <c r="I127" s="116"/>
      <c r="J127" s="36"/>
      <c r="K127" s="116"/>
      <c r="M127" s="62"/>
      <c r="P127" s="51"/>
      <c r="Q127" s="18"/>
      <c r="R127" s="58"/>
      <c r="S127" s="18"/>
    </row>
    <row r="128" spans="1:23" x14ac:dyDescent="0.2">
      <c r="B128" s="18"/>
      <c r="C128" s="28"/>
      <c r="E128" s="161">
        <f t="shared" ref="E128" si="25">SUM(E124:E127)</f>
        <v>-451084.05</v>
      </c>
      <c r="F128" s="30">
        <f t="shared" ref="F128:K128" si="26">SUM(F124:F127)</f>
        <v>0</v>
      </c>
      <c r="G128" s="30">
        <f t="shared" si="26"/>
        <v>436445.7</v>
      </c>
      <c r="H128" s="30">
        <f t="shared" si="26"/>
        <v>0</v>
      </c>
      <c r="I128" s="270">
        <f t="shared" si="26"/>
        <v>-14638.350000000004</v>
      </c>
      <c r="J128" s="30">
        <f t="shared" si="26"/>
        <v>0</v>
      </c>
      <c r="K128" s="270">
        <f t="shared" si="26"/>
        <v>-14638.350000000004</v>
      </c>
      <c r="L128" s="281" t="s">
        <v>265</v>
      </c>
      <c r="M128" s="20"/>
      <c r="N128" s="42"/>
      <c r="O128" s="42"/>
      <c r="R128" s="58"/>
      <c r="S128" s="18"/>
      <c r="T128" s="58"/>
    </row>
    <row r="129" spans="1:22" x14ac:dyDescent="0.2">
      <c r="B129" s="21" t="s">
        <v>216</v>
      </c>
      <c r="C129" s="28"/>
      <c r="E129" s="33"/>
      <c r="F129" s="30"/>
      <c r="G129" s="152"/>
      <c r="H129" s="152"/>
      <c r="I129" s="115"/>
      <c r="J129" s="30"/>
      <c r="K129" s="115"/>
      <c r="M129" s="20"/>
      <c r="N129" s="42"/>
      <c r="O129" s="42"/>
      <c r="R129" s="58"/>
      <c r="S129" s="18"/>
      <c r="T129" s="58"/>
    </row>
    <row r="130" spans="1:22" x14ac:dyDescent="0.2">
      <c r="A130" s="100" t="s">
        <v>165</v>
      </c>
      <c r="B130" s="18"/>
      <c r="C130" s="28" t="s">
        <v>45</v>
      </c>
      <c r="D130" s="4" t="s">
        <v>197</v>
      </c>
      <c r="E130" s="32">
        <f>VLOOKUP(A130,'DEK Dec 2016'!$A$1:$I$252,9,FALSE)</f>
        <v>-18160657.680000003</v>
      </c>
      <c r="F130" s="30">
        <v>0</v>
      </c>
      <c r="G130" s="30">
        <v>-62081.36</v>
      </c>
      <c r="H130" s="30">
        <v>0</v>
      </c>
      <c r="I130" s="115">
        <f t="shared" ref="I130:I136" si="27">E130+F130+G130+H130</f>
        <v>-18222739.040000003</v>
      </c>
      <c r="J130" s="30">
        <v>0</v>
      </c>
      <c r="K130" s="115">
        <f t="shared" ref="K130:K136" si="28">I130+J130</f>
        <v>-18222739.040000003</v>
      </c>
      <c r="L130" s="210" t="s">
        <v>241</v>
      </c>
      <c r="M130" s="20"/>
      <c r="N130" s="42"/>
      <c r="O130" s="42"/>
      <c r="Q130" s="279">
        <v>75086</v>
      </c>
      <c r="R130" s="58" t="s">
        <v>44</v>
      </c>
      <c r="S130" s="18">
        <v>108201</v>
      </c>
      <c r="T130" s="58"/>
    </row>
    <row r="131" spans="1:22" x14ac:dyDescent="0.2">
      <c r="A131" s="100" t="s">
        <v>166</v>
      </c>
      <c r="B131" s="18"/>
      <c r="C131" s="28" t="s">
        <v>45</v>
      </c>
      <c r="D131" s="4" t="s">
        <v>198</v>
      </c>
      <c r="E131" s="32">
        <f>VLOOKUP(A131,'DEK Dec 2016'!$A$1:$I$252,9,FALSE)</f>
        <v>-47729988.850000001</v>
      </c>
      <c r="F131" s="30">
        <v>0</v>
      </c>
      <c r="G131" s="30">
        <v>-392468.14</v>
      </c>
      <c r="H131" s="30">
        <v>0</v>
      </c>
      <c r="I131" s="115">
        <f t="shared" si="27"/>
        <v>-48122456.990000002</v>
      </c>
      <c r="J131" s="30">
        <v>0</v>
      </c>
      <c r="K131" s="115">
        <f t="shared" si="28"/>
        <v>-48122456.990000002</v>
      </c>
      <c r="L131" s="210" t="s">
        <v>242</v>
      </c>
      <c r="M131" s="20"/>
      <c r="N131" s="42"/>
      <c r="O131" s="42"/>
      <c r="R131" s="58" t="s">
        <v>44</v>
      </c>
      <c r="S131" s="18">
        <v>108301</v>
      </c>
      <c r="T131" s="58"/>
    </row>
    <row r="132" spans="1:22" x14ac:dyDescent="0.2">
      <c r="A132" s="100" t="s">
        <v>167</v>
      </c>
      <c r="B132" s="18"/>
      <c r="C132" s="28" t="s">
        <v>46</v>
      </c>
      <c r="D132" s="4" t="s">
        <v>199</v>
      </c>
      <c r="E132" s="32">
        <f>VLOOKUP(A132,'DEK Dec 2016'!$A$1:$I$252,9,FALSE)</f>
        <v>13226095.279999997</v>
      </c>
      <c r="F132" s="30">
        <v>0</v>
      </c>
      <c r="G132" s="30">
        <v>435210.39</v>
      </c>
      <c r="H132" s="30">
        <v>0</v>
      </c>
      <c r="I132" s="115">
        <f t="shared" si="27"/>
        <v>13661305.669999998</v>
      </c>
      <c r="J132" s="30">
        <v>0</v>
      </c>
      <c r="K132" s="115">
        <f>I132+J132</f>
        <v>13661305.669999998</v>
      </c>
      <c r="L132" s="210" t="s">
        <v>242</v>
      </c>
      <c r="M132" s="20"/>
      <c r="N132" s="42"/>
      <c r="O132" s="42"/>
      <c r="S132" s="18">
        <v>108410</v>
      </c>
      <c r="T132" s="58"/>
    </row>
    <row r="133" spans="1:22" x14ac:dyDescent="0.2">
      <c r="A133" s="100" t="s">
        <v>168</v>
      </c>
      <c r="B133" s="18"/>
      <c r="C133" s="28" t="s">
        <v>74</v>
      </c>
      <c r="D133" s="4" t="s">
        <v>217</v>
      </c>
      <c r="E133" s="32">
        <f>VLOOKUP(A133,'DEK Dec 2016'!$A$1:$I$252,9,FALSE)</f>
        <v>2362433.86</v>
      </c>
      <c r="F133" s="30">
        <v>0</v>
      </c>
      <c r="G133" s="30">
        <v>21367.23</v>
      </c>
      <c r="H133" s="30">
        <v>0</v>
      </c>
      <c r="I133" s="115">
        <f t="shared" si="27"/>
        <v>2383801.09</v>
      </c>
      <c r="J133" s="30">
        <v>0</v>
      </c>
      <c r="K133" s="115">
        <f>I133+J133</f>
        <v>2383801.09</v>
      </c>
      <c r="M133" s="20"/>
      <c r="N133" s="42"/>
      <c r="O133" s="42"/>
      <c r="Q133" s="4" t="s">
        <v>50</v>
      </c>
      <c r="R133" s="4" t="s">
        <v>51</v>
      </c>
      <c r="S133" s="18">
        <v>182303</v>
      </c>
      <c r="T133" s="58"/>
    </row>
    <row r="134" spans="1:22" x14ac:dyDescent="0.2">
      <c r="A134" s="100" t="s">
        <v>169</v>
      </c>
      <c r="B134" s="18"/>
      <c r="C134" s="28" t="s">
        <v>49</v>
      </c>
      <c r="D134" s="4" t="s">
        <v>218</v>
      </c>
      <c r="E134" s="32">
        <f>VLOOKUP(A134,'DEK Dec 2016'!$A$1:$I$252,9,FALSE)</f>
        <v>4624019.2700000023</v>
      </c>
      <c r="F134" s="30">
        <v>0</v>
      </c>
      <c r="G134" s="30">
        <v>29271.72</v>
      </c>
      <c r="H134" s="30">
        <v>0</v>
      </c>
      <c r="I134" s="115">
        <f t="shared" si="27"/>
        <v>4653290.9900000021</v>
      </c>
      <c r="J134" s="30">
        <v>0</v>
      </c>
      <c r="K134" s="115">
        <f t="shared" si="28"/>
        <v>4653290.9900000021</v>
      </c>
      <c r="M134" s="20"/>
      <c r="N134" s="42"/>
      <c r="O134" s="42"/>
      <c r="Q134" s="4" t="s">
        <v>50</v>
      </c>
      <c r="S134" s="18">
        <v>182304</v>
      </c>
      <c r="T134" s="58"/>
    </row>
    <row r="135" spans="1:22" x14ac:dyDescent="0.2">
      <c r="A135" s="100" t="s">
        <v>170</v>
      </c>
      <c r="B135" s="18"/>
      <c r="C135" s="28" t="s">
        <v>42</v>
      </c>
      <c r="D135" s="4" t="s">
        <v>200</v>
      </c>
      <c r="E135" s="32">
        <f>VLOOKUP(A135,'DEK Dec 2016'!$A$1:$I$252,9,FALSE)</f>
        <v>-220936.41000000003</v>
      </c>
      <c r="F135" s="30">
        <v>0</v>
      </c>
      <c r="G135" s="30">
        <v>-6112.76</v>
      </c>
      <c r="H135" s="30">
        <v>0</v>
      </c>
      <c r="I135" s="115">
        <f t="shared" si="27"/>
        <v>-227049.17000000004</v>
      </c>
      <c r="J135" s="30">
        <v>0</v>
      </c>
      <c r="K135" s="115">
        <f t="shared" si="28"/>
        <v>-227049.17000000004</v>
      </c>
      <c r="L135" s="210" t="s">
        <v>241</v>
      </c>
      <c r="M135" s="20"/>
      <c r="N135" s="42"/>
      <c r="O135" s="42"/>
      <c r="R135" s="58" t="s">
        <v>44</v>
      </c>
      <c r="S135" s="18">
        <v>108101</v>
      </c>
      <c r="T135" s="58"/>
    </row>
    <row r="136" spans="1:22" x14ac:dyDescent="0.2">
      <c r="A136" s="100" t="s">
        <v>272</v>
      </c>
      <c r="B136" s="18"/>
      <c r="C136" s="28" t="s">
        <v>271</v>
      </c>
      <c r="D136" s="4" t="s">
        <v>272</v>
      </c>
      <c r="E136" s="32">
        <f>VLOOKUP(A136,'DEK Dec 2016'!$A$1:$I$252,9,FALSE)</f>
        <v>21438.01</v>
      </c>
      <c r="F136" s="30">
        <v>0</v>
      </c>
      <c r="G136" s="30">
        <v>-21063.51</v>
      </c>
      <c r="H136" s="30">
        <v>0</v>
      </c>
      <c r="I136" s="115">
        <f t="shared" si="27"/>
        <v>374.5</v>
      </c>
      <c r="J136" s="30">
        <v>0</v>
      </c>
      <c r="K136" s="115">
        <f t="shared" si="28"/>
        <v>374.5</v>
      </c>
      <c r="L136" s="210" t="s">
        <v>241</v>
      </c>
      <c r="M136" s="20"/>
      <c r="N136" s="42"/>
      <c r="O136" s="42"/>
      <c r="R136" s="58" t="s">
        <v>44</v>
      </c>
      <c r="S136" s="18">
        <v>108101</v>
      </c>
      <c r="T136" s="58"/>
    </row>
    <row r="137" spans="1:22" x14ac:dyDescent="0.2">
      <c r="B137" s="18"/>
      <c r="C137" s="28"/>
      <c r="E137" s="36"/>
      <c r="F137" s="36"/>
      <c r="G137" s="150"/>
      <c r="H137" s="150"/>
      <c r="I137" s="127"/>
      <c r="J137" s="68"/>
      <c r="K137" s="127"/>
      <c r="M137" s="62"/>
      <c r="P137" s="51"/>
      <c r="Q137" s="18"/>
      <c r="R137" s="58"/>
      <c r="S137" s="18">
        <v>254401</v>
      </c>
    </row>
    <row r="138" spans="1:22" x14ac:dyDescent="0.2">
      <c r="B138" s="18"/>
      <c r="C138" s="28"/>
      <c r="E138" s="44">
        <f t="shared" ref="E138:K138" si="29">SUM(E130:E137)</f>
        <v>-45877596.519999996</v>
      </c>
      <c r="F138" s="33">
        <f t="shared" si="29"/>
        <v>0</v>
      </c>
      <c r="G138" s="33">
        <f t="shared" si="29"/>
        <v>4123.5700000000179</v>
      </c>
      <c r="H138" s="33">
        <f t="shared" si="29"/>
        <v>0</v>
      </c>
      <c r="I138" s="269">
        <f t="shared" si="29"/>
        <v>-45873472.949999996</v>
      </c>
      <c r="J138" s="33">
        <f t="shared" si="29"/>
        <v>0</v>
      </c>
      <c r="K138" s="269">
        <f t="shared" si="29"/>
        <v>-45873472.949999996</v>
      </c>
      <c r="L138" s="281" t="s">
        <v>266</v>
      </c>
      <c r="M138" s="62"/>
      <c r="P138" s="51"/>
      <c r="Q138" s="18"/>
      <c r="R138" s="58"/>
      <c r="S138" s="18"/>
    </row>
    <row r="139" spans="1:22" ht="15" x14ac:dyDescent="0.25">
      <c r="B139" s="18"/>
      <c r="C139" s="28"/>
      <c r="D139" s="65"/>
      <c r="E139" s="33"/>
      <c r="F139" s="30"/>
      <c r="G139" s="144"/>
      <c r="H139" s="33"/>
      <c r="I139" s="126"/>
      <c r="J139" s="1"/>
      <c r="K139" s="126"/>
      <c r="L139" s="66"/>
      <c r="M139" s="67"/>
      <c r="P139" s="51"/>
      <c r="Q139" s="18"/>
      <c r="R139" s="58"/>
      <c r="S139" s="18"/>
    </row>
    <row r="140" spans="1:22" x14ac:dyDescent="0.2">
      <c r="A140" s="105" t="s">
        <v>55</v>
      </c>
      <c r="B140" s="18"/>
      <c r="C140" s="131" t="s">
        <v>55</v>
      </c>
      <c r="D140" s="132"/>
      <c r="E140" s="133">
        <f>+E112+E122+E128+E138+E117</f>
        <v>-64051648.579999998</v>
      </c>
      <c r="F140" s="133">
        <f t="shared" ref="F140" si="30">+F112+F120+F128+F138+F117</f>
        <v>0</v>
      </c>
      <c r="G140" s="133">
        <f>+G112+G122+G128+G138+G117</f>
        <v>3912098.81</v>
      </c>
      <c r="H140" s="133">
        <f>+H112+H122+H128+H138+H117</f>
        <v>0</v>
      </c>
      <c r="I140" s="134">
        <f>+I112+I122+I128+I138+I117</f>
        <v>-60139549.769999996</v>
      </c>
      <c r="J140" s="133">
        <f>+J112+J120+J128+J138+J117</f>
        <v>0</v>
      </c>
      <c r="K140" s="134">
        <f>+K112+K122+K128+K138+K117</f>
        <v>-60139549.769999996</v>
      </c>
      <c r="M140" s="20"/>
      <c r="N140" s="69"/>
      <c r="R140" s="58"/>
      <c r="S140" s="18"/>
    </row>
    <row r="141" spans="1:22" x14ac:dyDescent="0.2">
      <c r="A141" s="105"/>
      <c r="B141" s="18"/>
      <c r="C141" s="18"/>
      <c r="D141" s="12"/>
      <c r="E141" s="221"/>
      <c r="F141" s="50"/>
      <c r="G141" s="145"/>
      <c r="H141" s="50"/>
      <c r="I141" s="122"/>
      <c r="J141" s="50"/>
      <c r="K141" s="122"/>
      <c r="M141" s="45"/>
      <c r="S141" s="18"/>
    </row>
    <row r="142" spans="1:22" x14ac:dyDescent="0.2">
      <c r="A142" s="105" t="s">
        <v>56</v>
      </c>
      <c r="B142" s="18"/>
      <c r="C142" s="18"/>
      <c r="D142" s="136" t="s">
        <v>219</v>
      </c>
      <c r="E142" s="137">
        <f>E140+E102</f>
        <v>36084691.600000009</v>
      </c>
      <c r="F142" s="137">
        <f>F140+F102</f>
        <v>0</v>
      </c>
      <c r="G142" s="137">
        <f>G140+G102</f>
        <v>215680.64999999991</v>
      </c>
      <c r="H142" s="137">
        <f>H140+H102</f>
        <v>-22206.18</v>
      </c>
      <c r="I142" s="138">
        <f>I102+I140</f>
        <v>36278166.070000008</v>
      </c>
      <c r="J142" s="137">
        <f>J140+J102</f>
        <v>0</v>
      </c>
      <c r="K142" s="138">
        <f>K102+K140</f>
        <v>36278166.070000008</v>
      </c>
      <c r="L142" s="50">
        <v>0</v>
      </c>
      <c r="M142" s="70"/>
      <c r="N142" s="70"/>
      <c r="O142" s="70"/>
      <c r="P142" s="50"/>
      <c r="Q142" s="50"/>
      <c r="R142" s="50"/>
      <c r="S142" s="18"/>
      <c r="T142" s="29">
        <f>+G142+H142+F142</f>
        <v>193474.46999999991</v>
      </c>
      <c r="U142" s="19">
        <v>13111056.41</v>
      </c>
      <c r="V142" s="29">
        <f>+T142-U142</f>
        <v>-12917581.939999999</v>
      </c>
    </row>
    <row r="143" spans="1:22" hidden="1" x14ac:dyDescent="0.2">
      <c r="A143" s="105"/>
      <c r="B143" s="18"/>
      <c r="C143" s="18"/>
      <c r="D143" s="12"/>
      <c r="E143" s="221"/>
      <c r="F143" s="50"/>
      <c r="G143" s="145"/>
      <c r="H143" s="50"/>
      <c r="I143" s="50"/>
      <c r="J143" s="50"/>
      <c r="K143" s="50"/>
      <c r="M143" s="45"/>
      <c r="S143" s="18"/>
    </row>
    <row r="144" spans="1:22" s="75" customFormat="1" ht="12.75" hidden="1" customHeight="1" x14ac:dyDescent="0.2">
      <c r="A144" s="107" t="s">
        <v>57</v>
      </c>
      <c r="B144" s="71"/>
      <c r="C144" s="18"/>
      <c r="D144" s="140" t="s">
        <v>57</v>
      </c>
      <c r="E144" s="223"/>
      <c r="F144" s="142"/>
      <c r="G144" s="163">
        <f>-G135-G130-G131-G132-G133-G134-G89-G16-G124-G30-G22-G53-G126-G92-G94-G120-G125-G52</f>
        <v>779575.99</v>
      </c>
      <c r="H144" s="139">
        <f>-H135-H130-H131-H132-H133-H134-H89-H16-H124-H30-H22-H53-H126-H92-H94-H120-H125-H52</f>
        <v>22206.18</v>
      </c>
      <c r="I144" s="74"/>
      <c r="J144" s="74"/>
      <c r="K144" s="74"/>
      <c r="M144" s="76"/>
      <c r="N144" s="77"/>
      <c r="O144" s="77"/>
      <c r="S144" s="18"/>
    </row>
    <row r="145" spans="1:19" ht="12.75" customHeight="1" x14ac:dyDescent="0.2">
      <c r="A145" s="107"/>
      <c r="B145" s="18"/>
      <c r="C145" s="18"/>
      <c r="D145" s="72"/>
      <c r="E145" s="224"/>
      <c r="F145" s="50"/>
      <c r="G145" s="185">
        <f>G142+H142</f>
        <v>193474.46999999991</v>
      </c>
      <c r="H145" s="145"/>
      <c r="I145" s="145"/>
      <c r="J145" s="50"/>
      <c r="K145" s="50"/>
      <c r="M145" s="20"/>
      <c r="S145" s="18"/>
    </row>
    <row r="146" spans="1:19" ht="12.75" customHeight="1" x14ac:dyDescent="0.2">
      <c r="A146" s="107" t="s">
        <v>58</v>
      </c>
      <c r="B146" s="18"/>
      <c r="C146" s="71"/>
      <c r="D146" s="72"/>
      <c r="E146" s="73"/>
      <c r="F146" s="50"/>
      <c r="G146" s="145"/>
      <c r="H146" s="50"/>
      <c r="I146" s="50"/>
      <c r="J146" s="50"/>
      <c r="K146" s="30"/>
      <c r="M146" s="20"/>
      <c r="S146" s="71"/>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83"/>
      <c r="F148" s="50"/>
      <c r="G148" s="30"/>
      <c r="H148" s="50"/>
      <c r="I148" s="50"/>
      <c r="J148" s="50"/>
      <c r="K148" s="33"/>
      <c r="M148" s="20"/>
      <c r="S148" s="18"/>
    </row>
    <row r="149" spans="1:19" ht="12.75" customHeight="1" x14ac:dyDescent="0.2">
      <c r="A149" s="107"/>
      <c r="B149" s="18"/>
      <c r="C149" s="18"/>
      <c r="D149" s="72"/>
      <c r="E149" s="236"/>
      <c r="F149" s="50"/>
      <c r="G149" s="44"/>
      <c r="H149" s="50"/>
      <c r="I149" s="50"/>
      <c r="J149" s="50"/>
      <c r="K149" s="161"/>
      <c r="M149" s="20"/>
      <c r="S149" s="18"/>
    </row>
    <row r="150" spans="1:19" ht="12.75" customHeight="1" x14ac:dyDescent="0.2">
      <c r="A150" s="107"/>
      <c r="B150" s="18"/>
      <c r="C150" s="18"/>
      <c r="D150" s="72"/>
      <c r="E150" s="224"/>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5"/>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hidden="1" customHeight="1" x14ac:dyDescent="0.2">
      <c r="A166" s="107" t="s">
        <v>59</v>
      </c>
      <c r="B166" s="18"/>
      <c r="C166" s="18"/>
      <c r="D166" s="72" t="s">
        <v>59</v>
      </c>
      <c r="E166" s="73"/>
      <c r="F166" s="50"/>
      <c r="G166" s="145">
        <f>+G142+H142+G144+H144</f>
        <v>995256.64</v>
      </c>
      <c r="H166" s="50"/>
      <c r="I166" s="50"/>
      <c r="J166" s="50"/>
      <c r="K166" s="50"/>
      <c r="M166" s="20"/>
      <c r="S166" s="18"/>
    </row>
    <row r="167" spans="1:19" hidden="1" x14ac:dyDescent="0.2">
      <c r="B167" s="18"/>
      <c r="C167" s="18"/>
      <c r="E167" s="29"/>
      <c r="F167" s="19"/>
      <c r="G167" s="148"/>
      <c r="H167" s="19"/>
      <c r="I167" s="19"/>
      <c r="J167" s="19"/>
      <c r="K167" s="19"/>
      <c r="M167" s="20"/>
      <c r="S167" s="18"/>
    </row>
    <row r="168" spans="1:19" hidden="1" x14ac:dyDescent="0.2">
      <c r="A168" s="109" t="s">
        <v>60</v>
      </c>
      <c r="B168" s="18"/>
      <c r="C168" s="18"/>
      <c r="D168" s="78" t="s">
        <v>60</v>
      </c>
      <c r="E168" s="79"/>
      <c r="F168" s="80"/>
      <c r="G168" s="164"/>
      <c r="H168" s="80"/>
      <c r="I168" s="81"/>
      <c r="J168" s="81"/>
      <c r="K168" s="81"/>
      <c r="M168" s="20"/>
      <c r="S168" s="18"/>
    </row>
    <row r="169" spans="1:19" hidden="1" x14ac:dyDescent="0.2">
      <c r="A169" s="109" t="s">
        <v>138</v>
      </c>
      <c r="B169" s="18"/>
      <c r="C169" s="18"/>
      <c r="D169" s="82" t="s">
        <v>138</v>
      </c>
      <c r="E169" s="32">
        <v>0</v>
      </c>
      <c r="F169" s="32">
        <f>+F98+F99</f>
        <v>0</v>
      </c>
      <c r="G169" s="157"/>
      <c r="H169" s="32">
        <f>+H98+H99</f>
        <v>0</v>
      </c>
      <c r="I169" s="84">
        <f>+I98+I99</f>
        <v>0</v>
      </c>
      <c r="J169" s="84">
        <f>+J98+J99</f>
        <v>0</v>
      </c>
      <c r="K169" s="84">
        <f>+K98+K99</f>
        <v>0</v>
      </c>
      <c r="M169" s="20"/>
      <c r="S169" s="18"/>
    </row>
    <row r="170" spans="1:19" hidden="1" x14ac:dyDescent="0.2">
      <c r="A170" s="109" t="s">
        <v>140</v>
      </c>
      <c r="B170" s="18"/>
      <c r="C170" s="18"/>
      <c r="D170" s="82" t="s">
        <v>140</v>
      </c>
      <c r="E170" s="83">
        <f>+E12</f>
        <v>3937387.4499999993</v>
      </c>
      <c r="F170" s="32">
        <f>+F99+F100</f>
        <v>0</v>
      </c>
      <c r="G170" s="165"/>
      <c r="H170" s="83"/>
      <c r="I170" s="84">
        <f>+I12</f>
        <v>-1.1641532182693481E-9</v>
      </c>
      <c r="J170" s="84">
        <f>+J12</f>
        <v>0</v>
      </c>
      <c r="K170" s="84">
        <f>+K12</f>
        <v>-1.1641532182693481E-9</v>
      </c>
      <c r="M170" s="20"/>
      <c r="S170" s="18"/>
    </row>
    <row r="171" spans="1:19" hidden="1" x14ac:dyDescent="0.2">
      <c r="A171" s="109" t="s">
        <v>142</v>
      </c>
      <c r="B171" s="18"/>
      <c r="C171" s="18"/>
      <c r="D171" s="82" t="s">
        <v>142</v>
      </c>
      <c r="E171" s="83">
        <f>+E19</f>
        <v>1758661.81</v>
      </c>
      <c r="F171" s="32">
        <f t="shared" ref="F171:F176" si="31">+F100+F101</f>
        <v>0</v>
      </c>
      <c r="G171" s="165"/>
      <c r="H171" s="83"/>
      <c r="I171" s="84">
        <f>+I19</f>
        <v>1758661.81</v>
      </c>
      <c r="J171" s="84">
        <f>+J19</f>
        <v>1927070.51</v>
      </c>
      <c r="K171" s="84">
        <f>+K19</f>
        <v>3685732.3200000003</v>
      </c>
      <c r="M171" s="20"/>
      <c r="S171" s="18"/>
    </row>
    <row r="172" spans="1:19" hidden="1" x14ac:dyDescent="0.2">
      <c r="A172" s="109" t="s">
        <v>141</v>
      </c>
      <c r="B172" s="18"/>
      <c r="C172" s="18"/>
      <c r="D172" s="82" t="s">
        <v>141</v>
      </c>
      <c r="E172" s="83">
        <f>+E24</f>
        <v>1454905.8000000012</v>
      </c>
      <c r="F172" s="32">
        <f t="shared" si="31"/>
        <v>0</v>
      </c>
      <c r="G172" s="165"/>
      <c r="H172" s="83"/>
      <c r="I172" s="84">
        <f>+I24</f>
        <v>1432699.6200000013</v>
      </c>
      <c r="J172" s="84">
        <f>+J24</f>
        <v>-266473.8</v>
      </c>
      <c r="K172" s="84">
        <f>+K24</f>
        <v>1166225.8200000012</v>
      </c>
      <c r="M172" s="20"/>
      <c r="S172" s="18"/>
    </row>
    <row r="173" spans="1:19" hidden="1" x14ac:dyDescent="0.2">
      <c r="A173" s="109" t="s">
        <v>61</v>
      </c>
      <c r="B173" s="18"/>
      <c r="C173" s="18"/>
      <c r="D173" s="82" t="s">
        <v>61</v>
      </c>
      <c r="E173" s="32">
        <f>+E30</f>
        <v>2178393.2000000002</v>
      </c>
      <c r="F173" s="32">
        <f t="shared" si="31"/>
        <v>0</v>
      </c>
      <c r="G173" s="157"/>
      <c r="H173" s="32"/>
      <c r="I173" s="84">
        <f>+I30</f>
        <v>1741991.2000000002</v>
      </c>
      <c r="J173" s="84">
        <f>+J30</f>
        <v>0</v>
      </c>
      <c r="K173" s="84">
        <f>+K30</f>
        <v>1741991.2000000002</v>
      </c>
      <c r="M173" s="20"/>
      <c r="S173" s="18"/>
    </row>
    <row r="174" spans="1:19" hidden="1" x14ac:dyDescent="0.2">
      <c r="A174" s="109" t="s">
        <v>143</v>
      </c>
      <c r="B174" s="18"/>
      <c r="C174" s="18"/>
      <c r="D174" s="82" t="s">
        <v>143</v>
      </c>
      <c r="E174" s="32">
        <f>+E84</f>
        <v>55499154.210000001</v>
      </c>
      <c r="F174" s="32">
        <f t="shared" si="31"/>
        <v>0</v>
      </c>
      <c r="G174" s="157"/>
      <c r="H174" s="32"/>
      <c r="I174" s="84">
        <f>+I84</f>
        <v>56277580.109999999</v>
      </c>
      <c r="J174" s="84">
        <f>+J84</f>
        <v>-1660596.71</v>
      </c>
      <c r="K174" s="84">
        <f>+K84</f>
        <v>54616983.399999999</v>
      </c>
      <c r="M174" s="20"/>
      <c r="S174" s="18"/>
    </row>
    <row r="175" spans="1:19" hidden="1" x14ac:dyDescent="0.2">
      <c r="A175" s="109" t="s">
        <v>151</v>
      </c>
      <c r="B175" s="18"/>
      <c r="C175" s="18"/>
      <c r="D175" s="82" t="s">
        <v>151</v>
      </c>
      <c r="E175" s="32">
        <f>+E96</f>
        <v>31671225.09</v>
      </c>
      <c r="F175" s="32">
        <f t="shared" si="31"/>
        <v>0</v>
      </c>
      <c r="G175" s="157"/>
      <c r="H175" s="32"/>
      <c r="I175" s="84">
        <f>+I96</f>
        <v>31671225.09</v>
      </c>
      <c r="J175" s="84">
        <f>+J96</f>
        <v>0</v>
      </c>
      <c r="K175" s="84">
        <f>+K96</f>
        <v>31671225.09</v>
      </c>
      <c r="M175" s="20"/>
      <c r="S175" s="18"/>
    </row>
    <row r="176" spans="1:19" hidden="1" x14ac:dyDescent="0.2">
      <c r="A176" s="109" t="s">
        <v>62</v>
      </c>
      <c r="B176" s="18"/>
      <c r="C176" s="18"/>
      <c r="D176" s="82" t="s">
        <v>62</v>
      </c>
      <c r="E176" s="32">
        <v>0</v>
      </c>
      <c r="F176" s="32">
        <f t="shared" si="31"/>
        <v>0</v>
      </c>
      <c r="G176" s="157"/>
      <c r="H176" s="32"/>
      <c r="I176" s="84">
        <v>0</v>
      </c>
      <c r="J176" s="84">
        <v>0</v>
      </c>
      <c r="K176" s="84">
        <v>0</v>
      </c>
      <c r="M176" s="20"/>
      <c r="S176" s="18"/>
    </row>
    <row r="177" spans="1:19" hidden="1" x14ac:dyDescent="0.2">
      <c r="A177" s="109" t="s">
        <v>152</v>
      </c>
      <c r="B177" s="18"/>
      <c r="C177" s="18"/>
      <c r="D177" s="82" t="s">
        <v>152</v>
      </c>
      <c r="E177" s="32">
        <f>+E112</f>
        <v>-12173292.280000001</v>
      </c>
      <c r="F177" s="32" t="e">
        <f>+F106+#REF!</f>
        <v>#REF!</v>
      </c>
      <c r="G177" s="157"/>
      <c r="H177" s="32"/>
      <c r="I177" s="84">
        <f>+I112</f>
        <v>-8701762.7400000002</v>
      </c>
      <c r="J177" s="84">
        <f>+J112</f>
        <v>0</v>
      </c>
      <c r="K177" s="84">
        <f>+K112</f>
        <v>-8701762.7400000002</v>
      </c>
      <c r="M177" s="20"/>
      <c r="S177" s="18"/>
    </row>
    <row r="178" spans="1:19" hidden="1" x14ac:dyDescent="0.2">
      <c r="A178" s="109"/>
      <c r="B178" s="18"/>
      <c r="C178" s="18"/>
      <c r="D178" s="82" t="s">
        <v>189</v>
      </c>
      <c r="E178" s="32">
        <f>E117</f>
        <v>0</v>
      </c>
      <c r="F178" s="32"/>
      <c r="G178" s="157"/>
      <c r="H178" s="32"/>
      <c r="I178" s="84">
        <f>I117</f>
        <v>0</v>
      </c>
      <c r="J178" s="84">
        <f>J117</f>
        <v>0</v>
      </c>
      <c r="K178" s="84">
        <f>K117</f>
        <v>0</v>
      </c>
      <c r="M178" s="20"/>
      <c r="S178" s="18"/>
    </row>
    <row r="179" spans="1:19" hidden="1" x14ac:dyDescent="0.2">
      <c r="A179" s="109" t="s">
        <v>154</v>
      </c>
      <c r="B179" s="18"/>
      <c r="C179" s="18"/>
      <c r="D179" s="82" t="s">
        <v>154</v>
      </c>
      <c r="E179" s="32">
        <f>+E120</f>
        <v>0</v>
      </c>
      <c r="F179" s="32" t="e">
        <f>+#REF!+#REF!</f>
        <v>#REF!</v>
      </c>
      <c r="G179" s="157"/>
      <c r="H179" s="32"/>
      <c r="I179" s="84">
        <f>+I120</f>
        <v>0</v>
      </c>
      <c r="J179" s="84">
        <f>+J120</f>
        <v>0</v>
      </c>
      <c r="K179" s="84">
        <f>+K120</f>
        <v>0</v>
      </c>
      <c r="M179" s="20"/>
      <c r="S179" s="18"/>
    </row>
    <row r="180" spans="1:19" hidden="1" x14ac:dyDescent="0.2">
      <c r="A180" s="109" t="s">
        <v>153</v>
      </c>
      <c r="B180" s="18"/>
      <c r="C180" s="18"/>
      <c r="D180" s="82" t="s">
        <v>153</v>
      </c>
      <c r="E180" s="32">
        <f>+E128</f>
        <v>-451084.05</v>
      </c>
      <c r="F180" s="32" t="e">
        <f>+#REF!+F107</f>
        <v>#REF!</v>
      </c>
      <c r="G180" s="157"/>
      <c r="H180" s="32"/>
      <c r="I180" s="84">
        <f>+I128</f>
        <v>-14638.350000000004</v>
      </c>
      <c r="J180" s="84">
        <f>+J128</f>
        <v>0</v>
      </c>
      <c r="K180" s="84">
        <f>+K128</f>
        <v>-14638.350000000004</v>
      </c>
      <c r="M180" s="20"/>
      <c r="S180" s="18"/>
    </row>
    <row r="181" spans="1:19" hidden="1" x14ac:dyDescent="0.2">
      <c r="A181" s="109" t="s">
        <v>155</v>
      </c>
      <c r="B181" s="18"/>
      <c r="C181" s="18"/>
      <c r="D181" s="82" t="s">
        <v>155</v>
      </c>
      <c r="E181" s="32">
        <f>+E138</f>
        <v>-45877596.519999996</v>
      </c>
      <c r="F181" s="32">
        <f t="shared" ref="F181" si="32">+F107+F108</f>
        <v>0</v>
      </c>
      <c r="G181" s="157"/>
      <c r="H181" s="32"/>
      <c r="I181" s="84">
        <f>+I138</f>
        <v>-45873472.949999996</v>
      </c>
      <c r="J181" s="84">
        <f>+J138</f>
        <v>0</v>
      </c>
      <c r="K181" s="84">
        <f>+K138</f>
        <v>-45873472.949999996</v>
      </c>
      <c r="M181" s="20"/>
      <c r="S181" s="18"/>
    </row>
    <row r="182" spans="1:19" hidden="1" x14ac:dyDescent="0.2">
      <c r="A182" s="109"/>
      <c r="B182" s="18"/>
      <c r="C182" s="18"/>
      <c r="D182" s="85"/>
      <c r="E182" s="83"/>
      <c r="F182" s="83"/>
      <c r="G182" s="165"/>
      <c r="H182" s="83"/>
      <c r="I182" s="86"/>
      <c r="J182" s="86"/>
      <c r="K182" s="86"/>
      <c r="M182" s="20"/>
      <c r="S182" s="18"/>
    </row>
    <row r="183" spans="1:19" hidden="1" x14ac:dyDescent="0.2">
      <c r="A183" s="109" t="s">
        <v>121</v>
      </c>
      <c r="B183" s="18"/>
      <c r="C183" s="18"/>
      <c r="D183" s="87" t="s">
        <v>121</v>
      </c>
      <c r="E183" s="88">
        <f>SUM(E169:E182)</f>
        <v>37997754.710000008</v>
      </c>
      <c r="F183" s="88" t="e">
        <f>SUM(F173:F182)</f>
        <v>#REF!</v>
      </c>
      <c r="G183" s="166"/>
      <c r="H183" s="88"/>
      <c r="I183" s="89">
        <f>SUM(I169:I182)</f>
        <v>38292283.790000014</v>
      </c>
      <c r="J183" s="89">
        <f>SUM(J169:J182)</f>
        <v>0</v>
      </c>
      <c r="K183" s="89">
        <f>SUM(K169:K182)</f>
        <v>38292283.790000014</v>
      </c>
      <c r="M183" s="20"/>
      <c r="S183" s="18"/>
    </row>
    <row r="184" spans="1:19" hidden="1" x14ac:dyDescent="0.2">
      <c r="B184" s="18"/>
      <c r="C184" s="18"/>
      <c r="F184" s="19"/>
      <c r="G184" s="148"/>
      <c r="H184" s="19"/>
      <c r="I184" s="19"/>
      <c r="J184" s="19"/>
      <c r="K184" s="19"/>
      <c r="M184" s="20"/>
      <c r="S184" s="18"/>
    </row>
    <row r="185" spans="1:19" hidden="1" x14ac:dyDescent="0.2">
      <c r="B185" s="18"/>
      <c r="C185" s="18"/>
      <c r="E185" s="19">
        <f>+E183-E142</f>
        <v>1913063.1099999994</v>
      </c>
      <c r="F185" s="19"/>
      <c r="G185" s="148"/>
      <c r="H185" s="19"/>
      <c r="I185" s="19">
        <f>+I183-I142</f>
        <v>2014117.7200000063</v>
      </c>
      <c r="J185" s="19">
        <f>+J183-J142</f>
        <v>0</v>
      </c>
      <c r="K185" s="19">
        <f>+K183-K142</f>
        <v>2014117.7200000063</v>
      </c>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B188" s="18"/>
      <c r="C188" s="18"/>
      <c r="F188" s="19"/>
      <c r="G188" s="148"/>
      <c r="H188" s="19"/>
      <c r="I188" s="19"/>
      <c r="J188" s="19"/>
      <c r="K188" s="19"/>
      <c r="M188" s="20"/>
      <c r="S188" s="18"/>
    </row>
    <row r="189" spans="1:19" hidden="1" x14ac:dyDescent="0.2">
      <c r="A189" s="100" t="s">
        <v>63</v>
      </c>
      <c r="B189" s="18"/>
      <c r="C189" s="18"/>
      <c r="D189" s="4" t="s">
        <v>63</v>
      </c>
      <c r="F189" s="19"/>
      <c r="G189" s="148" t="e">
        <f>+G34+G42+G44+G46+G48+#REF!+G57+G59+G15+G50+G66+G55+G65</f>
        <v>#REF!</v>
      </c>
      <c r="H189" s="19" t="e">
        <f>+H34+H52+H42+H44+H46+H48+#REF!+H57+H59+H15+H50+H66+H55</f>
        <v>#REF!</v>
      </c>
      <c r="I189" s="19"/>
      <c r="J189" s="19"/>
      <c r="K189" s="19"/>
      <c r="M189" s="20"/>
      <c r="S189" s="18"/>
    </row>
    <row r="190" spans="1:19" hidden="1" x14ac:dyDescent="0.2">
      <c r="A190" s="100" t="s">
        <v>64</v>
      </c>
      <c r="B190" s="18"/>
      <c r="C190" s="18"/>
      <c r="D190" s="34" t="s">
        <v>64</v>
      </c>
      <c r="F190" s="19"/>
      <c r="G190" s="148">
        <f>+G9+G98+G10</f>
        <v>-3937387.45</v>
      </c>
      <c r="H190" s="19">
        <f>+H9+H98+H10</f>
        <v>0</v>
      </c>
      <c r="I190" s="19"/>
      <c r="J190" s="19"/>
      <c r="K190" s="19"/>
      <c r="M190" s="20"/>
      <c r="S190" s="18"/>
    </row>
    <row r="191" spans="1:19" hidden="1" x14ac:dyDescent="0.2">
      <c r="A191" s="100" t="s">
        <v>65</v>
      </c>
      <c r="B191" s="18"/>
      <c r="C191" s="18"/>
      <c r="D191" s="34" t="s">
        <v>65</v>
      </c>
      <c r="F191" s="19"/>
      <c r="G191" s="148">
        <f>+G106+G107+G108+G109+G105+G110</f>
        <v>3471529.54</v>
      </c>
      <c r="H191" s="19">
        <f>+H106+H107+H108+H109+H105</f>
        <v>0</v>
      </c>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67" t="e">
        <f>+G189+G190+G191-G146</f>
        <v>#REF!</v>
      </c>
      <c r="H193" s="110" t="e">
        <f>+H189+H190+H191-H146</f>
        <v>#REF!</v>
      </c>
      <c r="I193" s="19"/>
      <c r="J193" s="19"/>
      <c r="K193" s="19"/>
      <c r="M193" s="20"/>
      <c r="S193" s="18"/>
    </row>
    <row r="194" spans="1:19" hidden="1" x14ac:dyDescent="0.2">
      <c r="B194" s="18"/>
      <c r="C194" s="18"/>
      <c r="F194" s="19"/>
      <c r="H194" s="29" t="e">
        <f>+H190+H191+H189+G189+G190+G191</f>
        <v>#REF!</v>
      </c>
      <c r="I194" s="19"/>
      <c r="J194" s="19"/>
      <c r="K194" s="19"/>
      <c r="M194" s="20"/>
      <c r="S194" s="18"/>
    </row>
    <row r="195" spans="1:19" hidden="1" x14ac:dyDescent="0.2">
      <c r="B195" s="18"/>
      <c r="C195" s="18"/>
      <c r="F195" s="19"/>
      <c r="G195" s="148"/>
      <c r="H195" s="29" t="e">
        <f>+H194-G146-H146</f>
        <v>#REF!</v>
      </c>
      <c r="I195" s="19"/>
      <c r="J195" s="19"/>
      <c r="K195" s="19"/>
      <c r="M195" s="20"/>
      <c r="S195" s="18"/>
    </row>
    <row r="196" spans="1:19" x14ac:dyDescent="0.2">
      <c r="B196" s="18"/>
      <c r="C196" s="18"/>
      <c r="F196" s="19"/>
      <c r="G196" s="148"/>
      <c r="H196" s="19"/>
      <c r="I196" s="19"/>
      <c r="J196" s="19"/>
      <c r="K196" s="19"/>
      <c r="M196" s="20"/>
      <c r="S196" s="18"/>
    </row>
    <row r="197" spans="1:19" ht="12.75" hidden="1" customHeight="1" x14ac:dyDescent="0.2">
      <c r="B197" s="18"/>
      <c r="C197" s="18"/>
      <c r="F197" s="19"/>
      <c r="G197" s="148"/>
      <c r="H197" s="19"/>
      <c r="I197" s="19"/>
      <c r="J197" s="19"/>
      <c r="K197" s="19"/>
      <c r="M197" s="20"/>
      <c r="S197" s="18"/>
    </row>
    <row r="198" spans="1:19" ht="12.75" hidden="1" customHeight="1" x14ac:dyDescent="0.2">
      <c r="A198" s="101" t="s">
        <v>144</v>
      </c>
      <c r="B198" s="18"/>
      <c r="C198" s="18"/>
      <c r="D198" s="22" t="s">
        <v>144</v>
      </c>
      <c r="E198" s="4" t="s">
        <v>121</v>
      </c>
      <c r="F198" s="19" t="s">
        <v>147</v>
      </c>
      <c r="G198" s="148" t="s">
        <v>148</v>
      </c>
      <c r="H198" s="19"/>
      <c r="I198" s="19"/>
      <c r="J198" s="19"/>
      <c r="K198" s="19"/>
      <c r="M198" s="20"/>
      <c r="S198" s="18"/>
    </row>
    <row r="199" spans="1:19" ht="12.75" hidden="1" customHeight="1" x14ac:dyDescent="0.2">
      <c r="A199" s="101" t="s">
        <v>145</v>
      </c>
      <c r="B199" s="18"/>
      <c r="C199" s="18"/>
      <c r="D199" s="22" t="s">
        <v>145</v>
      </c>
      <c r="E199" s="19">
        <v>19066028.010000002</v>
      </c>
      <c r="F199" s="19">
        <v>62319564.710000008</v>
      </c>
      <c r="G199" s="148">
        <v>-43253536.700000003</v>
      </c>
      <c r="H199" s="19"/>
      <c r="I199" s="19"/>
      <c r="J199" s="19"/>
      <c r="K199" s="19"/>
      <c r="M199" s="20"/>
      <c r="S199" s="18"/>
    </row>
    <row r="200" spans="1:19" ht="12.75" hidden="1" customHeight="1" x14ac:dyDescent="0.2">
      <c r="A200" s="101" t="s">
        <v>146</v>
      </c>
      <c r="B200" s="18"/>
      <c r="C200" s="18"/>
      <c r="D200" s="22" t="s">
        <v>146</v>
      </c>
      <c r="F200" s="19"/>
      <c r="G200" s="148"/>
      <c r="H200" s="19"/>
      <c r="I200" s="19"/>
      <c r="J200" s="19"/>
      <c r="K200" s="19"/>
      <c r="M200" s="20"/>
      <c r="S200" s="18"/>
    </row>
    <row r="201" spans="1:19" ht="12.75" hidden="1" customHeight="1" x14ac:dyDescent="0.2">
      <c r="A201" s="100" t="s">
        <v>149</v>
      </c>
      <c r="B201" s="18"/>
      <c r="C201" s="18"/>
      <c r="D201" s="4" t="s">
        <v>149</v>
      </c>
      <c r="E201" s="29">
        <f>SUM(F201:G201)</f>
        <v>905563</v>
      </c>
      <c r="F201" s="19">
        <v>905563</v>
      </c>
      <c r="G201" s="148"/>
      <c r="H201" s="19"/>
      <c r="I201" s="19"/>
      <c r="J201" s="19"/>
      <c r="K201" s="19"/>
      <c r="M201" s="20"/>
      <c r="S201" s="18"/>
    </row>
    <row r="202" spans="1:19" ht="12.75" hidden="1" customHeight="1" x14ac:dyDescent="0.2">
      <c r="A202" s="100" t="s">
        <v>150</v>
      </c>
      <c r="B202" s="18"/>
      <c r="C202" s="18"/>
      <c r="D202" s="4" t="s">
        <v>150</v>
      </c>
      <c r="E202" s="29">
        <f>SUM(F202:G202)</f>
        <v>-905563</v>
      </c>
      <c r="G202" s="148">
        <v>-905563</v>
      </c>
      <c r="H202" s="19"/>
      <c r="I202" s="19"/>
      <c r="J202" s="19"/>
      <c r="K202" s="19"/>
      <c r="M202" s="20"/>
      <c r="S202" s="18"/>
    </row>
    <row r="203" spans="1:19" ht="12.75" hidden="1" customHeight="1" x14ac:dyDescent="0.2">
      <c r="B203" s="18"/>
      <c r="C203" s="18"/>
      <c r="F203" s="19"/>
      <c r="G203" s="148"/>
      <c r="H203" s="19"/>
      <c r="I203" s="19"/>
      <c r="J203" s="19"/>
      <c r="K203" s="19"/>
      <c r="M203" s="20"/>
      <c r="S203" s="18"/>
    </row>
    <row r="204" spans="1:19" ht="12.75" hidden="1" customHeight="1" x14ac:dyDescent="0.2">
      <c r="B204" s="18"/>
      <c r="C204" s="18"/>
      <c r="E204" s="94"/>
      <c r="F204" s="95"/>
      <c r="G204" s="169"/>
      <c r="H204" s="19"/>
      <c r="I204" s="19"/>
      <c r="J204" s="19"/>
      <c r="K204" s="19"/>
      <c r="M204" s="20"/>
      <c r="S204" s="18"/>
    </row>
    <row r="205" spans="1:19" ht="12.75" hidden="1" customHeight="1" x14ac:dyDescent="0.2">
      <c r="B205" s="18"/>
      <c r="C205" s="18"/>
      <c r="E205" s="29">
        <f>SUM(E199:E204)</f>
        <v>19066028.010000002</v>
      </c>
      <c r="F205" s="29">
        <f>SUM(F199:F204)</f>
        <v>63225127.710000008</v>
      </c>
      <c r="G205" s="151">
        <f>SUM(G199:G204)</f>
        <v>-44159099.700000003</v>
      </c>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83"/>
      <c r="F207" s="19"/>
      <c r="G207" s="232"/>
      <c r="H207" s="19"/>
      <c r="I207" s="19"/>
      <c r="J207" s="19"/>
      <c r="K207" s="19"/>
      <c r="M207" s="20"/>
      <c r="S207" s="18"/>
    </row>
    <row r="208" spans="1:19" x14ac:dyDescent="0.2">
      <c r="B208" s="18"/>
      <c r="C208" s="18"/>
      <c r="E208" s="83"/>
      <c r="F208" s="19"/>
      <c r="G208" s="148"/>
      <c r="H208" s="19"/>
      <c r="I208" s="19"/>
      <c r="J208" s="19"/>
      <c r="K208" s="19"/>
      <c r="M208" s="20"/>
      <c r="S208" s="18"/>
    </row>
    <row r="209" spans="1:19" x14ac:dyDescent="0.2">
      <c r="B209" s="18"/>
      <c r="C209" s="18"/>
      <c r="E209" s="234"/>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x14ac:dyDescent="0.2">
      <c r="C276" s="18"/>
      <c r="F276" s="19"/>
      <c r="G276" s="148"/>
      <c r="H276" s="19"/>
      <c r="I276" s="19"/>
      <c r="J276" s="19"/>
      <c r="K276" s="19"/>
      <c r="M276" s="20"/>
      <c r="S276" s="18"/>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x14ac:dyDescent="0.2">
      <c r="H325" s="19"/>
    </row>
  </sheetData>
  <mergeCells count="1">
    <mergeCell ref="Q5:R5"/>
  </mergeCells>
  <conditionalFormatting sqref="H193 G195">
    <cfRule type="cellIs" dxfId="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5"/>
  <sheetViews>
    <sheetView topLeftCell="A25"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2" t="s">
        <v>66</v>
      </c>
    </row>
    <row r="4" spans="1:22" x14ac:dyDescent="0.2">
      <c r="A4" s="99"/>
      <c r="B4" s="7"/>
      <c r="C4" s="3"/>
      <c r="D4" s="3"/>
      <c r="E4" s="212"/>
      <c r="F4" s="8"/>
      <c r="G4" s="215"/>
      <c r="H4" s="216"/>
      <c r="I4" s="202"/>
      <c r="J4" s="202"/>
      <c r="K4" s="202"/>
      <c r="M4" s="10"/>
      <c r="P4" s="282" t="s">
        <v>1</v>
      </c>
    </row>
    <row r="5" spans="1:22" x14ac:dyDescent="0.2">
      <c r="E5" s="217" t="s">
        <v>208</v>
      </c>
      <c r="F5" s="282" t="s">
        <v>3</v>
      </c>
      <c r="G5" s="282" t="s">
        <v>4</v>
      </c>
      <c r="H5" s="282"/>
      <c r="I5" s="204" t="s">
        <v>208</v>
      </c>
      <c r="J5" s="261" t="s">
        <v>180</v>
      </c>
      <c r="K5" s="204" t="s">
        <v>209</v>
      </c>
      <c r="L5" s="282" t="s">
        <v>5</v>
      </c>
      <c r="M5" s="11" t="s">
        <v>6</v>
      </c>
      <c r="N5" s="11" t="s">
        <v>0</v>
      </c>
      <c r="O5" s="11" t="s">
        <v>8</v>
      </c>
      <c r="P5" s="282" t="s">
        <v>9</v>
      </c>
      <c r="Q5" s="576" t="s">
        <v>10</v>
      </c>
      <c r="R5" s="576"/>
      <c r="U5" s="12" t="s">
        <v>11</v>
      </c>
    </row>
    <row r="6" spans="1:22" x14ac:dyDescent="0.2">
      <c r="E6" s="218">
        <v>42766</v>
      </c>
      <c r="F6" s="13" t="s">
        <v>12</v>
      </c>
      <c r="G6" s="14" t="s">
        <v>13</v>
      </c>
      <c r="H6" s="14" t="s">
        <v>8</v>
      </c>
      <c r="I6" s="205">
        <v>42794</v>
      </c>
      <c r="J6" s="261" t="s">
        <v>210</v>
      </c>
      <c r="K6" s="205">
        <f>I6</f>
        <v>42794</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Jan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Jan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Jan 2017'!$A$1:$I$251,9,FALSE)</f>
        <v>410398.81000000006</v>
      </c>
      <c r="F15" s="30">
        <v>0</v>
      </c>
      <c r="G15" s="33">
        <v>0</v>
      </c>
      <c r="H15" s="30">
        <v>0</v>
      </c>
      <c r="I15" s="115">
        <f>E15+F15+G15+H15</f>
        <v>410398.81000000006</v>
      </c>
      <c r="J15" s="30">
        <v>0</v>
      </c>
      <c r="K15" s="115">
        <f>I15+J15</f>
        <v>410398.81000000006</v>
      </c>
      <c r="L15" s="210" t="s">
        <v>22</v>
      </c>
      <c r="M15" s="20"/>
      <c r="S15" s="18"/>
    </row>
    <row r="16" spans="1:22" x14ac:dyDescent="0.2">
      <c r="A16" s="100" t="s">
        <v>157</v>
      </c>
      <c r="B16" s="28"/>
      <c r="C16" s="28" t="s">
        <v>37</v>
      </c>
      <c r="D16" s="4" t="s">
        <v>192</v>
      </c>
      <c r="E16" s="32">
        <f>VLOOKUP(A16,'DEK Jan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Jan 2017'!$A$1:$I$251,9,FALSE)</f>
        <v>0</v>
      </c>
      <c r="F17" s="30">
        <v>0</v>
      </c>
      <c r="G17" s="33">
        <v>0</v>
      </c>
      <c r="H17" s="33">
        <v>0</v>
      </c>
      <c r="I17" s="115">
        <f>E17+F17+G17+H17</f>
        <v>0</v>
      </c>
      <c r="J17" s="268">
        <v>1927070.51</v>
      </c>
      <c r="K17" s="115">
        <f t="shared" ref="K17" si="1">I17+J17</f>
        <v>1927070.51</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0</v>
      </c>
      <c r="H19" s="29">
        <f t="shared" si="2"/>
        <v>0</v>
      </c>
      <c r="I19" s="269">
        <f t="shared" si="2"/>
        <v>1758661.81</v>
      </c>
      <c r="J19" s="49">
        <f t="shared" si="2"/>
        <v>1927070.51</v>
      </c>
      <c r="K19" s="269">
        <f>SUM(K15:K18)</f>
        <v>3685732.3200000003</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Jan 2017'!$A$1:$I$251,9,FALSE)</f>
        <v>1432699.6200000013</v>
      </c>
      <c r="F22" s="33">
        <v>0</v>
      </c>
      <c r="G22" s="33">
        <v>0</v>
      </c>
      <c r="H22" s="33">
        <v>-22206.16</v>
      </c>
      <c r="I22" s="115">
        <f>E22+F22+G22+H22</f>
        <v>1410493.4600000014</v>
      </c>
      <c r="J22" s="30">
        <v>-266473.8</v>
      </c>
      <c r="K22" s="115">
        <f>I22+J22</f>
        <v>1144019.6600000013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1432699.6200000013</v>
      </c>
      <c r="F24" s="29">
        <f t="shared" ref="F24:K24" si="3">SUM(F22:F23)</f>
        <v>0</v>
      </c>
      <c r="G24" s="29">
        <f t="shared" si="3"/>
        <v>0</v>
      </c>
      <c r="H24" s="29">
        <f t="shared" si="3"/>
        <v>-22206.16</v>
      </c>
      <c r="I24" s="269">
        <f t="shared" si="3"/>
        <v>1410493.4600000014</v>
      </c>
      <c r="J24" s="49">
        <f t="shared" si="3"/>
        <v>-266473.8</v>
      </c>
      <c r="K24" s="269">
        <f t="shared" si="3"/>
        <v>1144019.6600000013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Jan 2017'!$A$1:$I$251,9,FALSE)</f>
        <v>2178393</v>
      </c>
      <c r="F27" s="33">
        <v>0</v>
      </c>
      <c r="G27" s="33">
        <v>35523</v>
      </c>
      <c r="H27" s="29">
        <v>0</v>
      </c>
      <c r="I27" s="115">
        <f>E27+F27+G27+H27</f>
        <v>2213916</v>
      </c>
      <c r="J27" s="33">
        <v>0</v>
      </c>
      <c r="K27" s="115">
        <f>I27+J27</f>
        <v>2213916</v>
      </c>
      <c r="L27" s="210" t="s">
        <v>22</v>
      </c>
      <c r="M27" s="226"/>
      <c r="S27" s="28" t="s">
        <v>23</v>
      </c>
    </row>
    <row r="28" spans="1:21" ht="13.5" customHeight="1" x14ac:dyDescent="0.2">
      <c r="A28" s="100" t="s">
        <v>80</v>
      </c>
      <c r="B28" s="28"/>
      <c r="C28" s="28" t="s">
        <v>24</v>
      </c>
      <c r="D28" s="4" t="s">
        <v>204</v>
      </c>
      <c r="E28" s="32">
        <f>VLOOKUP(A28,'DEK Jan 2017'!$A$1:$I$251,9,FALSE)</f>
        <v>-436401.79999999981</v>
      </c>
      <c r="F28" s="33">
        <v>0</v>
      </c>
      <c r="G28" s="33">
        <v>436402</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1741991.2000000002</v>
      </c>
      <c r="F30" s="44">
        <f t="shared" ref="F30:K30" si="4">SUM(F27:F28)</f>
        <v>0</v>
      </c>
      <c r="G30" s="33">
        <f t="shared" si="4"/>
        <v>471925</v>
      </c>
      <c r="H30" s="33">
        <f t="shared" si="4"/>
        <v>0</v>
      </c>
      <c r="I30" s="269">
        <f t="shared" si="4"/>
        <v>2213916.2000000002</v>
      </c>
      <c r="J30" s="33">
        <f t="shared" si="4"/>
        <v>0</v>
      </c>
      <c r="K30" s="269">
        <f t="shared" si="4"/>
        <v>2213916.2000000002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Jan 2017'!$A$1:$I$251,9,FALSE)</f>
        <v>855789.94000000181</v>
      </c>
      <c r="F52" s="33">
        <v>0</v>
      </c>
      <c r="G52" s="33">
        <v>-150863.97</v>
      </c>
      <c r="H52" s="33">
        <v>0</v>
      </c>
      <c r="I52" s="115">
        <f>E52+F52+G52+H52</f>
        <v>704925.97000000183</v>
      </c>
      <c r="J52" s="30">
        <v>-1660596.71</v>
      </c>
      <c r="K52" s="115">
        <f>I52+J52</f>
        <v>-955670.73999999813</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Jan 2017'!$A$1:$I$251,9,FALSE)</f>
        <v>5110664</v>
      </c>
      <c r="F53" s="33">
        <v>0</v>
      </c>
      <c r="G53" s="33">
        <v>0</v>
      </c>
      <c r="H53" s="33">
        <v>0</v>
      </c>
      <c r="I53" s="115">
        <f>E53+F53+G53+H53</f>
        <v>5110664</v>
      </c>
      <c r="J53" s="33">
        <v>0</v>
      </c>
      <c r="K53" s="115">
        <f>I53+J53</f>
        <v>5110664</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Jan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Jan 2017'!$A$1:$I$251,9,FALSE)</f>
        <v>1600000</v>
      </c>
      <c r="F59" s="33">
        <v>0</v>
      </c>
      <c r="G59" s="33">
        <v>0</v>
      </c>
      <c r="H59" s="33">
        <v>0</v>
      </c>
      <c r="I59" s="115">
        <f>E59+F59+G59+H59</f>
        <v>1600000</v>
      </c>
      <c r="J59" s="33">
        <v>0</v>
      </c>
      <c r="K59" s="115">
        <f>I59+J59</f>
        <v>1600000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Jan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Jan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Jan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Jan 2017'!$A$1:$I$251,9,FALSE)</f>
        <v>24298923.539999999</v>
      </c>
      <c r="F67" s="172"/>
      <c r="G67" s="33">
        <v>774586.19</v>
      </c>
      <c r="H67" s="172"/>
      <c r="I67" s="115">
        <f t="shared" si="5"/>
        <v>25073509.73</v>
      </c>
      <c r="J67" s="172"/>
      <c r="K67" s="115">
        <f t="shared" si="6"/>
        <v>25073509.73</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Jan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Jan 2017'!$A$1:$I$251,9,FALSE)</f>
        <v>8449980.2299999986</v>
      </c>
      <c r="F71" s="172"/>
      <c r="G71" s="33">
        <v>481612.7</v>
      </c>
      <c r="H71" s="33">
        <v>0</v>
      </c>
      <c r="I71" s="115">
        <f t="shared" si="5"/>
        <v>8931592.9299999978</v>
      </c>
      <c r="J71" s="33"/>
      <c r="K71" s="115">
        <f t="shared" si="6"/>
        <v>8931592.9299999978</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Jan 2017'!$A$1:$I$251,9,FALSE)</f>
        <v>-291183.35999999999</v>
      </c>
      <c r="F73" s="172"/>
      <c r="G73" s="33">
        <v>-31629.119999999999</v>
      </c>
      <c r="H73" s="33">
        <v>0</v>
      </c>
      <c r="I73" s="115">
        <f t="shared" si="5"/>
        <v>-322812.48</v>
      </c>
      <c r="J73" s="33"/>
      <c r="K73" s="115">
        <f t="shared" si="6"/>
        <v>-322812.48</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f>VLOOKUP(A75,'DEK Jan 2017'!$A$1:$I$251,9,FALSE)</f>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Jan 2017'!$A$1:$I$251,9,FALSE)</f>
        <v>9167531.5</v>
      </c>
      <c r="F77" s="172"/>
      <c r="G77" s="33">
        <v>362798.38</v>
      </c>
      <c r="H77" s="33">
        <v>0</v>
      </c>
      <c r="I77" s="115">
        <f t="shared" ref="I77" si="9">E77+F77+G77+H77</f>
        <v>9530329.8800000008</v>
      </c>
      <c r="J77" s="33"/>
      <c r="K77" s="115">
        <f t="shared" ref="K77" si="10">I77+J77</f>
        <v>9530329.8800000008</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f>VLOOKUP(A79,'DEK Jan 2017'!$A$1:$I$251,9,FALSE)</f>
        <v>647.5</v>
      </c>
      <c r="F79" s="172"/>
      <c r="G79" s="33">
        <v>445.51</v>
      </c>
      <c r="H79" s="33">
        <v>0</v>
      </c>
      <c r="I79" s="115">
        <f t="shared" ref="I79" si="11">E79+F79+G79+H79</f>
        <v>1093.01</v>
      </c>
      <c r="J79" s="33"/>
      <c r="K79" s="115">
        <f t="shared" ref="K79" si="12">I79+J79</f>
        <v>1093.01</v>
      </c>
      <c r="L79" s="210" t="s">
        <v>22</v>
      </c>
      <c r="M79" s="20" t="s">
        <v>247</v>
      </c>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Jan 2017'!$A$1:$I$251,9,FALSE)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f>VLOOKUP(A83,'DEK Jan 2017'!$A$1:$I$251,9,FALSE)</f>
        <v>2172194.7599999998</v>
      </c>
      <c r="F83" s="174"/>
      <c r="G83" s="36">
        <v>0</v>
      </c>
      <c r="H83" s="36">
        <v>0</v>
      </c>
      <c r="I83" s="116">
        <f t="shared" si="13"/>
        <v>2172194.7599999998</v>
      </c>
      <c r="J83" s="36"/>
      <c r="K83" s="116">
        <f t="shared" si="14"/>
        <v>2172194.7599999998</v>
      </c>
      <c r="M83" s="20"/>
      <c r="S83" s="18"/>
    </row>
    <row r="84" spans="1:21" x14ac:dyDescent="0.2">
      <c r="B84" s="54"/>
      <c r="C84" s="28"/>
      <c r="E84" s="221">
        <f>SUM(E42:E83)</f>
        <v>56277580.109999999</v>
      </c>
      <c r="F84" s="29">
        <f>SUM(F39:F65)+F36</f>
        <v>0</v>
      </c>
      <c r="G84" s="29">
        <f>SUM(G39:G83)+G36</f>
        <v>1436949.6899999997</v>
      </c>
      <c r="H84" s="29">
        <f>SUM(H39:H83)+H36</f>
        <v>0</v>
      </c>
      <c r="I84" s="269">
        <f>SUM(I39:I83)+I36</f>
        <v>57714529.800000004</v>
      </c>
      <c r="J84" s="49">
        <f>SUM(J39:J83)+J36</f>
        <v>-1660596.71</v>
      </c>
      <c r="K84" s="275">
        <f>SUM(K39:K83)+K36</f>
        <v>56053933.090000004</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Jan 2017'!$A$1:$I$251,9,FALSE)</f>
        <v>3535558.0100000002</v>
      </c>
      <c r="F86" s="35"/>
      <c r="G86" s="35">
        <v>-168872.84</v>
      </c>
      <c r="H86" s="35">
        <v>0</v>
      </c>
      <c r="I86" s="274">
        <f>E86+F86+G86+H86</f>
        <v>3366685.1700000004</v>
      </c>
      <c r="J86" s="274">
        <v>0</v>
      </c>
      <c r="K86" s="273">
        <f t="shared" ref="K86" si="15">I86+J86</f>
        <v>3366685.1700000004</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25.5" x14ac:dyDescent="0.2">
      <c r="A89" s="100" t="s">
        <v>125</v>
      </c>
      <c r="B89" s="28"/>
      <c r="C89" s="28" t="s">
        <v>73</v>
      </c>
      <c r="D89" s="4" t="s">
        <v>125</v>
      </c>
      <c r="E89" s="32">
        <f>VLOOKUP(A89,'DEK Jan 2017'!$A$1:$I$251,9,FALSE)</f>
        <v>1566515</v>
      </c>
      <c r="F89" s="30">
        <v>0</v>
      </c>
      <c r="G89" s="33">
        <v>-10546</v>
      </c>
      <c r="H89" s="30">
        <v>0</v>
      </c>
      <c r="I89" s="115">
        <f>E89+F89+G89+H89</f>
        <v>1555969</v>
      </c>
      <c r="J89" s="30">
        <v>0</v>
      </c>
      <c r="K89" s="115">
        <f t="shared" ref="K89:K94" si="16">I89+J89</f>
        <v>1555969</v>
      </c>
      <c r="L89" s="210"/>
      <c r="M89" s="20" t="s">
        <v>126</v>
      </c>
      <c r="P89" s="58"/>
      <c r="R89" s="4" t="s">
        <v>107</v>
      </c>
      <c r="S89" s="18">
        <v>182940</v>
      </c>
      <c r="U89" s="4" t="s">
        <v>36</v>
      </c>
    </row>
    <row r="90" spans="1:21" x14ac:dyDescent="0.2">
      <c r="A90" s="100" t="s">
        <v>281</v>
      </c>
      <c r="B90" s="28"/>
      <c r="C90" s="28" t="s">
        <v>280</v>
      </c>
      <c r="D90" s="4" t="s">
        <v>281</v>
      </c>
      <c r="E90" s="32">
        <f>VLOOKUP(A90,'DEK Jan 2017'!$A$1:$I$251,9,FALSE)</f>
        <v>893007.52</v>
      </c>
      <c r="F90" s="30">
        <v>0</v>
      </c>
      <c r="G90" s="33">
        <v>-11724</v>
      </c>
      <c r="H90" s="30">
        <v>0</v>
      </c>
      <c r="I90" s="115">
        <f t="shared" ref="I90:I94" si="17">E90+F90+G90+H90</f>
        <v>881283.52</v>
      </c>
      <c r="J90" s="30">
        <v>0</v>
      </c>
      <c r="K90" s="115">
        <f t="shared" si="16"/>
        <v>881283.52</v>
      </c>
      <c r="L90" s="210" t="s">
        <v>22</v>
      </c>
      <c r="M90" s="20"/>
      <c r="P90" s="58"/>
      <c r="S90" s="18">
        <v>186801</v>
      </c>
    </row>
    <row r="91" spans="1:21" x14ac:dyDescent="0.2">
      <c r="A91" s="100" t="s">
        <v>161</v>
      </c>
      <c r="B91" s="28"/>
      <c r="C91" s="28" t="s">
        <v>72</v>
      </c>
      <c r="D91" s="4" t="s">
        <v>224</v>
      </c>
      <c r="E91" s="32">
        <f>VLOOKUP(A91,'DEK Jan 2017'!$A$1:$I$251,9,FALSE)</f>
        <v>22515607.719999999</v>
      </c>
      <c r="F91" s="30">
        <v>0</v>
      </c>
      <c r="G91" s="33">
        <v>-208220</v>
      </c>
      <c r="H91" s="30">
        <v>0</v>
      </c>
      <c r="I91" s="115">
        <f t="shared" si="17"/>
        <v>22307387.719999999</v>
      </c>
      <c r="J91" s="30">
        <v>0</v>
      </c>
      <c r="K91" s="115">
        <f t="shared" si="16"/>
        <v>22307387.719999999</v>
      </c>
      <c r="L91" s="210" t="s">
        <v>22</v>
      </c>
      <c r="M91" s="20"/>
      <c r="P91" s="58"/>
      <c r="S91" s="18">
        <v>186801</v>
      </c>
    </row>
    <row r="92" spans="1:21" x14ac:dyDescent="0.2">
      <c r="A92" s="108" t="s">
        <v>171</v>
      </c>
      <c r="B92" s="28"/>
      <c r="C92" s="28" t="s">
        <v>122</v>
      </c>
      <c r="D92" s="4" t="s">
        <v>225</v>
      </c>
      <c r="E92" s="32">
        <f>VLOOKUP(A92,'DEK Jan 2017'!$A$1:$I$251,9,FALSE)</f>
        <v>2610153.5499999998</v>
      </c>
      <c r="F92" s="30">
        <v>0</v>
      </c>
      <c r="G92" s="33">
        <v>-46660</v>
      </c>
      <c r="H92" s="30">
        <v>0</v>
      </c>
      <c r="I92" s="115">
        <f t="shared" si="17"/>
        <v>2563493.5499999998</v>
      </c>
      <c r="J92" s="30">
        <v>0</v>
      </c>
      <c r="K92" s="115">
        <f t="shared" si="16"/>
        <v>2563493.5499999998</v>
      </c>
      <c r="L92" s="210" t="s">
        <v>22</v>
      </c>
      <c r="M92" s="20"/>
      <c r="P92" s="58"/>
      <c r="S92" s="18"/>
    </row>
    <row r="93" spans="1:21" x14ac:dyDescent="0.2">
      <c r="A93" s="108" t="s">
        <v>284</v>
      </c>
      <c r="B93" s="28"/>
      <c r="C93" s="28" t="s">
        <v>285</v>
      </c>
      <c r="D93" s="4" t="s">
        <v>284</v>
      </c>
      <c r="E93" s="32">
        <f>VLOOKUP(A93,'DEK Jan 2017'!$A$1:$I$251,9,FALSE)</f>
        <v>3983408.2</v>
      </c>
      <c r="F93" s="30">
        <v>0</v>
      </c>
      <c r="G93" s="33">
        <v>-72520</v>
      </c>
      <c r="H93" s="30">
        <v>0</v>
      </c>
      <c r="I93" s="115">
        <f t="shared" si="17"/>
        <v>3910888.2</v>
      </c>
      <c r="J93" s="30">
        <v>0</v>
      </c>
      <c r="K93" s="115">
        <f t="shared" si="16"/>
        <v>3910888.2</v>
      </c>
      <c r="L93" s="210" t="s">
        <v>22</v>
      </c>
      <c r="M93" s="20"/>
      <c r="P93" s="58"/>
      <c r="S93" s="18"/>
    </row>
    <row r="94" spans="1:21" x14ac:dyDescent="0.2">
      <c r="A94" s="108" t="s">
        <v>172</v>
      </c>
      <c r="B94" s="28"/>
      <c r="C94" s="28" t="s">
        <v>123</v>
      </c>
      <c r="D94" s="4" t="s">
        <v>226</v>
      </c>
      <c r="E94" s="32">
        <f>VLOOKUP(A94,'DEK Jan 2017'!$A$1:$I$251,9,FALSE)</f>
        <v>102533.1</v>
      </c>
      <c r="F94" s="30">
        <v>0</v>
      </c>
      <c r="G94" s="33">
        <v>-748</v>
      </c>
      <c r="H94" s="30">
        <v>0</v>
      </c>
      <c r="I94" s="115">
        <f t="shared" si="17"/>
        <v>101785.1</v>
      </c>
      <c r="J94" s="30">
        <v>0</v>
      </c>
      <c r="K94" s="115">
        <f t="shared" si="16"/>
        <v>101785.1</v>
      </c>
      <c r="L94" s="210" t="s">
        <v>22</v>
      </c>
      <c r="M94" s="20"/>
      <c r="P94" s="58"/>
      <c r="S94" s="18"/>
    </row>
    <row r="95" spans="1:21" x14ac:dyDescent="0.2">
      <c r="B95" s="28"/>
      <c r="C95" s="28"/>
      <c r="E95" s="35"/>
      <c r="F95" s="36"/>
      <c r="G95" s="150"/>
      <c r="H95" s="36"/>
      <c r="I95" s="116"/>
      <c r="J95" s="36"/>
      <c r="K95" s="116"/>
      <c r="M95" s="20"/>
      <c r="P95" s="58"/>
      <c r="S95" s="18"/>
    </row>
    <row r="96" spans="1:21" x14ac:dyDescent="0.2">
      <c r="B96" s="28"/>
      <c r="C96" s="18"/>
      <c r="E96" s="221">
        <f t="shared" ref="E96:K96" si="18">SUM(E89:E95)</f>
        <v>31671225.09</v>
      </c>
      <c r="F96" s="29">
        <f t="shared" si="18"/>
        <v>0</v>
      </c>
      <c r="G96" s="29">
        <f t="shared" si="18"/>
        <v>-350418</v>
      </c>
      <c r="H96" s="29">
        <f t="shared" si="18"/>
        <v>0</v>
      </c>
      <c r="I96" s="269">
        <f t="shared" si="18"/>
        <v>31320807.09</v>
      </c>
      <c r="J96" s="29">
        <f t="shared" si="18"/>
        <v>0</v>
      </c>
      <c r="K96" s="269">
        <f t="shared" si="18"/>
        <v>31320807.09</v>
      </c>
      <c r="L96" s="280" t="s">
        <v>260</v>
      </c>
      <c r="M96" s="20"/>
      <c r="S96" s="18"/>
    </row>
    <row r="97" spans="1:20" ht="12.75" hidden="1" customHeight="1" x14ac:dyDescent="0.2">
      <c r="B97" s="54" t="s">
        <v>135</v>
      </c>
      <c r="C97" s="18"/>
      <c r="E97" s="32"/>
      <c r="F97" s="29"/>
      <c r="G97" s="151"/>
      <c r="H97" s="151"/>
      <c r="I97" s="117"/>
      <c r="J97" s="29"/>
      <c r="K97" s="117"/>
      <c r="M97" s="20"/>
      <c r="S97" s="18"/>
    </row>
    <row r="98" spans="1:20" ht="12.75" hidden="1" customHeight="1" x14ac:dyDescent="0.2">
      <c r="A98" s="100" t="s">
        <v>108</v>
      </c>
      <c r="B98" s="28"/>
      <c r="C98" s="28" t="s">
        <v>71</v>
      </c>
      <c r="D98" s="4" t="s">
        <v>108</v>
      </c>
      <c r="E98" s="32">
        <v>0</v>
      </c>
      <c r="F98" s="30">
        <v>0</v>
      </c>
      <c r="G98" s="152">
        <v>0</v>
      </c>
      <c r="H98" s="152">
        <v>0</v>
      </c>
      <c r="I98" s="115">
        <f t="shared" ref="I98:K99" si="19">E98+F98+G98+H98</f>
        <v>0</v>
      </c>
      <c r="J98" s="30">
        <f t="shared" si="19"/>
        <v>0</v>
      </c>
      <c r="K98" s="115">
        <f t="shared" si="19"/>
        <v>0</v>
      </c>
      <c r="M98" s="20"/>
      <c r="S98" s="18">
        <v>174995</v>
      </c>
    </row>
    <row r="99" spans="1:20" ht="12.75" hidden="1" customHeight="1" x14ac:dyDescent="0.2">
      <c r="A99" s="100" t="s">
        <v>139</v>
      </c>
      <c r="B99" s="28"/>
      <c r="C99" s="28" t="s">
        <v>124</v>
      </c>
      <c r="D99" s="4" t="s">
        <v>139</v>
      </c>
      <c r="E99" s="32">
        <v>0</v>
      </c>
      <c r="F99" s="30">
        <v>0</v>
      </c>
      <c r="G99" s="152">
        <v>0</v>
      </c>
      <c r="H99" s="152">
        <v>0</v>
      </c>
      <c r="I99" s="115">
        <f t="shared" si="19"/>
        <v>0</v>
      </c>
      <c r="J99" s="30">
        <f t="shared" si="19"/>
        <v>0</v>
      </c>
      <c r="K99" s="115">
        <f t="shared" si="19"/>
        <v>0</v>
      </c>
      <c r="M99" s="20"/>
      <c r="S99" s="18"/>
    </row>
    <row r="100" spans="1:20" ht="7.5" hidden="1" customHeight="1" x14ac:dyDescent="0.2">
      <c r="B100" s="28"/>
      <c r="C100" s="18"/>
      <c r="D100" s="59"/>
      <c r="E100" s="32"/>
      <c r="F100" s="30"/>
      <c r="G100" s="152"/>
      <c r="H100" s="152"/>
      <c r="I100" s="115"/>
      <c r="J100" s="30"/>
      <c r="K100" s="115"/>
      <c r="M100" s="20"/>
      <c r="P100" s="58"/>
      <c r="S100" s="18"/>
    </row>
    <row r="101" spans="1:20" x14ac:dyDescent="0.2">
      <c r="B101" s="28"/>
      <c r="C101" s="18"/>
      <c r="E101" s="32"/>
      <c r="F101" s="30"/>
      <c r="G101" s="152"/>
      <c r="H101" s="152"/>
      <c r="I101" s="115"/>
      <c r="J101" s="30"/>
      <c r="K101" s="115"/>
      <c r="M101" s="20"/>
      <c r="S101" s="18"/>
    </row>
    <row r="102" spans="1:20" x14ac:dyDescent="0.2">
      <c r="B102" s="18"/>
      <c r="C102" s="131" t="s">
        <v>41</v>
      </c>
      <c r="D102" s="135"/>
      <c r="E102" s="133">
        <f>+E12+E24+E30+E84+E86+E96+E98+E19+E99</f>
        <v>96417715.840000004</v>
      </c>
      <c r="F102" s="133">
        <f>+F12+F24+F30+F84+F96+F98+F19+F99</f>
        <v>0</v>
      </c>
      <c r="G102" s="133">
        <f>+G12+G24+G30+G84+G86+G96+G98+G19+G99</f>
        <v>1389583.8499999996</v>
      </c>
      <c r="H102" s="133">
        <f>+H12+H24+H30+H84+H86+H96+H98+H19+H99</f>
        <v>-22206.16</v>
      </c>
      <c r="I102" s="134">
        <f>+I12+I24+I30+I84+I86+I96+I98+I19+I99</f>
        <v>97785093.530000016</v>
      </c>
      <c r="J102" s="133">
        <f>+J12+J24+J30+J84+J86+J96+J98+J19+J99</f>
        <v>0</v>
      </c>
      <c r="K102" s="134">
        <f>+K12+K24+K30+K84+K86+K96+K98+K19+K99</f>
        <v>97785093.530000001</v>
      </c>
      <c r="M102" s="45"/>
      <c r="N102" s="143"/>
      <c r="S102" s="18"/>
    </row>
    <row r="103" spans="1:20" x14ac:dyDescent="0.2">
      <c r="A103" s="105"/>
      <c r="B103" s="18"/>
      <c r="C103" s="18"/>
      <c r="D103" s="12"/>
      <c r="E103" s="221"/>
      <c r="F103" s="50"/>
      <c r="G103" s="145"/>
      <c r="H103" s="145"/>
      <c r="I103" s="115"/>
      <c r="J103" s="30"/>
      <c r="K103" s="115"/>
      <c r="M103" s="45"/>
      <c r="S103" s="18"/>
    </row>
    <row r="104" spans="1:20" s="22" customFormat="1" x14ac:dyDescent="0.2">
      <c r="A104" s="106"/>
      <c r="B104" s="21" t="s">
        <v>130</v>
      </c>
      <c r="C104" s="46"/>
      <c r="D104" s="27"/>
      <c r="E104" s="222"/>
      <c r="F104" s="50"/>
      <c r="G104" s="145"/>
      <c r="H104" s="145"/>
      <c r="I104" s="113"/>
      <c r="J104" s="19"/>
      <c r="K104" s="113"/>
      <c r="M104" s="19"/>
      <c r="N104" s="20"/>
      <c r="O104" s="48"/>
      <c r="R104" s="57"/>
      <c r="S104" s="57"/>
    </row>
    <row r="105" spans="1:20" x14ac:dyDescent="0.2">
      <c r="A105" s="100" t="s">
        <v>114</v>
      </c>
      <c r="B105" s="18"/>
      <c r="C105" s="28" t="s">
        <v>52</v>
      </c>
      <c r="D105" s="4" t="s">
        <v>114</v>
      </c>
      <c r="E105" s="32">
        <f>VLOOKUP(A105,'DEK Jan 2017'!$A$1:$I$252,9,FALSE)</f>
        <v>4087465.8700000006</v>
      </c>
      <c r="F105" s="30">
        <v>0</v>
      </c>
      <c r="G105" s="33">
        <f>-1154246.54+-99732.19</f>
        <v>-1253978.73</v>
      </c>
      <c r="H105" s="33">
        <v>-501925.79</v>
      </c>
      <c r="I105" s="115">
        <f t="shared" ref="I105:I110" si="20">E105+F105+G105+H105</f>
        <v>2331561.3500000006</v>
      </c>
      <c r="J105" s="30">
        <v>0</v>
      </c>
      <c r="K105" s="115">
        <f t="shared" ref="K105:K110" si="21">I105+J105</f>
        <v>2331561.3500000006</v>
      </c>
      <c r="L105" s="210" t="s">
        <v>22</v>
      </c>
      <c r="M105" s="33"/>
      <c r="N105" s="42"/>
      <c r="O105" s="42"/>
      <c r="S105" s="18">
        <v>191400</v>
      </c>
      <c r="T105" s="58"/>
    </row>
    <row r="106" spans="1:20" x14ac:dyDescent="0.2">
      <c r="A106" s="100" t="s">
        <v>115</v>
      </c>
      <c r="B106" s="18"/>
      <c r="C106" s="28" t="s">
        <v>53</v>
      </c>
      <c r="D106" s="4" t="s">
        <v>115</v>
      </c>
      <c r="E106" s="32">
        <f>VLOOKUP(A106,'DEK Jan 2017'!$A$1:$I$252,9,FALSE)</f>
        <v>-3257610.8800000004</v>
      </c>
      <c r="F106" s="30">
        <v>0</v>
      </c>
      <c r="G106" s="33">
        <v>199217.93</v>
      </c>
      <c r="H106" s="33">
        <v>0</v>
      </c>
      <c r="I106" s="115">
        <f t="shared" si="20"/>
        <v>-3058392.95</v>
      </c>
      <c r="J106" s="30">
        <v>0</v>
      </c>
      <c r="K106" s="115">
        <f t="shared" si="21"/>
        <v>-3058392.95</v>
      </c>
      <c r="L106" s="210" t="s">
        <v>22</v>
      </c>
      <c r="M106" s="30"/>
      <c r="N106" s="42"/>
      <c r="O106" s="42"/>
      <c r="S106" s="18">
        <v>191800</v>
      </c>
      <c r="T106" s="58"/>
    </row>
    <row r="107" spans="1:20" ht="12.75" customHeight="1" x14ac:dyDescent="0.2">
      <c r="A107" s="100" t="s">
        <v>117</v>
      </c>
      <c r="B107" s="18"/>
      <c r="C107" s="28" t="s">
        <v>77</v>
      </c>
      <c r="D107" s="4" t="s">
        <v>117</v>
      </c>
      <c r="E107" s="32">
        <f>VLOOKUP(A107,'DEK Jan 2017'!$A$1:$I$252,9,FALSE)</f>
        <v>-2502214.27</v>
      </c>
      <c r="F107" s="30">
        <v>0</v>
      </c>
      <c r="G107" s="30">
        <v>0</v>
      </c>
      <c r="H107" s="33">
        <v>0</v>
      </c>
      <c r="I107" s="115">
        <f t="shared" si="20"/>
        <v>-2502214.27</v>
      </c>
      <c r="J107" s="30">
        <v>0</v>
      </c>
      <c r="K107" s="115">
        <f t="shared" si="21"/>
        <v>-2502214.27</v>
      </c>
      <c r="L107" s="210" t="s">
        <v>22</v>
      </c>
      <c r="M107" s="20"/>
      <c r="N107" s="42"/>
      <c r="O107" s="42"/>
      <c r="S107" s="18">
        <v>242995</v>
      </c>
      <c r="T107" s="58"/>
    </row>
    <row r="108" spans="1:20" x14ac:dyDescent="0.2">
      <c r="A108" s="100" t="s">
        <v>119</v>
      </c>
      <c r="B108" s="18"/>
      <c r="C108" s="28" t="s">
        <v>118</v>
      </c>
      <c r="D108" s="4" t="s">
        <v>119</v>
      </c>
      <c r="E108" s="32">
        <f>VLOOKUP(A108,'DEK Jan 2017'!$A$1:$I$252,9,FALSE)</f>
        <v>-1121279.7800000005</v>
      </c>
      <c r="F108" s="30">
        <v>0</v>
      </c>
      <c r="G108" s="30">
        <v>225358.55</v>
      </c>
      <c r="H108" s="33">
        <v>0</v>
      </c>
      <c r="I108" s="115">
        <f t="shared" si="20"/>
        <v>-895921.23000000045</v>
      </c>
      <c r="J108" s="30">
        <v>0</v>
      </c>
      <c r="K108" s="115">
        <f t="shared" si="21"/>
        <v>-895921.23000000045</v>
      </c>
      <c r="L108" s="210" t="s">
        <v>22</v>
      </c>
      <c r="M108" s="20"/>
      <c r="N108" s="42"/>
      <c r="O108" s="42"/>
      <c r="S108" s="18">
        <v>242997</v>
      </c>
      <c r="T108" s="58"/>
    </row>
    <row r="109" spans="1:20" x14ac:dyDescent="0.2">
      <c r="A109" s="100" t="s">
        <v>120</v>
      </c>
      <c r="B109" s="18"/>
      <c r="C109" s="28" t="s">
        <v>54</v>
      </c>
      <c r="D109" s="4" t="s">
        <v>120</v>
      </c>
      <c r="E109" s="32">
        <f>VLOOKUP(A109,'DEK Jan 2017'!$A$1:$I$252,9,FALSE)</f>
        <v>-266810.29999999981</v>
      </c>
      <c r="F109" s="33">
        <v>0</v>
      </c>
      <c r="G109" s="33">
        <v>99732.19</v>
      </c>
      <c r="H109" s="33">
        <v>64694.52</v>
      </c>
      <c r="I109" s="115">
        <f t="shared" si="20"/>
        <v>-102383.58999999982</v>
      </c>
      <c r="J109" s="33">
        <v>0</v>
      </c>
      <c r="K109" s="115">
        <f t="shared" si="21"/>
        <v>-102383.58999999982</v>
      </c>
      <c r="L109" s="210" t="s">
        <v>22</v>
      </c>
      <c r="M109" s="42"/>
      <c r="N109" s="42"/>
      <c r="O109" s="42"/>
      <c r="S109" s="18">
        <v>253130</v>
      </c>
      <c r="T109" s="58"/>
    </row>
    <row r="110" spans="1:20" x14ac:dyDescent="0.2">
      <c r="A110" s="100" t="s">
        <v>156</v>
      </c>
      <c r="B110" s="18"/>
      <c r="C110" s="28" t="s">
        <v>116</v>
      </c>
      <c r="D110" s="4" t="s">
        <v>211</v>
      </c>
      <c r="E110" s="32">
        <f>VLOOKUP(A110,'DEK Jan 2017'!$A$1:$I$252,9,FALSE)</f>
        <v>-5641313.3799999999</v>
      </c>
      <c r="F110" s="33"/>
      <c r="G110" s="33">
        <v>293961.94</v>
      </c>
      <c r="H110" s="33">
        <v>0</v>
      </c>
      <c r="I110" s="115">
        <f t="shared" si="20"/>
        <v>-5347351.4399999995</v>
      </c>
      <c r="J110" s="30">
        <v>0</v>
      </c>
      <c r="K110" s="115">
        <f t="shared" si="21"/>
        <v>-5347351.4399999995</v>
      </c>
      <c r="M110" s="42"/>
      <c r="N110" s="42"/>
      <c r="O110" s="42"/>
      <c r="S110" s="18"/>
      <c r="T110" s="58"/>
    </row>
    <row r="111" spans="1:20" x14ac:dyDescent="0.2">
      <c r="B111" s="18"/>
      <c r="C111" s="28"/>
      <c r="E111" s="36"/>
      <c r="F111" s="36"/>
      <c r="G111" s="150"/>
      <c r="H111" s="150"/>
      <c r="I111" s="116"/>
      <c r="J111" s="36"/>
      <c r="K111" s="116"/>
      <c r="M111" s="42"/>
      <c r="N111" s="42"/>
      <c r="O111" s="42"/>
      <c r="S111" s="18"/>
      <c r="T111" s="58"/>
    </row>
    <row r="112" spans="1:20" x14ac:dyDescent="0.2">
      <c r="B112" s="18"/>
      <c r="C112" s="61"/>
      <c r="D112" s="34"/>
      <c r="E112" s="44">
        <f t="shared" ref="E112:K112" si="22">SUM(E105:E111)</f>
        <v>-8701762.7400000002</v>
      </c>
      <c r="F112" s="33">
        <f t="shared" si="22"/>
        <v>0</v>
      </c>
      <c r="G112" s="33">
        <f t="shared" si="22"/>
        <v>-435708.12000000005</v>
      </c>
      <c r="H112" s="33">
        <f t="shared" si="22"/>
        <v>-437231.26999999996</v>
      </c>
      <c r="I112" s="269">
        <f t="shared" si="22"/>
        <v>-9574702.129999999</v>
      </c>
      <c r="J112" s="33">
        <f t="shared" si="22"/>
        <v>0</v>
      </c>
      <c r="K112" s="269">
        <f t="shared" si="22"/>
        <v>-9574702.129999999</v>
      </c>
      <c r="L112" s="280" t="s">
        <v>263</v>
      </c>
      <c r="M112" s="42"/>
      <c r="N112" s="42"/>
      <c r="O112" s="42"/>
      <c r="S112" s="18"/>
      <c r="T112" s="58"/>
    </row>
    <row r="113" spans="1:23" hidden="1" x14ac:dyDescent="0.2">
      <c r="B113" s="21" t="s">
        <v>188</v>
      </c>
      <c r="C113" s="61"/>
      <c r="D113" s="34"/>
      <c r="E113" s="33"/>
      <c r="F113" s="33"/>
      <c r="G113" s="144"/>
      <c r="H113" s="144"/>
      <c r="I113" s="115"/>
      <c r="J113" s="33"/>
      <c r="K113" s="115"/>
      <c r="M113" s="42"/>
      <c r="N113" s="42"/>
      <c r="O113" s="42"/>
      <c r="S113" s="18"/>
      <c r="T113" s="58"/>
    </row>
    <row r="114" spans="1:23" hidden="1" x14ac:dyDescent="0.2">
      <c r="A114" s="100" t="s">
        <v>185</v>
      </c>
      <c r="B114" s="18"/>
      <c r="C114" s="28" t="s">
        <v>186</v>
      </c>
      <c r="D114" s="4" t="s">
        <v>213</v>
      </c>
      <c r="E114" s="32">
        <v>0</v>
      </c>
      <c r="F114" s="33">
        <v>0</v>
      </c>
      <c r="G114" s="144">
        <v>0</v>
      </c>
      <c r="H114" s="144">
        <v>0</v>
      </c>
      <c r="I114" s="115">
        <f>E114+F114+G114+H114</f>
        <v>0</v>
      </c>
      <c r="J114" s="33">
        <v>0</v>
      </c>
      <c r="K114" s="115">
        <f>I114+J114</f>
        <v>0</v>
      </c>
      <c r="M114" s="42"/>
      <c r="N114" s="42"/>
      <c r="O114" s="42"/>
      <c r="S114" s="18"/>
      <c r="T114" s="58"/>
    </row>
    <row r="115" spans="1:23" ht="12.75" hidden="1" customHeight="1" x14ac:dyDescent="0.2">
      <c r="A115" s="100" t="s">
        <v>181</v>
      </c>
      <c r="B115" s="18"/>
      <c r="C115" s="28" t="s">
        <v>182</v>
      </c>
      <c r="D115" s="4" t="s">
        <v>213</v>
      </c>
      <c r="E115" s="32">
        <f>VLOOKUP(A115,'[23]DEK Jul 2013'!$A$1:$I$252,9,FALSE)</f>
        <v>0</v>
      </c>
      <c r="F115" s="33">
        <v>0</v>
      </c>
      <c r="G115" s="144">
        <v>0</v>
      </c>
      <c r="H115" s="144">
        <v>0</v>
      </c>
      <c r="I115" s="115">
        <f>E115+F115+G115+H115</f>
        <v>0</v>
      </c>
      <c r="J115" s="30">
        <v>0</v>
      </c>
      <c r="K115" s="115">
        <f>I115+J115</f>
        <v>0</v>
      </c>
      <c r="L115" s="4" t="s">
        <v>22</v>
      </c>
      <c r="M115" s="42"/>
      <c r="N115" s="42"/>
      <c r="O115" s="42"/>
      <c r="S115" s="18">
        <v>253130</v>
      </c>
      <c r="T115" s="58"/>
    </row>
    <row r="116" spans="1:23" hidden="1" x14ac:dyDescent="0.2">
      <c r="B116" s="18"/>
      <c r="C116" s="28"/>
      <c r="E116" s="33"/>
      <c r="F116" s="36"/>
      <c r="G116" s="150"/>
      <c r="H116" s="150"/>
      <c r="I116" s="116"/>
      <c r="J116" s="36"/>
      <c r="K116" s="116"/>
      <c r="M116" s="42"/>
      <c r="N116" s="42"/>
      <c r="O116" s="42"/>
      <c r="S116" s="18"/>
      <c r="T116" s="58"/>
    </row>
    <row r="117" spans="1:23" hidden="1" x14ac:dyDescent="0.2">
      <c r="B117" s="18"/>
      <c r="C117" s="28"/>
      <c r="E117" s="33">
        <f>SUM(E114:E115)</f>
        <v>0</v>
      </c>
      <c r="F117" s="33">
        <f t="shared" ref="F117:L117" si="23">SUM(F114:F115)</f>
        <v>0</v>
      </c>
      <c r="G117" s="144">
        <f t="shared" si="23"/>
        <v>0</v>
      </c>
      <c r="H117" s="144">
        <f t="shared" si="23"/>
        <v>0</v>
      </c>
      <c r="I117" s="128">
        <f>SUM(I114:I115)</f>
        <v>0</v>
      </c>
      <c r="J117" s="33">
        <f t="shared" si="23"/>
        <v>0</v>
      </c>
      <c r="K117" s="128">
        <f t="shared" si="23"/>
        <v>0</v>
      </c>
      <c r="L117" s="33">
        <f t="shared" si="23"/>
        <v>0</v>
      </c>
      <c r="M117" s="42"/>
      <c r="N117" s="42"/>
      <c r="O117" s="42"/>
      <c r="S117" s="18"/>
      <c r="T117" s="58"/>
    </row>
    <row r="118" spans="1:23" hidden="1" x14ac:dyDescent="0.2">
      <c r="B118" s="18"/>
      <c r="C118" s="61"/>
      <c r="D118" s="34"/>
      <c r="E118" s="33"/>
      <c r="F118" s="33"/>
      <c r="G118" s="144"/>
      <c r="H118" s="144"/>
      <c r="I118" s="115"/>
      <c r="J118" s="33"/>
      <c r="K118" s="115"/>
      <c r="M118" s="42"/>
      <c r="N118" s="42"/>
      <c r="O118" s="42"/>
      <c r="S118" s="18"/>
      <c r="T118" s="58"/>
    </row>
    <row r="119" spans="1:23" s="22" customFormat="1" x14ac:dyDescent="0.2">
      <c r="A119" s="101"/>
      <c r="B119" s="21" t="s">
        <v>214</v>
      </c>
      <c r="C119" s="63"/>
      <c r="D119" s="64"/>
      <c r="E119" s="33"/>
      <c r="F119" s="30"/>
      <c r="G119" s="152" t="s">
        <v>187</v>
      </c>
      <c r="H119" s="152"/>
      <c r="I119" s="113"/>
      <c r="J119" s="19"/>
      <c r="K119" s="113"/>
      <c r="M119" s="19"/>
      <c r="N119" s="42"/>
      <c r="O119" s="48"/>
      <c r="T119" s="46"/>
      <c r="U119" s="46"/>
    </row>
    <row r="120" spans="1:23" x14ac:dyDescent="0.2">
      <c r="A120" s="100" t="s">
        <v>162</v>
      </c>
      <c r="B120" s="18"/>
      <c r="C120" s="28" t="s">
        <v>76</v>
      </c>
      <c r="D120" s="4" t="s">
        <v>194</v>
      </c>
      <c r="E120" s="32">
        <f>VLOOKUP(A120,'DEK Jan 2017'!$A$1:$I$252,9,FALSE)</f>
        <v>0</v>
      </c>
      <c r="F120" s="30">
        <v>0</v>
      </c>
      <c r="G120" s="33">
        <v>0</v>
      </c>
      <c r="H120" s="33">
        <v>0</v>
      </c>
      <c r="I120" s="123">
        <f>E120+G120+H120+F120</f>
        <v>0</v>
      </c>
      <c r="J120" s="91">
        <v>0</v>
      </c>
      <c r="K120" s="123">
        <f>I120+J120</f>
        <v>0</v>
      </c>
      <c r="L120" s="259"/>
      <c r="M120" s="67"/>
      <c r="P120" s="51"/>
      <c r="Q120" s="18"/>
      <c r="R120" s="58"/>
      <c r="S120" s="18"/>
    </row>
    <row r="121" spans="1:23" x14ac:dyDescent="0.2">
      <c r="A121" s="100" t="s">
        <v>287</v>
      </c>
      <c r="B121" s="18"/>
      <c r="C121" s="28" t="s">
        <v>286</v>
      </c>
      <c r="D121" s="4" t="s">
        <v>287</v>
      </c>
      <c r="E121" s="35">
        <f>VLOOKUP(A121,'DEK Jan 2017'!$A$1:$I$252,9,FALSE)</f>
        <v>-5549675.7300000004</v>
      </c>
      <c r="F121" s="36">
        <v>0</v>
      </c>
      <c r="G121" s="36">
        <v>101438</v>
      </c>
      <c r="H121" s="36">
        <v>0</v>
      </c>
      <c r="I121" s="267">
        <f>E121+G121+H121+F121</f>
        <v>-5448237.7300000004</v>
      </c>
      <c r="J121" s="266">
        <v>0</v>
      </c>
      <c r="K121" s="267">
        <f>I121+J121</f>
        <v>-5448237.7300000004</v>
      </c>
      <c r="L121" s="210" t="s">
        <v>22</v>
      </c>
      <c r="M121" s="67"/>
      <c r="P121" s="51"/>
      <c r="Q121" s="18"/>
      <c r="R121" s="58"/>
      <c r="S121" s="18"/>
    </row>
    <row r="122" spans="1:23" ht="15" x14ac:dyDescent="0.25">
      <c r="B122" s="18"/>
      <c r="C122" s="28"/>
      <c r="D122" s="65"/>
      <c r="E122" s="83">
        <f>SUM(E120:E121)</f>
        <v>-5549675.7300000004</v>
      </c>
      <c r="F122" s="30"/>
      <c r="G122" s="33">
        <f>SUM(G120:G121)</f>
        <v>101438</v>
      </c>
      <c r="H122" s="33">
        <f>SUM(H120:H121)</f>
        <v>0</v>
      </c>
      <c r="I122" s="271">
        <f>SUM(I120:I121)</f>
        <v>-5448237.7300000004</v>
      </c>
      <c r="J122" s="1"/>
      <c r="K122" s="271">
        <f>SUM(K120:K121)</f>
        <v>-5448237.7300000004</v>
      </c>
      <c r="L122" s="281" t="s">
        <v>264</v>
      </c>
      <c r="M122" s="67"/>
      <c r="P122" s="51"/>
      <c r="Q122" s="18"/>
      <c r="R122" s="58"/>
      <c r="S122" s="18"/>
    </row>
    <row r="123" spans="1:23" x14ac:dyDescent="0.2">
      <c r="B123" s="21" t="s">
        <v>227</v>
      </c>
      <c r="C123" s="28"/>
      <c r="E123" s="83"/>
      <c r="F123" s="30"/>
      <c r="G123" s="152"/>
      <c r="H123" s="30"/>
      <c r="I123" s="115"/>
      <c r="J123" s="30"/>
      <c r="K123" s="115"/>
      <c r="M123" s="20"/>
      <c r="N123" s="42"/>
      <c r="O123" s="42"/>
      <c r="R123" s="58"/>
      <c r="S123" s="18"/>
      <c r="T123" s="58"/>
    </row>
    <row r="124" spans="1:23" x14ac:dyDescent="0.2">
      <c r="A124" s="100" t="s">
        <v>163</v>
      </c>
      <c r="B124" s="18"/>
      <c r="C124" s="28" t="s">
        <v>48</v>
      </c>
      <c r="D124" s="4" t="s">
        <v>195</v>
      </c>
      <c r="E124" s="32">
        <f>VLOOKUP(A124,'DEK Jan 2017'!$A$1:$I$252,9,FALSE)</f>
        <v>0</v>
      </c>
      <c r="F124" s="30">
        <v>0</v>
      </c>
      <c r="G124" s="33">
        <v>-428226</v>
      </c>
      <c r="H124" s="33">
        <v>0</v>
      </c>
      <c r="I124" s="115">
        <f>E124+F124+G124+H124</f>
        <v>-428226</v>
      </c>
      <c r="J124" s="30">
        <v>0</v>
      </c>
      <c r="K124" s="115">
        <f t="shared" ref="K124:K126" si="24">I124+J124</f>
        <v>-428226</v>
      </c>
      <c r="M124" s="62"/>
      <c r="P124" s="51"/>
      <c r="Q124" s="18"/>
      <c r="R124" s="58"/>
      <c r="S124" s="18">
        <v>254998</v>
      </c>
    </row>
    <row r="125" spans="1:23" x14ac:dyDescent="0.2">
      <c r="A125" s="100" t="s">
        <v>179</v>
      </c>
      <c r="B125" s="18"/>
      <c r="C125" s="28" t="s">
        <v>47</v>
      </c>
      <c r="D125" s="4" t="s">
        <v>196</v>
      </c>
      <c r="E125" s="32">
        <f>VLOOKUP(A125,'DEK Jan 2017'!$A$1:$I$252,9,FALSE)</f>
        <v>0</v>
      </c>
      <c r="F125" s="30">
        <v>0</v>
      </c>
      <c r="G125" s="30">
        <v>0</v>
      </c>
      <c r="H125" s="33">
        <v>0</v>
      </c>
      <c r="I125" s="115">
        <f>E125+F125+G125+H125</f>
        <v>0</v>
      </c>
      <c r="J125" s="30">
        <v>0</v>
      </c>
      <c r="K125" s="115">
        <f t="shared" si="24"/>
        <v>0</v>
      </c>
      <c r="M125" s="62"/>
      <c r="P125" s="51"/>
      <c r="Q125" s="18"/>
      <c r="R125" s="58"/>
      <c r="S125" s="18">
        <v>254998</v>
      </c>
      <c r="W125" s="47"/>
    </row>
    <row r="126" spans="1:23" x14ac:dyDescent="0.2">
      <c r="A126" s="100" t="s">
        <v>164</v>
      </c>
      <c r="B126" s="18"/>
      <c r="C126" s="28" t="s">
        <v>75</v>
      </c>
      <c r="D126" s="4" t="s">
        <v>215</v>
      </c>
      <c r="E126" s="32">
        <f>VLOOKUP(A126,'DEK Jan 2017'!$A$1:$I$252,9,FALSE)</f>
        <v>-14638.350000000004</v>
      </c>
      <c r="F126" s="30">
        <v>0</v>
      </c>
      <c r="G126" s="33">
        <v>39.520000000000003</v>
      </c>
      <c r="H126" s="33">
        <v>0</v>
      </c>
      <c r="I126" s="117">
        <f>E126+F126+G126+H126</f>
        <v>-14598.830000000004</v>
      </c>
      <c r="J126" s="30">
        <v>0</v>
      </c>
      <c r="K126" s="117">
        <f t="shared" si="24"/>
        <v>-14598.830000000004</v>
      </c>
      <c r="L126" s="230"/>
      <c r="M126" s="62"/>
      <c r="P126" s="51"/>
      <c r="Q126" s="18"/>
      <c r="R126" s="58"/>
      <c r="S126" s="18">
        <v>254210</v>
      </c>
    </row>
    <row r="127" spans="1:23" x14ac:dyDescent="0.2">
      <c r="B127" s="18"/>
      <c r="C127" s="28"/>
      <c r="D127" s="65"/>
      <c r="E127" s="36"/>
      <c r="F127" s="36"/>
      <c r="G127" s="150"/>
      <c r="H127" s="36"/>
      <c r="I127" s="116"/>
      <c r="J127" s="36"/>
      <c r="K127" s="116"/>
      <c r="M127" s="62"/>
      <c r="P127" s="51"/>
      <c r="Q127" s="18"/>
      <c r="R127" s="58"/>
      <c r="S127" s="18"/>
    </row>
    <row r="128" spans="1:23" x14ac:dyDescent="0.2">
      <c r="B128" s="18"/>
      <c r="C128" s="28"/>
      <c r="E128" s="44">
        <f t="shared" ref="E128" si="25">SUM(E124:E127)</f>
        <v>-14638.350000000004</v>
      </c>
      <c r="F128" s="30">
        <f t="shared" ref="F128:K128" si="26">SUM(F124:F127)</f>
        <v>0</v>
      </c>
      <c r="G128" s="30">
        <f t="shared" si="26"/>
        <v>-428186.48</v>
      </c>
      <c r="H128" s="30">
        <f t="shared" si="26"/>
        <v>0</v>
      </c>
      <c r="I128" s="270">
        <f t="shared" si="26"/>
        <v>-442824.83</v>
      </c>
      <c r="J128" s="30">
        <f t="shared" si="26"/>
        <v>0</v>
      </c>
      <c r="K128" s="270">
        <f t="shared" si="26"/>
        <v>-442824.83</v>
      </c>
      <c r="L128" s="281" t="s">
        <v>265</v>
      </c>
      <c r="M128" s="20"/>
      <c r="N128" s="42"/>
      <c r="O128" s="42"/>
      <c r="R128" s="58"/>
      <c r="S128" s="18"/>
      <c r="T128" s="58"/>
    </row>
    <row r="129" spans="1:22" x14ac:dyDescent="0.2">
      <c r="B129" s="21" t="s">
        <v>216</v>
      </c>
      <c r="C129" s="28"/>
      <c r="E129" s="33"/>
      <c r="F129" s="30"/>
      <c r="G129" s="152"/>
      <c r="H129" s="152"/>
      <c r="I129" s="115"/>
      <c r="J129" s="30"/>
      <c r="K129" s="115"/>
      <c r="M129" s="20"/>
      <c r="N129" s="42"/>
      <c r="O129" s="42"/>
      <c r="R129" s="58"/>
      <c r="S129" s="18"/>
      <c r="T129" s="58"/>
    </row>
    <row r="130" spans="1:22" x14ac:dyDescent="0.2">
      <c r="A130" s="100" t="s">
        <v>165</v>
      </c>
      <c r="B130" s="18"/>
      <c r="C130" s="28" t="s">
        <v>45</v>
      </c>
      <c r="D130" s="4" t="s">
        <v>197</v>
      </c>
      <c r="E130" s="32">
        <f>VLOOKUP(A130,'DEK Jan 2017'!$A$1:$I$252,9,FALSE)</f>
        <v>-18222739.040000003</v>
      </c>
      <c r="F130" s="30">
        <v>0</v>
      </c>
      <c r="G130" s="30">
        <v>-62428.11</v>
      </c>
      <c r="H130" s="30">
        <v>0</v>
      </c>
      <c r="I130" s="115">
        <f>E130+F130+G130+H130</f>
        <v>-18285167.150000002</v>
      </c>
      <c r="J130" s="30">
        <v>0</v>
      </c>
      <c r="K130" s="115">
        <f t="shared" ref="K130:K136" si="27">I130+J130</f>
        <v>-18285167.150000002</v>
      </c>
      <c r="L130" s="210" t="s">
        <v>241</v>
      </c>
      <c r="M130" s="20"/>
      <c r="N130" s="42"/>
      <c r="O130" s="42"/>
      <c r="Q130" s="282">
        <v>75086</v>
      </c>
      <c r="R130" s="58" t="s">
        <v>44</v>
      </c>
      <c r="S130" s="18">
        <v>108201</v>
      </c>
      <c r="T130" s="58"/>
    </row>
    <row r="131" spans="1:22" x14ac:dyDescent="0.2">
      <c r="A131" s="100" t="s">
        <v>166</v>
      </c>
      <c r="B131" s="18"/>
      <c r="C131" s="28" t="s">
        <v>45</v>
      </c>
      <c r="D131" s="4" t="s">
        <v>198</v>
      </c>
      <c r="E131" s="32">
        <f>VLOOKUP(A131,'DEK Jan 2017'!$A$1:$I$252,9,FALSE)</f>
        <v>-48122456.990000002</v>
      </c>
      <c r="F131" s="30">
        <v>0</v>
      </c>
      <c r="G131" s="30">
        <f>-198078.7+-18809.67+-181004.09+35704.67+641994.61</f>
        <v>279806.82</v>
      </c>
      <c r="H131" s="30">
        <v>0</v>
      </c>
      <c r="I131" s="115">
        <f t="shared" ref="I131:I136" si="28">E131+F131+G131+H131</f>
        <v>-47842650.170000002</v>
      </c>
      <c r="J131" s="30">
        <v>0</v>
      </c>
      <c r="K131" s="115">
        <f t="shared" si="27"/>
        <v>-47842650.170000002</v>
      </c>
      <c r="L131" s="210" t="s">
        <v>242</v>
      </c>
      <c r="M131" s="20"/>
      <c r="N131" s="42"/>
      <c r="O131" s="42"/>
      <c r="R131" s="58" t="s">
        <v>44</v>
      </c>
      <c r="S131" s="18">
        <v>108301</v>
      </c>
      <c r="T131" s="58"/>
    </row>
    <row r="132" spans="1:22" x14ac:dyDescent="0.2">
      <c r="A132" s="100" t="s">
        <v>167</v>
      </c>
      <c r="B132" s="18"/>
      <c r="C132" s="28" t="s">
        <v>46</v>
      </c>
      <c r="D132" s="4" t="s">
        <v>199</v>
      </c>
      <c r="E132" s="32">
        <f>VLOOKUP(A132,'DEK Jan 2017'!$A$1:$I$252,9,FALSE)</f>
        <v>13661305.669999998</v>
      </c>
      <c r="F132" s="30">
        <v>0</v>
      </c>
      <c r="G132" s="30">
        <v>-419816.56</v>
      </c>
      <c r="H132" s="30">
        <v>0</v>
      </c>
      <c r="I132" s="115">
        <f t="shared" si="28"/>
        <v>13241489.109999998</v>
      </c>
      <c r="J132" s="30">
        <v>0</v>
      </c>
      <c r="K132" s="115">
        <f>I132+J132</f>
        <v>13241489.109999998</v>
      </c>
      <c r="L132" s="210" t="s">
        <v>242</v>
      </c>
      <c r="M132" s="20"/>
      <c r="N132" s="42"/>
      <c r="O132" s="42"/>
      <c r="S132" s="18">
        <v>108410</v>
      </c>
      <c r="T132" s="58"/>
    </row>
    <row r="133" spans="1:22" x14ac:dyDescent="0.2">
      <c r="A133" s="100" t="s">
        <v>168</v>
      </c>
      <c r="B133" s="18"/>
      <c r="C133" s="28" t="s">
        <v>74</v>
      </c>
      <c r="D133" s="4" t="s">
        <v>217</v>
      </c>
      <c r="E133" s="32">
        <f>VLOOKUP(A133,'DEK Jan 2017'!$A$1:$I$252,9,FALSE)</f>
        <v>2383801.09</v>
      </c>
      <c r="F133" s="30">
        <v>0</v>
      </c>
      <c r="G133" s="30">
        <v>21448.95</v>
      </c>
      <c r="H133" s="30">
        <v>0</v>
      </c>
      <c r="I133" s="115">
        <f t="shared" si="28"/>
        <v>2405250.04</v>
      </c>
      <c r="J133" s="30">
        <v>0</v>
      </c>
      <c r="K133" s="115">
        <f>I133+J133</f>
        <v>2405250.04</v>
      </c>
      <c r="M133" s="20"/>
      <c r="N133" s="42"/>
      <c r="O133" s="42"/>
      <c r="Q133" s="4" t="s">
        <v>50</v>
      </c>
      <c r="R133" s="4" t="s">
        <v>51</v>
      </c>
      <c r="S133" s="18">
        <v>182303</v>
      </c>
      <c r="T133" s="58"/>
    </row>
    <row r="134" spans="1:22" x14ac:dyDescent="0.2">
      <c r="A134" s="100" t="s">
        <v>169</v>
      </c>
      <c r="B134" s="18"/>
      <c r="C134" s="28" t="s">
        <v>49</v>
      </c>
      <c r="D134" s="4" t="s">
        <v>218</v>
      </c>
      <c r="E134" s="32">
        <f>VLOOKUP(A134,'DEK Jan 2017'!$A$1:$I$252,9,FALSE)</f>
        <v>4653290.9900000021</v>
      </c>
      <c r="F134" s="30">
        <v>0</v>
      </c>
      <c r="G134" s="30">
        <v>29392.42</v>
      </c>
      <c r="H134" s="30">
        <v>0</v>
      </c>
      <c r="I134" s="115">
        <f t="shared" si="28"/>
        <v>4682683.410000002</v>
      </c>
      <c r="J134" s="30">
        <v>0</v>
      </c>
      <c r="K134" s="115">
        <f t="shared" si="27"/>
        <v>4682683.410000002</v>
      </c>
      <c r="M134" s="20"/>
      <c r="N134" s="42"/>
      <c r="O134" s="42"/>
      <c r="Q134" s="4" t="s">
        <v>50</v>
      </c>
      <c r="S134" s="18">
        <v>182304</v>
      </c>
      <c r="T134" s="58"/>
    </row>
    <row r="135" spans="1:22" x14ac:dyDescent="0.2">
      <c r="A135" s="100" t="s">
        <v>170</v>
      </c>
      <c r="B135" s="18"/>
      <c r="C135" s="28" t="s">
        <v>42</v>
      </c>
      <c r="D135" s="4" t="s">
        <v>200</v>
      </c>
      <c r="E135" s="32">
        <f>VLOOKUP(A135,'DEK Jan 2017'!$A$1:$I$252,9,FALSE)</f>
        <v>-227049.17000000004</v>
      </c>
      <c r="F135" s="30">
        <v>0</v>
      </c>
      <c r="G135" s="30">
        <v>-6112.76</v>
      </c>
      <c r="H135" s="30">
        <v>0</v>
      </c>
      <c r="I135" s="115">
        <f t="shared" si="28"/>
        <v>-233161.93000000005</v>
      </c>
      <c r="J135" s="30">
        <v>0</v>
      </c>
      <c r="K135" s="115">
        <f t="shared" si="27"/>
        <v>-233161.93000000005</v>
      </c>
      <c r="L135" s="210" t="s">
        <v>241</v>
      </c>
      <c r="M135" s="20"/>
      <c r="N135" s="42"/>
      <c r="O135" s="42"/>
      <c r="R135" s="58" t="s">
        <v>44</v>
      </c>
      <c r="S135" s="18">
        <v>108101</v>
      </c>
      <c r="T135" s="58"/>
    </row>
    <row r="136" spans="1:22" x14ac:dyDescent="0.2">
      <c r="A136" s="100" t="s">
        <v>272</v>
      </c>
      <c r="B136" s="18"/>
      <c r="C136" s="28" t="s">
        <v>271</v>
      </c>
      <c r="D136" s="4" t="s">
        <v>272</v>
      </c>
      <c r="E136" s="32">
        <f>VLOOKUP(A136,'DEK Jan 2017'!$A$1:$I$252,9,FALSE)</f>
        <v>374.5</v>
      </c>
      <c r="F136" s="30">
        <v>0</v>
      </c>
      <c r="G136" s="30">
        <v>-374.5</v>
      </c>
      <c r="H136" s="30">
        <v>0</v>
      </c>
      <c r="I136" s="115">
        <f t="shared" si="28"/>
        <v>0</v>
      </c>
      <c r="J136" s="30">
        <v>0</v>
      </c>
      <c r="K136" s="115">
        <f t="shared" si="27"/>
        <v>0</v>
      </c>
      <c r="L136" s="210" t="s">
        <v>241</v>
      </c>
      <c r="M136" s="20"/>
      <c r="N136" s="42"/>
      <c r="O136" s="42"/>
      <c r="R136" s="58" t="s">
        <v>44</v>
      </c>
      <c r="S136" s="18">
        <v>108101</v>
      </c>
      <c r="T136" s="58"/>
    </row>
    <row r="137" spans="1:22" x14ac:dyDescent="0.2">
      <c r="B137" s="18"/>
      <c r="C137" s="28"/>
      <c r="E137" s="36"/>
      <c r="F137" s="36"/>
      <c r="G137" s="150"/>
      <c r="H137" s="150"/>
      <c r="I137" s="127"/>
      <c r="J137" s="68"/>
      <c r="K137" s="127"/>
      <c r="M137" s="62"/>
      <c r="P137" s="51"/>
      <c r="Q137" s="18"/>
      <c r="R137" s="58"/>
      <c r="S137" s="18">
        <v>254401</v>
      </c>
    </row>
    <row r="138" spans="1:22" x14ac:dyDescent="0.2">
      <c r="B138" s="18"/>
      <c r="C138" s="28"/>
      <c r="E138" s="44">
        <f t="shared" ref="E138:K138" si="29">SUM(E130:E137)</f>
        <v>-45873472.949999996</v>
      </c>
      <c r="F138" s="33">
        <f t="shared" si="29"/>
        <v>0</v>
      </c>
      <c r="G138" s="33">
        <f t="shared" si="29"/>
        <v>-158083.74</v>
      </c>
      <c r="H138" s="33">
        <f t="shared" si="29"/>
        <v>0</v>
      </c>
      <c r="I138" s="269">
        <f t="shared" si="29"/>
        <v>-46031556.690000005</v>
      </c>
      <c r="J138" s="33">
        <f t="shared" si="29"/>
        <v>0</v>
      </c>
      <c r="K138" s="269">
        <f t="shared" si="29"/>
        <v>-46031556.690000005</v>
      </c>
      <c r="L138" s="281" t="s">
        <v>266</v>
      </c>
      <c r="M138" s="62"/>
      <c r="P138" s="51"/>
      <c r="Q138" s="18"/>
      <c r="R138" s="58"/>
      <c r="S138" s="18"/>
    </row>
    <row r="139" spans="1:22" ht="15" x14ac:dyDescent="0.25">
      <c r="B139" s="18"/>
      <c r="C139" s="28"/>
      <c r="D139" s="65"/>
      <c r="E139" s="33"/>
      <c r="F139" s="30"/>
      <c r="G139" s="144"/>
      <c r="H139" s="33"/>
      <c r="I139" s="126"/>
      <c r="J139" s="1"/>
      <c r="K139" s="126"/>
      <c r="L139" s="66"/>
      <c r="M139" s="67"/>
      <c r="P139" s="51"/>
      <c r="Q139" s="18"/>
      <c r="R139" s="58"/>
      <c r="S139" s="18"/>
    </row>
    <row r="140" spans="1:22" x14ac:dyDescent="0.2">
      <c r="A140" s="105" t="s">
        <v>55</v>
      </c>
      <c r="B140" s="18"/>
      <c r="C140" s="131" t="s">
        <v>55</v>
      </c>
      <c r="D140" s="132"/>
      <c r="E140" s="133">
        <f>+E112+E122+E128+E138+E117</f>
        <v>-60139549.769999996</v>
      </c>
      <c r="F140" s="133">
        <f t="shared" ref="F140" si="30">+F112+F120+F128+F138+F117</f>
        <v>0</v>
      </c>
      <c r="G140" s="133">
        <f>+G112+G122+G128+G138+G117</f>
        <v>-920540.34000000008</v>
      </c>
      <c r="H140" s="133">
        <f>+H112+H122+H128+H138+H117</f>
        <v>-437231.26999999996</v>
      </c>
      <c r="I140" s="134">
        <f>+I112+I122+I128+I138+I117</f>
        <v>-61497321.380000003</v>
      </c>
      <c r="J140" s="133">
        <f>+J112+J120+J128+J138+J117</f>
        <v>0</v>
      </c>
      <c r="K140" s="134">
        <f>+K112+K122+K128+K138+K117</f>
        <v>-61497321.380000003</v>
      </c>
      <c r="M140" s="20"/>
      <c r="N140" s="69"/>
      <c r="R140" s="58"/>
      <c r="S140" s="18"/>
    </row>
    <row r="141" spans="1:22" x14ac:dyDescent="0.2">
      <c r="A141" s="105"/>
      <c r="B141" s="18"/>
      <c r="C141" s="18"/>
      <c r="D141" s="12"/>
      <c r="E141" s="221"/>
      <c r="F141" s="50"/>
      <c r="G141" s="145"/>
      <c r="H141" s="50"/>
      <c r="I141" s="122"/>
      <c r="J141" s="50"/>
      <c r="K141" s="122"/>
      <c r="M141" s="45"/>
      <c r="S141" s="18"/>
    </row>
    <row r="142" spans="1:22" x14ac:dyDescent="0.2">
      <c r="A142" s="105" t="s">
        <v>56</v>
      </c>
      <c r="B142" s="18"/>
      <c r="C142" s="18"/>
      <c r="D142" s="136" t="s">
        <v>219</v>
      </c>
      <c r="E142" s="137">
        <f>E140+E102</f>
        <v>36278166.070000008</v>
      </c>
      <c r="F142" s="137">
        <f>F140+F102</f>
        <v>0</v>
      </c>
      <c r="G142" s="137">
        <f>G140+G102</f>
        <v>469043.50999999954</v>
      </c>
      <c r="H142" s="137">
        <f>H140+H102</f>
        <v>-459437.42999999993</v>
      </c>
      <c r="I142" s="138">
        <f>I102+I140</f>
        <v>36287772.150000013</v>
      </c>
      <c r="J142" s="137">
        <f>J140+J102</f>
        <v>0</v>
      </c>
      <c r="K142" s="138">
        <f>K102+K140</f>
        <v>36287772.149999999</v>
      </c>
      <c r="L142" s="50">
        <v>0</v>
      </c>
      <c r="M142" s="70"/>
      <c r="N142" s="70"/>
      <c r="O142" s="70"/>
      <c r="P142" s="50"/>
      <c r="Q142" s="50"/>
      <c r="R142" s="50"/>
      <c r="S142" s="18"/>
      <c r="T142" s="29">
        <f>+G142+H142+F142</f>
        <v>9606.0799999996088</v>
      </c>
      <c r="U142" s="19">
        <v>13111056.41</v>
      </c>
      <c r="V142" s="29">
        <f>+T142-U142</f>
        <v>-13101450.33</v>
      </c>
    </row>
    <row r="143" spans="1:22" hidden="1" x14ac:dyDescent="0.2">
      <c r="A143" s="105"/>
      <c r="B143" s="18"/>
      <c r="C143" s="18"/>
      <c r="D143" s="12"/>
      <c r="E143" s="221"/>
      <c r="F143" s="50"/>
      <c r="G143" s="145"/>
      <c r="H143" s="50"/>
      <c r="I143" s="50"/>
      <c r="J143" s="50"/>
      <c r="K143" s="50"/>
      <c r="M143" s="45"/>
      <c r="S143" s="18"/>
    </row>
    <row r="144" spans="1:22" s="75" customFormat="1" ht="12.75" hidden="1" customHeight="1" x14ac:dyDescent="0.2">
      <c r="A144" s="107" t="s">
        <v>57</v>
      </c>
      <c r="B144" s="71"/>
      <c r="C144" s="18"/>
      <c r="D144" s="140" t="s">
        <v>57</v>
      </c>
      <c r="E144" s="223"/>
      <c r="F144" s="142"/>
      <c r="G144" s="163" t="e">
        <f>-G135-G130-G131-G132-G133-G134-#REF!-G16-G124-G30-G22-G53-G126-G92-G94-G120-G125-G52</f>
        <v>#REF!</v>
      </c>
      <c r="H144" s="139" t="e">
        <f>-H135-H130-H131-H132-H133-H134-#REF!-H16-H124-H30-H22-H53-H126-H92-H94-H120-H125-H52</f>
        <v>#REF!</v>
      </c>
      <c r="I144" s="74"/>
      <c r="J144" s="74"/>
      <c r="K144" s="74"/>
      <c r="M144" s="76"/>
      <c r="N144" s="77"/>
      <c r="O144" s="77"/>
      <c r="S144" s="18"/>
    </row>
    <row r="145" spans="1:19" ht="12.75" customHeight="1" x14ac:dyDescent="0.2">
      <c r="A145" s="107"/>
      <c r="B145" s="18"/>
      <c r="C145" s="18"/>
      <c r="D145" s="72"/>
      <c r="E145" s="224"/>
      <c r="F145" s="50"/>
      <c r="G145" s="185">
        <f>G142+H142</f>
        <v>9606.0799999996088</v>
      </c>
      <c r="H145" s="145"/>
      <c r="I145" s="145"/>
      <c r="J145" s="50"/>
      <c r="K145" s="50"/>
      <c r="M145" s="20"/>
      <c r="S145" s="18"/>
    </row>
    <row r="146" spans="1:19" ht="12.75" customHeight="1" x14ac:dyDescent="0.2">
      <c r="A146" s="107" t="s">
        <v>58</v>
      </c>
      <c r="B146" s="18"/>
      <c r="C146" s="71"/>
      <c r="D146" s="72"/>
      <c r="E146" s="73"/>
      <c r="F146" s="50"/>
      <c r="G146" s="145"/>
      <c r="H146" s="50"/>
      <c r="I146" s="50"/>
      <c r="J146" s="50"/>
      <c r="K146" s="30"/>
      <c r="M146" s="20"/>
      <c r="S146" s="71"/>
    </row>
    <row r="147" spans="1:19" ht="12.75" customHeight="1" x14ac:dyDescent="0.2">
      <c r="A147" s="107"/>
      <c r="B147" s="18"/>
      <c r="C147" s="18"/>
      <c r="D147" s="72"/>
      <c r="E147" s="83"/>
      <c r="F147" s="50"/>
      <c r="G147" s="30"/>
      <c r="H147" s="50"/>
      <c r="I147" s="50"/>
      <c r="J147" s="50"/>
      <c r="K147" s="33"/>
      <c r="M147" s="20"/>
      <c r="S147" s="18"/>
    </row>
    <row r="148" spans="1:19" ht="12.75" customHeight="1" x14ac:dyDescent="0.2">
      <c r="A148" s="107"/>
      <c r="B148" s="18"/>
      <c r="C148" s="18"/>
      <c r="D148" s="72"/>
      <c r="E148" s="83"/>
      <c r="F148" s="50"/>
      <c r="G148" s="30"/>
      <c r="H148" s="50"/>
      <c r="I148" s="50"/>
      <c r="J148" s="50"/>
      <c r="K148" s="33"/>
      <c r="M148" s="20"/>
      <c r="S148" s="18"/>
    </row>
    <row r="149" spans="1:19" ht="12.75" customHeight="1" x14ac:dyDescent="0.2">
      <c r="A149" s="107"/>
      <c r="B149" s="18"/>
      <c r="C149" s="18"/>
      <c r="D149" s="72"/>
      <c r="E149" s="236"/>
      <c r="F149" s="50"/>
      <c r="G149" s="44"/>
      <c r="H149" s="50"/>
      <c r="I149" s="50"/>
      <c r="J149" s="50"/>
      <c r="K149" s="161"/>
      <c r="M149" s="20"/>
      <c r="S149" s="18"/>
    </row>
    <row r="150" spans="1:19" ht="12.75" customHeight="1" x14ac:dyDescent="0.2">
      <c r="A150" s="107"/>
      <c r="B150" s="18"/>
      <c r="C150" s="18"/>
      <c r="D150" s="72"/>
      <c r="E150" s="224"/>
      <c r="F150" s="50"/>
      <c r="G150" s="145"/>
      <c r="H150" s="50"/>
      <c r="I150" s="50"/>
      <c r="J150" s="50"/>
      <c r="K150" s="44"/>
      <c r="M150" s="20"/>
      <c r="S150" s="18"/>
    </row>
    <row r="151" spans="1:19" ht="12.75" customHeight="1" x14ac:dyDescent="0.2">
      <c r="A151" s="107"/>
      <c r="B151" s="18"/>
      <c r="C151" s="18"/>
      <c r="D151" s="264"/>
      <c r="E151" s="73"/>
      <c r="F151" s="50"/>
      <c r="G151" s="145"/>
      <c r="H151" s="50"/>
      <c r="I151" s="50"/>
      <c r="J151" s="50"/>
      <c r="K151" s="44"/>
      <c r="M151" s="20"/>
      <c r="S151" s="18"/>
    </row>
    <row r="152" spans="1:19" ht="12.75" customHeight="1" x14ac:dyDescent="0.2">
      <c r="A152" s="107"/>
      <c r="B152" s="18"/>
      <c r="C152" s="18"/>
      <c r="D152" s="264"/>
      <c r="E152" s="73"/>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50"/>
      <c r="M153" s="20"/>
      <c r="S153" s="18"/>
    </row>
    <row r="154" spans="1:19" ht="12.75" customHeight="1" x14ac:dyDescent="0.2">
      <c r="A154" s="107"/>
      <c r="B154" s="18"/>
      <c r="C154" s="18"/>
      <c r="D154" s="264"/>
      <c r="E154" s="73"/>
      <c r="F154" s="50"/>
      <c r="G154" s="145"/>
      <c r="H154" s="50"/>
      <c r="I154" s="50"/>
      <c r="J154" s="50"/>
      <c r="K154" s="50"/>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5"/>
      <c r="E158" s="73"/>
      <c r="F158" s="50"/>
      <c r="G158" s="145"/>
      <c r="H158" s="50"/>
      <c r="I158" s="50"/>
      <c r="J158" s="50"/>
      <c r="K158" s="50"/>
      <c r="M158" s="20"/>
      <c r="S158" s="18"/>
    </row>
    <row r="159" spans="1:19" ht="12.75" customHeight="1" x14ac:dyDescent="0.2">
      <c r="A159" s="107"/>
      <c r="B159" s="18"/>
      <c r="C159" s="18"/>
      <c r="D159" s="72"/>
      <c r="E159" s="73"/>
      <c r="F159" s="50"/>
      <c r="G159" s="145"/>
      <c r="H159" s="50"/>
      <c r="I159" s="50"/>
      <c r="J159" s="50"/>
      <c r="K159" s="50"/>
      <c r="M159" s="20"/>
      <c r="S159" s="18"/>
    </row>
    <row r="160" spans="1:19" ht="12.75" customHeight="1" x14ac:dyDescent="0.2">
      <c r="A160" s="107"/>
      <c r="B160" s="18"/>
      <c r="C160" s="18"/>
      <c r="D160" s="72"/>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hidden="1" customHeight="1" x14ac:dyDescent="0.2">
      <c r="A166" s="107" t="s">
        <v>59</v>
      </c>
      <c r="B166" s="18"/>
      <c r="C166" s="18"/>
      <c r="D166" s="72" t="s">
        <v>59</v>
      </c>
      <c r="E166" s="73"/>
      <c r="F166" s="50"/>
      <c r="G166" s="145" t="e">
        <f>+G142+H142+G144+H144</f>
        <v>#REF!</v>
      </c>
      <c r="H166" s="50"/>
      <c r="I166" s="50"/>
      <c r="J166" s="50"/>
      <c r="K166" s="50"/>
      <c r="M166" s="20"/>
      <c r="S166" s="18"/>
    </row>
    <row r="167" spans="1:19" hidden="1" x14ac:dyDescent="0.2">
      <c r="B167" s="18"/>
      <c r="C167" s="18"/>
      <c r="E167" s="29"/>
      <c r="F167" s="19"/>
      <c r="G167" s="148"/>
      <c r="H167" s="19"/>
      <c r="I167" s="19"/>
      <c r="J167" s="19"/>
      <c r="K167" s="19"/>
      <c r="M167" s="20"/>
      <c r="S167" s="18"/>
    </row>
    <row r="168" spans="1:19" hidden="1" x14ac:dyDescent="0.2">
      <c r="A168" s="109" t="s">
        <v>60</v>
      </c>
      <c r="B168" s="18"/>
      <c r="C168" s="18"/>
      <c r="D168" s="78" t="s">
        <v>60</v>
      </c>
      <c r="E168" s="79"/>
      <c r="F168" s="80"/>
      <c r="G168" s="164"/>
      <c r="H168" s="80"/>
      <c r="I168" s="81"/>
      <c r="J168" s="81"/>
      <c r="K168" s="81"/>
      <c r="M168" s="20"/>
      <c r="S168" s="18"/>
    </row>
    <row r="169" spans="1:19" hidden="1" x14ac:dyDescent="0.2">
      <c r="A169" s="109" t="s">
        <v>138</v>
      </c>
      <c r="B169" s="18"/>
      <c r="C169" s="18"/>
      <c r="D169" s="82" t="s">
        <v>138</v>
      </c>
      <c r="E169" s="32">
        <v>0</v>
      </c>
      <c r="F169" s="32">
        <f>+F98+F99</f>
        <v>0</v>
      </c>
      <c r="G169" s="157"/>
      <c r="H169" s="32">
        <f>+H98+H99</f>
        <v>0</v>
      </c>
      <c r="I169" s="84">
        <f>+I98+I99</f>
        <v>0</v>
      </c>
      <c r="J169" s="84">
        <f>+J98+J99</f>
        <v>0</v>
      </c>
      <c r="K169" s="84">
        <f>+K98+K99</f>
        <v>0</v>
      </c>
      <c r="M169" s="20"/>
      <c r="S169" s="18"/>
    </row>
    <row r="170" spans="1:19" hidden="1" x14ac:dyDescent="0.2">
      <c r="A170" s="109" t="s">
        <v>140</v>
      </c>
      <c r="B170" s="18"/>
      <c r="C170" s="18"/>
      <c r="D170" s="82" t="s">
        <v>140</v>
      </c>
      <c r="E170" s="83">
        <f>+E12</f>
        <v>-1.1641532182693481E-9</v>
      </c>
      <c r="F170" s="32">
        <f>+F99+F100</f>
        <v>0</v>
      </c>
      <c r="G170" s="165"/>
      <c r="H170" s="83"/>
      <c r="I170" s="84">
        <f>+I12</f>
        <v>-1.1641532182693481E-9</v>
      </c>
      <c r="J170" s="84">
        <f>+J12</f>
        <v>0</v>
      </c>
      <c r="K170" s="84">
        <f>+K12</f>
        <v>-1.1641532182693481E-9</v>
      </c>
      <c r="M170" s="20"/>
      <c r="S170" s="18"/>
    </row>
    <row r="171" spans="1:19" hidden="1" x14ac:dyDescent="0.2">
      <c r="A171" s="109" t="s">
        <v>142</v>
      </c>
      <c r="B171" s="18"/>
      <c r="C171" s="18"/>
      <c r="D171" s="82" t="s">
        <v>142</v>
      </c>
      <c r="E171" s="83">
        <f>+E19</f>
        <v>1758661.81</v>
      </c>
      <c r="F171" s="32">
        <f t="shared" ref="F171:F176" si="31">+F100+F101</f>
        <v>0</v>
      </c>
      <c r="G171" s="165"/>
      <c r="H171" s="83"/>
      <c r="I171" s="84">
        <f>+I19</f>
        <v>1758661.81</v>
      </c>
      <c r="J171" s="84">
        <f>+J19</f>
        <v>1927070.51</v>
      </c>
      <c r="K171" s="84">
        <f>+K19</f>
        <v>3685732.3200000003</v>
      </c>
      <c r="M171" s="20"/>
      <c r="S171" s="18"/>
    </row>
    <row r="172" spans="1:19" hidden="1" x14ac:dyDescent="0.2">
      <c r="A172" s="109" t="s">
        <v>141</v>
      </c>
      <c r="B172" s="18"/>
      <c r="C172" s="18"/>
      <c r="D172" s="82" t="s">
        <v>141</v>
      </c>
      <c r="E172" s="83">
        <f>+E24</f>
        <v>1432699.6200000013</v>
      </c>
      <c r="F172" s="32">
        <f t="shared" si="31"/>
        <v>0</v>
      </c>
      <c r="G172" s="165"/>
      <c r="H172" s="83"/>
      <c r="I172" s="84">
        <f>+I24</f>
        <v>1410493.4600000014</v>
      </c>
      <c r="J172" s="84">
        <f>+J24</f>
        <v>-266473.8</v>
      </c>
      <c r="K172" s="84">
        <f>+K24</f>
        <v>1144019.6600000013</v>
      </c>
      <c r="M172" s="20"/>
      <c r="S172" s="18"/>
    </row>
    <row r="173" spans="1:19" hidden="1" x14ac:dyDescent="0.2">
      <c r="A173" s="109" t="s">
        <v>61</v>
      </c>
      <c r="B173" s="18"/>
      <c r="C173" s="18"/>
      <c r="D173" s="82" t="s">
        <v>61</v>
      </c>
      <c r="E173" s="32">
        <f>+E30</f>
        <v>1741991.2000000002</v>
      </c>
      <c r="F173" s="32">
        <f t="shared" si="31"/>
        <v>0</v>
      </c>
      <c r="G173" s="157"/>
      <c r="H173" s="32"/>
      <c r="I173" s="84">
        <f>+I30</f>
        <v>2213916.2000000002</v>
      </c>
      <c r="J173" s="84">
        <f>+J30</f>
        <v>0</v>
      </c>
      <c r="K173" s="84">
        <f>+K30</f>
        <v>2213916.2000000002</v>
      </c>
      <c r="M173" s="20"/>
      <c r="S173" s="18"/>
    </row>
    <row r="174" spans="1:19" hidden="1" x14ac:dyDescent="0.2">
      <c r="A174" s="109" t="s">
        <v>143</v>
      </c>
      <c r="B174" s="18"/>
      <c r="C174" s="18"/>
      <c r="D174" s="82" t="s">
        <v>143</v>
      </c>
      <c r="E174" s="32">
        <f>+E84</f>
        <v>56277580.109999999</v>
      </c>
      <c r="F174" s="32">
        <f t="shared" si="31"/>
        <v>0</v>
      </c>
      <c r="G174" s="157"/>
      <c r="H174" s="32"/>
      <c r="I174" s="84">
        <f>+I84</f>
        <v>57714529.800000004</v>
      </c>
      <c r="J174" s="84">
        <f>+J84</f>
        <v>-1660596.71</v>
      </c>
      <c r="K174" s="84">
        <f>+K84</f>
        <v>56053933.090000004</v>
      </c>
      <c r="M174" s="20"/>
      <c r="S174" s="18"/>
    </row>
    <row r="175" spans="1:19" hidden="1" x14ac:dyDescent="0.2">
      <c r="A175" s="109" t="s">
        <v>151</v>
      </c>
      <c r="B175" s="18"/>
      <c r="C175" s="18"/>
      <c r="D175" s="82" t="s">
        <v>151</v>
      </c>
      <c r="E175" s="32">
        <f>+E96</f>
        <v>31671225.09</v>
      </c>
      <c r="F175" s="32">
        <f t="shared" si="31"/>
        <v>0</v>
      </c>
      <c r="G175" s="157"/>
      <c r="H175" s="32"/>
      <c r="I175" s="84">
        <f>+I96</f>
        <v>31320807.09</v>
      </c>
      <c r="J175" s="84">
        <f>+J96</f>
        <v>0</v>
      </c>
      <c r="K175" s="84">
        <f>+K96</f>
        <v>31320807.09</v>
      </c>
      <c r="M175" s="20"/>
      <c r="S175" s="18"/>
    </row>
    <row r="176" spans="1:19" hidden="1" x14ac:dyDescent="0.2">
      <c r="A176" s="109" t="s">
        <v>62</v>
      </c>
      <c r="B176" s="18"/>
      <c r="C176" s="18"/>
      <c r="D176" s="82" t="s">
        <v>62</v>
      </c>
      <c r="E176" s="32">
        <v>0</v>
      </c>
      <c r="F176" s="32">
        <f t="shared" si="31"/>
        <v>0</v>
      </c>
      <c r="G176" s="157"/>
      <c r="H176" s="32"/>
      <c r="I176" s="84">
        <v>0</v>
      </c>
      <c r="J176" s="84">
        <v>0</v>
      </c>
      <c r="K176" s="84">
        <v>0</v>
      </c>
      <c r="M176" s="20"/>
      <c r="S176" s="18"/>
    </row>
    <row r="177" spans="1:19" hidden="1" x14ac:dyDescent="0.2">
      <c r="A177" s="109" t="s">
        <v>152</v>
      </c>
      <c r="B177" s="18"/>
      <c r="C177" s="18"/>
      <c r="D177" s="82" t="s">
        <v>152</v>
      </c>
      <c r="E177" s="32">
        <f>+E112</f>
        <v>-8701762.7400000002</v>
      </c>
      <c r="F177" s="32" t="e">
        <f>+F106+#REF!</f>
        <v>#REF!</v>
      </c>
      <c r="G177" s="157"/>
      <c r="H177" s="32"/>
      <c r="I177" s="84">
        <f>+I112</f>
        <v>-9574702.129999999</v>
      </c>
      <c r="J177" s="84">
        <f>+J112</f>
        <v>0</v>
      </c>
      <c r="K177" s="84">
        <f>+K112</f>
        <v>-9574702.129999999</v>
      </c>
      <c r="M177" s="20"/>
      <c r="S177" s="18"/>
    </row>
    <row r="178" spans="1:19" hidden="1" x14ac:dyDescent="0.2">
      <c r="A178" s="109"/>
      <c r="B178" s="18"/>
      <c r="C178" s="18"/>
      <c r="D178" s="82" t="s">
        <v>189</v>
      </c>
      <c r="E178" s="32">
        <f>E117</f>
        <v>0</v>
      </c>
      <c r="F178" s="32"/>
      <c r="G178" s="157"/>
      <c r="H178" s="32"/>
      <c r="I178" s="84">
        <f>I117</f>
        <v>0</v>
      </c>
      <c r="J178" s="84">
        <f>J117</f>
        <v>0</v>
      </c>
      <c r="K178" s="84">
        <f>K117</f>
        <v>0</v>
      </c>
      <c r="M178" s="20"/>
      <c r="S178" s="18"/>
    </row>
    <row r="179" spans="1:19" hidden="1" x14ac:dyDescent="0.2">
      <c r="A179" s="109" t="s">
        <v>154</v>
      </c>
      <c r="B179" s="18"/>
      <c r="C179" s="18"/>
      <c r="D179" s="82" t="s">
        <v>154</v>
      </c>
      <c r="E179" s="32">
        <f>+E120</f>
        <v>0</v>
      </c>
      <c r="F179" s="32" t="e">
        <f>+#REF!+#REF!</f>
        <v>#REF!</v>
      </c>
      <c r="G179" s="157"/>
      <c r="H179" s="32"/>
      <c r="I179" s="84">
        <f>+I120</f>
        <v>0</v>
      </c>
      <c r="J179" s="84">
        <f>+J120</f>
        <v>0</v>
      </c>
      <c r="K179" s="84">
        <f>+K120</f>
        <v>0</v>
      </c>
      <c r="M179" s="20"/>
      <c r="S179" s="18"/>
    </row>
    <row r="180" spans="1:19" hidden="1" x14ac:dyDescent="0.2">
      <c r="A180" s="109" t="s">
        <v>153</v>
      </c>
      <c r="B180" s="18"/>
      <c r="C180" s="18"/>
      <c r="D180" s="82" t="s">
        <v>153</v>
      </c>
      <c r="E180" s="32">
        <f>+E128</f>
        <v>-14638.350000000004</v>
      </c>
      <c r="F180" s="32" t="e">
        <f>+#REF!+F107</f>
        <v>#REF!</v>
      </c>
      <c r="G180" s="157"/>
      <c r="H180" s="32"/>
      <c r="I180" s="84">
        <f>+I128</f>
        <v>-442824.83</v>
      </c>
      <c r="J180" s="84">
        <f>+J128</f>
        <v>0</v>
      </c>
      <c r="K180" s="84">
        <f>+K128</f>
        <v>-442824.83</v>
      </c>
      <c r="M180" s="20"/>
      <c r="S180" s="18"/>
    </row>
    <row r="181" spans="1:19" hidden="1" x14ac:dyDescent="0.2">
      <c r="A181" s="109" t="s">
        <v>155</v>
      </c>
      <c r="B181" s="18"/>
      <c r="C181" s="18"/>
      <c r="D181" s="82" t="s">
        <v>155</v>
      </c>
      <c r="E181" s="32">
        <f>+E138</f>
        <v>-45873472.949999996</v>
      </c>
      <c r="F181" s="32">
        <f t="shared" ref="F181" si="32">+F107+F108</f>
        <v>0</v>
      </c>
      <c r="G181" s="157"/>
      <c r="H181" s="32"/>
      <c r="I181" s="84">
        <f>+I138</f>
        <v>-46031556.690000005</v>
      </c>
      <c r="J181" s="84">
        <f>+J138</f>
        <v>0</v>
      </c>
      <c r="K181" s="84">
        <f>+K138</f>
        <v>-46031556.690000005</v>
      </c>
      <c r="M181" s="20"/>
      <c r="S181" s="18"/>
    </row>
    <row r="182" spans="1:19" hidden="1" x14ac:dyDescent="0.2">
      <c r="A182" s="109"/>
      <c r="B182" s="18"/>
      <c r="C182" s="18"/>
      <c r="D182" s="85"/>
      <c r="E182" s="83"/>
      <c r="F182" s="83"/>
      <c r="G182" s="165"/>
      <c r="H182" s="83"/>
      <c r="I182" s="86"/>
      <c r="J182" s="86"/>
      <c r="K182" s="86"/>
      <c r="M182" s="20"/>
      <c r="S182" s="18"/>
    </row>
    <row r="183" spans="1:19" hidden="1" x14ac:dyDescent="0.2">
      <c r="A183" s="109" t="s">
        <v>121</v>
      </c>
      <c r="B183" s="18"/>
      <c r="C183" s="18"/>
      <c r="D183" s="87" t="s">
        <v>121</v>
      </c>
      <c r="E183" s="88">
        <f>SUM(E169:E182)</f>
        <v>38292283.790000014</v>
      </c>
      <c r="F183" s="88" t="e">
        <f>SUM(F173:F182)</f>
        <v>#REF!</v>
      </c>
      <c r="G183" s="166"/>
      <c r="H183" s="88"/>
      <c r="I183" s="89">
        <f>SUM(I169:I182)</f>
        <v>38369324.710000001</v>
      </c>
      <c r="J183" s="89">
        <f>SUM(J169:J182)</f>
        <v>0</v>
      </c>
      <c r="K183" s="89">
        <f>SUM(K169:K182)</f>
        <v>38369324.710000001</v>
      </c>
      <c r="M183" s="20"/>
      <c r="S183" s="18"/>
    </row>
    <row r="184" spans="1:19" hidden="1" x14ac:dyDescent="0.2">
      <c r="B184" s="18"/>
      <c r="C184" s="18"/>
      <c r="F184" s="19"/>
      <c r="G184" s="148"/>
      <c r="H184" s="19"/>
      <c r="I184" s="19"/>
      <c r="J184" s="19"/>
      <c r="K184" s="19"/>
      <c r="M184" s="20"/>
      <c r="S184" s="18"/>
    </row>
    <row r="185" spans="1:19" hidden="1" x14ac:dyDescent="0.2">
      <c r="B185" s="18"/>
      <c r="C185" s="18"/>
      <c r="E185" s="19">
        <f>+E183-E142</f>
        <v>2014117.7200000063</v>
      </c>
      <c r="F185" s="19"/>
      <c r="G185" s="148"/>
      <c r="H185" s="19"/>
      <c r="I185" s="19">
        <f>+I183-I142</f>
        <v>2081552.5599999875</v>
      </c>
      <c r="J185" s="19">
        <f>+J183-J142</f>
        <v>0</v>
      </c>
      <c r="K185" s="19">
        <f>+K183-K142</f>
        <v>2081552.5600000024</v>
      </c>
      <c r="M185" s="20"/>
      <c r="S185" s="18"/>
    </row>
    <row r="186" spans="1:19" hidden="1" x14ac:dyDescent="0.2">
      <c r="B186" s="18"/>
      <c r="C186" s="18"/>
      <c r="F186" s="19"/>
      <c r="G186" s="148"/>
      <c r="H186" s="19"/>
      <c r="I186" s="19"/>
      <c r="J186" s="19"/>
      <c r="K186" s="19"/>
      <c r="M186" s="20"/>
      <c r="S186" s="18"/>
    </row>
    <row r="187" spans="1:19" hidden="1" x14ac:dyDescent="0.2">
      <c r="B187" s="18"/>
      <c r="C187" s="18"/>
      <c r="F187" s="19"/>
      <c r="G187" s="148"/>
      <c r="H187" s="19"/>
      <c r="I187" s="19"/>
      <c r="J187" s="19"/>
      <c r="K187" s="19"/>
      <c r="M187" s="20"/>
      <c r="S187" s="18"/>
    </row>
    <row r="188" spans="1:19" hidden="1" x14ac:dyDescent="0.2">
      <c r="B188" s="18"/>
      <c r="C188" s="18"/>
      <c r="F188" s="19"/>
      <c r="G188" s="148"/>
      <c r="H188" s="19"/>
      <c r="I188" s="19"/>
      <c r="J188" s="19"/>
      <c r="K188" s="19"/>
      <c r="M188" s="20"/>
      <c r="S188" s="18"/>
    </row>
    <row r="189" spans="1:19" hidden="1" x14ac:dyDescent="0.2">
      <c r="A189" s="100" t="s">
        <v>63</v>
      </c>
      <c r="B189" s="18"/>
      <c r="C189" s="18"/>
      <c r="D189" s="4" t="s">
        <v>63</v>
      </c>
      <c r="F189" s="19"/>
      <c r="G189" s="148">
        <f>+G34+G42+G44+G46+G48+G89+G57+G59+G15+G50+G66+G55+G65</f>
        <v>-10546</v>
      </c>
      <c r="H189" s="19">
        <f>+H34+H52+H42+H44+H46+H48+H89+H57+H59+H15+H50+H66+H55</f>
        <v>0</v>
      </c>
      <c r="I189" s="19"/>
      <c r="J189" s="19"/>
      <c r="K189" s="19"/>
      <c r="M189" s="20"/>
      <c r="S189" s="18"/>
    </row>
    <row r="190" spans="1:19" hidden="1" x14ac:dyDescent="0.2">
      <c r="A190" s="100" t="s">
        <v>64</v>
      </c>
      <c r="B190" s="18"/>
      <c r="C190" s="18"/>
      <c r="D190" s="34" t="s">
        <v>64</v>
      </c>
      <c r="F190" s="19"/>
      <c r="G190" s="148">
        <f>+G9+G98+G10</f>
        <v>0</v>
      </c>
      <c r="H190" s="19">
        <f>+H9+H98+H10</f>
        <v>0</v>
      </c>
      <c r="I190" s="19"/>
      <c r="J190" s="19"/>
      <c r="K190" s="19"/>
      <c r="M190" s="20"/>
      <c r="S190" s="18"/>
    </row>
    <row r="191" spans="1:19" hidden="1" x14ac:dyDescent="0.2">
      <c r="A191" s="100" t="s">
        <v>65</v>
      </c>
      <c r="B191" s="18"/>
      <c r="C191" s="18"/>
      <c r="D191" s="34" t="s">
        <v>65</v>
      </c>
      <c r="F191" s="19"/>
      <c r="G191" s="148">
        <f>+G106+G107+G108+G109+G105+G110</f>
        <v>-435708.12000000005</v>
      </c>
      <c r="H191" s="19">
        <f>+H106+H107+H108+H109+H105</f>
        <v>-437231.26999999996</v>
      </c>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67">
        <f>+G189+G190+G191-G146</f>
        <v>-446254.12000000005</v>
      </c>
      <c r="H193" s="110">
        <f>+H189+H190+H191-H146</f>
        <v>-437231.26999999996</v>
      </c>
      <c r="I193" s="19"/>
      <c r="J193" s="19"/>
      <c r="K193" s="19"/>
      <c r="M193" s="20"/>
      <c r="S193" s="18"/>
    </row>
    <row r="194" spans="1:19" hidden="1" x14ac:dyDescent="0.2">
      <c r="B194" s="18"/>
      <c r="C194" s="18"/>
      <c r="F194" s="19"/>
      <c r="H194" s="29">
        <f>+H190+H191+H189+G189+G190+G191</f>
        <v>-883485.39</v>
      </c>
      <c r="I194" s="19"/>
      <c r="J194" s="19"/>
      <c r="K194" s="19"/>
      <c r="M194" s="20"/>
      <c r="S194" s="18"/>
    </row>
    <row r="195" spans="1:19" hidden="1" x14ac:dyDescent="0.2">
      <c r="B195" s="18"/>
      <c r="C195" s="18"/>
      <c r="F195" s="19"/>
      <c r="G195" s="148"/>
      <c r="H195" s="29">
        <f>+H194-G146-H146</f>
        <v>-883485.39</v>
      </c>
      <c r="I195" s="19"/>
      <c r="J195" s="19"/>
      <c r="K195" s="19"/>
      <c r="M195" s="20"/>
      <c r="S195" s="18"/>
    </row>
    <row r="196" spans="1:19" x14ac:dyDescent="0.2">
      <c r="B196" s="18"/>
      <c r="C196" s="18"/>
      <c r="F196" s="19"/>
      <c r="G196" s="148"/>
      <c r="H196" s="19"/>
      <c r="I196" s="19"/>
      <c r="J196" s="19"/>
      <c r="K196" s="19"/>
      <c r="M196" s="20"/>
      <c r="S196" s="18"/>
    </row>
    <row r="197" spans="1:19" ht="12.75" hidden="1" customHeight="1" x14ac:dyDescent="0.2">
      <c r="B197" s="18"/>
      <c r="C197" s="18"/>
      <c r="F197" s="19"/>
      <c r="G197" s="148"/>
      <c r="H197" s="19"/>
      <c r="I197" s="19"/>
      <c r="J197" s="19"/>
      <c r="K197" s="19"/>
      <c r="M197" s="20"/>
      <c r="S197" s="18"/>
    </row>
    <row r="198" spans="1:19" ht="12.75" hidden="1" customHeight="1" x14ac:dyDescent="0.2">
      <c r="A198" s="101" t="s">
        <v>144</v>
      </c>
      <c r="B198" s="18"/>
      <c r="C198" s="18"/>
      <c r="D198" s="22" t="s">
        <v>144</v>
      </c>
      <c r="E198" s="4" t="s">
        <v>121</v>
      </c>
      <c r="F198" s="19" t="s">
        <v>147</v>
      </c>
      <c r="G198" s="148" t="s">
        <v>148</v>
      </c>
      <c r="H198" s="19"/>
      <c r="I198" s="19"/>
      <c r="J198" s="19"/>
      <c r="K198" s="19"/>
      <c r="M198" s="20"/>
      <c r="S198" s="18"/>
    </row>
    <row r="199" spans="1:19" ht="12.75" hidden="1" customHeight="1" x14ac:dyDescent="0.2">
      <c r="A199" s="101" t="s">
        <v>145</v>
      </c>
      <c r="B199" s="18"/>
      <c r="C199" s="18"/>
      <c r="D199" s="22" t="s">
        <v>145</v>
      </c>
      <c r="E199" s="19">
        <v>19066028.010000002</v>
      </c>
      <c r="F199" s="19">
        <v>62319564.710000008</v>
      </c>
      <c r="G199" s="148">
        <v>-43253536.700000003</v>
      </c>
      <c r="H199" s="19"/>
      <c r="I199" s="19"/>
      <c r="J199" s="19"/>
      <c r="K199" s="19"/>
      <c r="M199" s="20"/>
      <c r="S199" s="18"/>
    </row>
    <row r="200" spans="1:19" ht="12.75" hidden="1" customHeight="1" x14ac:dyDescent="0.2">
      <c r="A200" s="101" t="s">
        <v>146</v>
      </c>
      <c r="B200" s="18"/>
      <c r="C200" s="18"/>
      <c r="D200" s="22" t="s">
        <v>146</v>
      </c>
      <c r="F200" s="19"/>
      <c r="G200" s="148"/>
      <c r="H200" s="19"/>
      <c r="I200" s="19"/>
      <c r="J200" s="19"/>
      <c r="K200" s="19"/>
      <c r="M200" s="20"/>
      <c r="S200" s="18"/>
    </row>
    <row r="201" spans="1:19" ht="12.75" hidden="1" customHeight="1" x14ac:dyDescent="0.2">
      <c r="A201" s="100" t="s">
        <v>149</v>
      </c>
      <c r="B201" s="18"/>
      <c r="C201" s="18"/>
      <c r="D201" s="4" t="s">
        <v>149</v>
      </c>
      <c r="E201" s="29">
        <f>SUM(F201:G201)</f>
        <v>905563</v>
      </c>
      <c r="F201" s="19">
        <v>905563</v>
      </c>
      <c r="G201" s="148"/>
      <c r="H201" s="19"/>
      <c r="I201" s="19"/>
      <c r="J201" s="19"/>
      <c r="K201" s="19"/>
      <c r="M201" s="20"/>
      <c r="S201" s="18"/>
    </row>
    <row r="202" spans="1:19" ht="12.75" hidden="1" customHeight="1" x14ac:dyDescent="0.2">
      <c r="A202" s="100" t="s">
        <v>150</v>
      </c>
      <c r="B202" s="18"/>
      <c r="C202" s="18"/>
      <c r="D202" s="4" t="s">
        <v>150</v>
      </c>
      <c r="E202" s="29">
        <f>SUM(F202:G202)</f>
        <v>-905563</v>
      </c>
      <c r="G202" s="148">
        <v>-905563</v>
      </c>
      <c r="H202" s="19"/>
      <c r="I202" s="19"/>
      <c r="J202" s="19"/>
      <c r="K202" s="19"/>
      <c r="M202" s="20"/>
      <c r="S202" s="18"/>
    </row>
    <row r="203" spans="1:19" ht="12.75" hidden="1" customHeight="1" x14ac:dyDescent="0.2">
      <c r="B203" s="18"/>
      <c r="C203" s="18"/>
      <c r="F203" s="19"/>
      <c r="G203" s="148"/>
      <c r="H203" s="19"/>
      <c r="I203" s="19"/>
      <c r="J203" s="19"/>
      <c r="K203" s="19"/>
      <c r="M203" s="20"/>
      <c r="S203" s="18"/>
    </row>
    <row r="204" spans="1:19" ht="12.75" hidden="1" customHeight="1" x14ac:dyDescent="0.2">
      <c r="B204" s="18"/>
      <c r="C204" s="18"/>
      <c r="E204" s="94"/>
      <c r="F204" s="95"/>
      <c r="G204" s="169"/>
      <c r="H204" s="19"/>
      <c r="I204" s="19"/>
      <c r="J204" s="19"/>
      <c r="K204" s="19"/>
      <c r="M204" s="20"/>
      <c r="S204" s="18"/>
    </row>
    <row r="205" spans="1:19" ht="12.75" hidden="1" customHeight="1" x14ac:dyDescent="0.2">
      <c r="B205" s="18"/>
      <c r="C205" s="18"/>
      <c r="E205" s="29">
        <f>SUM(E199:E204)</f>
        <v>19066028.010000002</v>
      </c>
      <c r="F205" s="29">
        <f>SUM(F199:F204)</f>
        <v>63225127.710000008</v>
      </c>
      <c r="G205" s="151">
        <f>SUM(G199:G204)</f>
        <v>-44159099.700000003</v>
      </c>
      <c r="H205" s="19"/>
      <c r="I205" s="19"/>
      <c r="J205" s="19"/>
      <c r="K205" s="19"/>
      <c r="M205" s="20"/>
      <c r="S205" s="18"/>
    </row>
    <row r="206" spans="1:19" x14ac:dyDescent="0.2">
      <c r="B206" s="18"/>
      <c r="C206" s="18"/>
      <c r="E206" s="98"/>
      <c r="F206" s="19"/>
      <c r="G206" s="148"/>
      <c r="H206" s="19"/>
      <c r="I206" s="19"/>
      <c r="J206" s="19"/>
      <c r="K206" s="19"/>
      <c r="M206" s="20"/>
      <c r="S206" s="18"/>
    </row>
    <row r="207" spans="1:19" x14ac:dyDescent="0.2">
      <c r="B207" s="18"/>
      <c r="C207" s="18"/>
      <c r="E207" s="83"/>
      <c r="F207" s="19"/>
      <c r="G207" s="232"/>
      <c r="H207" s="19"/>
      <c r="I207" s="19"/>
      <c r="J207" s="19"/>
      <c r="K207" s="19"/>
      <c r="M207" s="20"/>
      <c r="S207" s="18"/>
    </row>
    <row r="208" spans="1:19" x14ac:dyDescent="0.2">
      <c r="B208" s="18"/>
      <c r="C208" s="18"/>
      <c r="E208" s="83"/>
      <c r="F208" s="19"/>
      <c r="G208" s="148"/>
      <c r="H208" s="19"/>
      <c r="I208" s="19"/>
      <c r="J208" s="19"/>
      <c r="K208" s="19"/>
      <c r="M208" s="20"/>
      <c r="S208" s="18"/>
    </row>
    <row r="209" spans="1:19" x14ac:dyDescent="0.2">
      <c r="B209" s="18"/>
      <c r="C209" s="18"/>
      <c r="E209" s="234"/>
      <c r="F209" s="19"/>
      <c r="G209" s="148"/>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F215" s="19"/>
      <c r="G215" s="148"/>
      <c r="H215" s="19"/>
      <c r="I215" s="19"/>
      <c r="J215" s="19"/>
      <c r="K215" s="19"/>
      <c r="M215" s="20"/>
      <c r="S215" s="18"/>
    </row>
    <row r="216" spans="1:19" x14ac:dyDescent="0.2">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B265" s="18"/>
      <c r="C265" s="18"/>
      <c r="F265" s="19"/>
      <c r="G265" s="148"/>
      <c r="H265" s="19"/>
      <c r="I265" s="19"/>
      <c r="J265" s="19"/>
      <c r="K265" s="19"/>
      <c r="M265" s="20"/>
      <c r="S265" s="18"/>
    </row>
    <row r="266" spans="1:19" x14ac:dyDescent="0.2">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C275" s="18"/>
      <c r="F275" s="19"/>
      <c r="G275" s="148"/>
      <c r="H275" s="19"/>
      <c r="I275" s="19"/>
      <c r="J275" s="19"/>
      <c r="K275" s="19"/>
      <c r="M275" s="20"/>
      <c r="S275" s="18"/>
    </row>
    <row r="276" spans="1:22" x14ac:dyDescent="0.2">
      <c r="C276" s="18"/>
      <c r="F276" s="19"/>
      <c r="G276" s="148"/>
      <c r="H276" s="19"/>
      <c r="I276" s="19"/>
      <c r="J276" s="19"/>
      <c r="K276" s="19"/>
      <c r="M276" s="20"/>
      <c r="S276" s="18"/>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x14ac:dyDescent="0.2">
      <c r="H325" s="19"/>
    </row>
  </sheetData>
  <mergeCells count="1">
    <mergeCell ref="Q5:R5"/>
  </mergeCells>
  <conditionalFormatting sqref="H193 G195">
    <cfRule type="cellIs" dxfId="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27"/>
  <sheetViews>
    <sheetView topLeftCell="A103"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3" t="s">
        <v>66</v>
      </c>
    </row>
    <row r="4" spans="1:22" x14ac:dyDescent="0.2">
      <c r="A4" s="99"/>
      <c r="B4" s="7"/>
      <c r="C4" s="3"/>
      <c r="D4" s="3"/>
      <c r="E4" s="212"/>
      <c r="F4" s="8"/>
      <c r="G4" s="215"/>
      <c r="H4" s="216"/>
      <c r="I4" s="202"/>
      <c r="J4" s="202"/>
      <c r="K4" s="202"/>
      <c r="M4" s="10"/>
      <c r="P4" s="283" t="s">
        <v>1</v>
      </c>
    </row>
    <row r="5" spans="1:22" x14ac:dyDescent="0.2">
      <c r="E5" s="217" t="s">
        <v>208</v>
      </c>
      <c r="F5" s="283" t="s">
        <v>3</v>
      </c>
      <c r="G5" s="283" t="s">
        <v>4</v>
      </c>
      <c r="H5" s="283"/>
      <c r="I5" s="204" t="s">
        <v>208</v>
      </c>
      <c r="J5" s="261" t="s">
        <v>180</v>
      </c>
      <c r="K5" s="204" t="s">
        <v>209</v>
      </c>
      <c r="L5" s="283" t="s">
        <v>5</v>
      </c>
      <c r="M5" s="11" t="s">
        <v>6</v>
      </c>
      <c r="N5" s="11" t="s">
        <v>0</v>
      </c>
      <c r="O5" s="11" t="s">
        <v>8</v>
      </c>
      <c r="P5" s="283" t="s">
        <v>9</v>
      </c>
      <c r="Q5" s="576" t="s">
        <v>10</v>
      </c>
      <c r="R5" s="576"/>
      <c r="U5" s="12" t="s">
        <v>11</v>
      </c>
    </row>
    <row r="6" spans="1:22" x14ac:dyDescent="0.2">
      <c r="E6" s="218">
        <v>42735</v>
      </c>
      <c r="F6" s="13" t="s">
        <v>12</v>
      </c>
      <c r="G6" s="14" t="s">
        <v>13</v>
      </c>
      <c r="H6" s="14" t="s">
        <v>8</v>
      </c>
      <c r="I6" s="205">
        <v>42825</v>
      </c>
      <c r="J6" s="261" t="s">
        <v>210</v>
      </c>
      <c r="K6" s="205">
        <f>I6</f>
        <v>42825</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Dec 2016'!$A$1:$I$251,9,FALSE)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Dec 2016'!$A$1:$I$251,9,FALSE)</f>
        <v>3937387.45</v>
      </c>
      <c r="F10" s="33">
        <v>0</v>
      </c>
      <c r="G10" s="33">
        <v>-3937387.45</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3937387.4499999993</v>
      </c>
      <c r="F12" s="29">
        <f t="shared" ref="F12:J12" si="0">SUM(F9:F10)</f>
        <v>0</v>
      </c>
      <c r="G12" s="29">
        <f t="shared" si="0"/>
        <v>-3937387.45</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Dec 2016'!$A$1:$I$251,9,FALSE)</f>
        <v>410398.81000000006</v>
      </c>
      <c r="F15" s="30">
        <v>0</v>
      </c>
      <c r="G15" s="33">
        <v>238295</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Dec 2016'!$A$1:$I$251,9,FALSE)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Jan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1758661.81</v>
      </c>
      <c r="F19" s="29">
        <f t="shared" ref="F19:J19" si="2">SUM(F15:F18)</f>
        <v>0</v>
      </c>
      <c r="G19" s="29">
        <f t="shared" si="2"/>
        <v>238295</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Dec 2016'!$A$1:$I$251,9,FALSE)</f>
        <v>1454905.8000000012</v>
      </c>
      <c r="F22" s="33">
        <v>0</v>
      </c>
      <c r="G22" s="33">
        <v>0</v>
      </c>
      <c r="H22" s="33">
        <v>-66618.509999999995</v>
      </c>
      <c r="I22" s="115">
        <f>E22+F22+G22+H22</f>
        <v>1388287.2900000012</v>
      </c>
      <c r="J22" s="284">
        <v>-266474.03999999998</v>
      </c>
      <c r="K22" s="115">
        <f>I22+J22</f>
        <v>1121813.2500000012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1454905.8000000012</v>
      </c>
      <c r="F24" s="29">
        <f t="shared" ref="F24:K24" si="3">SUM(F22:F23)</f>
        <v>0</v>
      </c>
      <c r="G24" s="29">
        <f t="shared" si="3"/>
        <v>0</v>
      </c>
      <c r="H24" s="29">
        <f t="shared" si="3"/>
        <v>-66618.509999999995</v>
      </c>
      <c r="I24" s="269">
        <f t="shared" si="3"/>
        <v>1388287.2900000012</v>
      </c>
      <c r="J24" s="49">
        <f t="shared" si="3"/>
        <v>-266474.03999999998</v>
      </c>
      <c r="K24" s="269">
        <f t="shared" si="3"/>
        <v>1121813.2500000012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Dec 2016'!$A$1:$I$251,9,FALSE)</f>
        <v>2178393</v>
      </c>
      <c r="F27" s="33">
        <v>0</v>
      </c>
      <c r="G27" s="33">
        <v>53282</v>
      </c>
      <c r="H27" s="29">
        <v>0</v>
      </c>
      <c r="I27" s="115">
        <f>E27+F27+G27+H27</f>
        <v>2231675</v>
      </c>
      <c r="J27" s="33">
        <v>0</v>
      </c>
      <c r="K27" s="115">
        <f>I27+J27</f>
        <v>2231675</v>
      </c>
      <c r="L27" s="210" t="s">
        <v>22</v>
      </c>
      <c r="M27" s="226"/>
      <c r="S27" s="28" t="s">
        <v>23</v>
      </c>
    </row>
    <row r="28" spans="1:21" ht="13.5" customHeight="1" x14ac:dyDescent="0.2">
      <c r="A28" s="100" t="s">
        <v>80</v>
      </c>
      <c r="B28" s="28"/>
      <c r="C28" s="28" t="s">
        <v>24</v>
      </c>
      <c r="D28" s="4" t="s">
        <v>204</v>
      </c>
      <c r="E28" s="32">
        <f>VLOOKUP(A28,'DEK Dec 2016'!$A$1:$I$251,9,FALSE)</f>
        <v>0.20000000018626451</v>
      </c>
      <c r="F28" s="33">
        <v>0</v>
      </c>
      <c r="G28" s="33">
        <v>0</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2178393.2000000002</v>
      </c>
      <c r="F30" s="44">
        <f t="shared" ref="F30:K30" si="4">SUM(F27:F28)</f>
        <v>0</v>
      </c>
      <c r="G30" s="33">
        <f t="shared" si="4"/>
        <v>53282</v>
      </c>
      <c r="H30" s="33">
        <f t="shared" si="4"/>
        <v>0</v>
      </c>
      <c r="I30" s="269">
        <f t="shared" si="4"/>
        <v>2231675.2000000002</v>
      </c>
      <c r="J30" s="33">
        <f t="shared" si="4"/>
        <v>0</v>
      </c>
      <c r="K30" s="269">
        <f t="shared" si="4"/>
        <v>2231675.2000000002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Dec 2016'!$A$1:$I$251,9,FALSE)</f>
        <v>1660596.7100000018</v>
      </c>
      <c r="F52" s="33">
        <v>0</v>
      </c>
      <c r="G52" s="33">
        <v>-728779.13</v>
      </c>
      <c r="H52" s="33">
        <v>0</v>
      </c>
      <c r="I52" s="115">
        <f>E52+F52+G52+H52</f>
        <v>931817.58000000182</v>
      </c>
      <c r="J52" s="284">
        <v>-931817.6</v>
      </c>
      <c r="K52" s="115">
        <f>I52+J52</f>
        <v>-1.9999998155981302E-2</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Dec 2016'!$A$1:$I$251,9,FALSE)</f>
        <v>5110664</v>
      </c>
      <c r="F53" s="33">
        <v>0</v>
      </c>
      <c r="G53" s="33">
        <v>-440202</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Jan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Dec 2016'!$A$1:$I$251,9,FALSE)</f>
        <v>1600000</v>
      </c>
      <c r="F59" s="33">
        <v>0</v>
      </c>
      <c r="G59" s="33">
        <v>50000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Jan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Dec 2016'!$A$1:$I$251,9,FALSE)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Jan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Dec 2016'!$A$1:$I$251,9,FALSE)</f>
        <v>23462463.969999999</v>
      </c>
      <c r="F67" s="172"/>
      <c r="G67" s="33">
        <v>2599334.69</v>
      </c>
      <c r="H67" s="172"/>
      <c r="I67" s="115">
        <f t="shared" si="5"/>
        <v>26061798.66</v>
      </c>
      <c r="J67" s="172"/>
      <c r="K67" s="115">
        <f t="shared" si="6"/>
        <v>26061798.66</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Dec 2016'!$A$1:$I$251,9,FALSE)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16.5" customHeight="1" x14ac:dyDescent="0.35">
      <c r="A71" s="100" t="s">
        <v>255</v>
      </c>
      <c r="B71" s="28"/>
      <c r="C71" s="28" t="s">
        <v>254</v>
      </c>
      <c r="D71" s="4" t="s">
        <v>255</v>
      </c>
      <c r="E71" s="32">
        <f>VLOOKUP(A71,'DEK Dec 2016'!$A$1:$I$251,9,FALSE)</f>
        <v>8034024.8599999994</v>
      </c>
      <c r="F71" s="172"/>
      <c r="G71" s="33">
        <v>1623640.84</v>
      </c>
      <c r="H71" s="33">
        <v>0</v>
      </c>
      <c r="I71" s="115">
        <f t="shared" si="5"/>
        <v>9657665.6999999993</v>
      </c>
      <c r="J71" s="33"/>
      <c r="K71" s="115">
        <f t="shared" si="6"/>
        <v>9657665.6999999993</v>
      </c>
      <c r="L71" s="210"/>
      <c r="M71" s="20"/>
      <c r="S71" s="18"/>
    </row>
    <row r="72" spans="1:19" ht="12.75" customHeight="1" x14ac:dyDescent="0.35">
      <c r="B72" s="28"/>
      <c r="C72" s="28"/>
      <c r="E72" s="32" t="s">
        <v>222</v>
      </c>
      <c r="F72" s="172"/>
      <c r="G72" s="33"/>
      <c r="H72" s="33"/>
      <c r="I72" s="115"/>
      <c r="J72" s="33"/>
      <c r="K72" s="115"/>
      <c r="L72" s="210"/>
      <c r="M72" s="20"/>
      <c r="S72" s="18"/>
    </row>
    <row r="73" spans="1:19" ht="15.75" customHeight="1" x14ac:dyDescent="0.35">
      <c r="A73" s="100" t="s">
        <v>257</v>
      </c>
      <c r="B73" s="28"/>
      <c r="C73" s="28" t="s">
        <v>256</v>
      </c>
      <c r="D73" s="4" t="s">
        <v>257</v>
      </c>
      <c r="E73" s="32">
        <f>VLOOKUP(A73,'DEK Dec 2016'!$A$1:$I$251,9,FALSE)</f>
        <v>-258566.82</v>
      </c>
      <c r="F73" s="172"/>
      <c r="G73" s="33">
        <v>-93242.08</v>
      </c>
      <c r="H73" s="33">
        <v>0</v>
      </c>
      <c r="I73" s="115">
        <f t="shared" si="5"/>
        <v>-351808.9</v>
      </c>
      <c r="J73" s="33"/>
      <c r="K73" s="115">
        <f t="shared" si="6"/>
        <v>-351808.9</v>
      </c>
      <c r="L73" s="210"/>
      <c r="M73" s="20"/>
      <c r="S73" s="18"/>
    </row>
    <row r="74" spans="1:19" ht="12.75" customHeight="1" x14ac:dyDescent="0.35">
      <c r="B74" s="28"/>
      <c r="C74" s="28"/>
      <c r="E74" s="32" t="s">
        <v>222</v>
      </c>
      <c r="F74" s="172"/>
      <c r="G74" s="33"/>
      <c r="H74" s="33"/>
      <c r="I74" s="115"/>
      <c r="J74" s="33"/>
      <c r="K74" s="115" t="s">
        <v>222</v>
      </c>
      <c r="M74" s="20"/>
      <c r="S74" s="18"/>
    </row>
    <row r="75" spans="1:19" ht="12.75" customHeight="1" x14ac:dyDescent="0.35">
      <c r="A75" s="100" t="s">
        <v>283</v>
      </c>
      <c r="B75" s="28"/>
      <c r="C75" s="28" t="s">
        <v>282</v>
      </c>
      <c r="D75" s="4" t="s">
        <v>283</v>
      </c>
      <c r="E75" s="32">
        <f>VLOOKUP(A75,'DEK Dec 2016'!$A$1:$I$251,9,FALSE)</f>
        <v>348</v>
      </c>
      <c r="F75" s="172"/>
      <c r="G75" s="33">
        <v>0</v>
      </c>
      <c r="H75" s="33">
        <v>0</v>
      </c>
      <c r="I75" s="115">
        <f t="shared" ref="I75" si="7">E75+F75+G75+H75</f>
        <v>348</v>
      </c>
      <c r="J75" s="33"/>
      <c r="K75" s="115">
        <f t="shared" ref="K75" si="8">I75+J75</f>
        <v>348</v>
      </c>
      <c r="L75" s="210"/>
      <c r="M75" s="20"/>
      <c r="S75" s="18"/>
    </row>
    <row r="76" spans="1:19" ht="12.75" customHeight="1" x14ac:dyDescent="0.35">
      <c r="B76" s="28"/>
      <c r="C76" s="28"/>
      <c r="E76" s="32"/>
      <c r="F76" s="172"/>
      <c r="G76" s="33"/>
      <c r="H76" s="33"/>
      <c r="I76" s="115"/>
      <c r="J76" s="33"/>
      <c r="K76" s="115"/>
      <c r="L76" s="210"/>
      <c r="M76" s="20"/>
      <c r="S76" s="18"/>
    </row>
    <row r="77" spans="1:19" ht="16.5" customHeight="1" x14ac:dyDescent="0.35">
      <c r="A77" s="100" t="s">
        <v>240</v>
      </c>
      <c r="B77" s="28"/>
      <c r="C77" s="28" t="s">
        <v>239</v>
      </c>
      <c r="D77" s="4" t="s">
        <v>240</v>
      </c>
      <c r="E77" s="32">
        <f>VLOOKUP(A77,'DEK Dec 2016'!$A$1:$I$251,9,FALSE)</f>
        <v>8804744.7300000004</v>
      </c>
      <c r="F77" s="172"/>
      <c r="G77" s="33">
        <v>1088478.23</v>
      </c>
      <c r="H77" s="33">
        <v>0</v>
      </c>
      <c r="I77" s="115">
        <f t="shared" ref="I77" si="9">E77+F77+G77+H77</f>
        <v>9893222.9600000009</v>
      </c>
      <c r="J77" s="33"/>
      <c r="K77" s="115">
        <f t="shared" ref="K77" si="10">I77+J77</f>
        <v>9893222.9600000009</v>
      </c>
      <c r="L77" s="210" t="s">
        <v>22</v>
      </c>
      <c r="M77" s="20" t="s">
        <v>247</v>
      </c>
      <c r="S77" s="18"/>
    </row>
    <row r="78" spans="1:19" ht="12.75" customHeight="1" x14ac:dyDescent="0.35">
      <c r="B78" s="28"/>
      <c r="C78" s="28"/>
      <c r="E78" s="32"/>
      <c r="F78" s="172"/>
      <c r="G78" s="33"/>
      <c r="H78" s="33"/>
      <c r="I78" s="115"/>
      <c r="J78" s="33"/>
      <c r="K78" s="115"/>
      <c r="M78" s="20"/>
      <c r="S78" s="18"/>
    </row>
    <row r="79" spans="1:19" ht="16.5" customHeight="1" x14ac:dyDescent="0.35">
      <c r="A79" s="100" t="s">
        <v>288</v>
      </c>
      <c r="B79" s="28"/>
      <c r="C79" s="28" t="s">
        <v>289</v>
      </c>
      <c r="D79" s="4" t="s">
        <v>288</v>
      </c>
      <c r="E79" s="32"/>
      <c r="F79" s="172"/>
      <c r="G79" s="33">
        <v>6610.1</v>
      </c>
      <c r="H79" s="33">
        <v>0</v>
      </c>
      <c r="I79" s="115">
        <f t="shared" ref="I79" si="11">E79+F79+G79+H79</f>
        <v>6610.1</v>
      </c>
      <c r="J79" s="33"/>
      <c r="K79" s="115">
        <f t="shared" ref="K79" si="12">I79+J79</f>
        <v>6610.1</v>
      </c>
      <c r="L79" s="210" t="s">
        <v>22</v>
      </c>
      <c r="M79" s="20"/>
      <c r="S79" s="18"/>
    </row>
    <row r="80" spans="1:19" ht="16.5" customHeight="1" x14ac:dyDescent="0.35">
      <c r="B80" s="28"/>
      <c r="C80" s="28"/>
      <c r="E80" s="32"/>
      <c r="F80" s="172"/>
      <c r="G80" s="33"/>
      <c r="H80" s="33"/>
      <c r="I80" s="115"/>
      <c r="J80" s="33"/>
      <c r="K80" s="115"/>
      <c r="L80" s="210"/>
      <c r="M80" s="20"/>
      <c r="S80" s="18"/>
    </row>
    <row r="81" spans="1:21" ht="12.75" customHeight="1" x14ac:dyDescent="0.35">
      <c r="A81" s="100" t="s">
        <v>234</v>
      </c>
      <c r="B81" s="28"/>
      <c r="C81" s="28" t="s">
        <v>232</v>
      </c>
      <c r="D81" s="4" t="s">
        <v>233</v>
      </c>
      <c r="E81" s="32">
        <f>VLOOKUP(A81,'DEK Dec 2016'!$A$1:$I$251,9,FALSE)</f>
        <v>0</v>
      </c>
      <c r="F81" s="174"/>
      <c r="G81" s="33">
        <v>0</v>
      </c>
      <c r="H81" s="33">
        <v>0</v>
      </c>
      <c r="I81" s="115">
        <f t="shared" ref="I81:I83" si="13">E81+F81+G81+H81</f>
        <v>0</v>
      </c>
      <c r="J81" s="33"/>
      <c r="K81" s="115">
        <f t="shared" ref="K81:K83" si="14">I81+J81</f>
        <v>0</v>
      </c>
      <c r="M81" s="20"/>
      <c r="S81" s="18"/>
    </row>
    <row r="82" spans="1:21" ht="12.75" customHeight="1" x14ac:dyDescent="0.35">
      <c r="B82" s="28"/>
      <c r="C82" s="28"/>
      <c r="E82" s="32"/>
      <c r="F82" s="172"/>
      <c r="G82" s="33"/>
      <c r="H82" s="33"/>
      <c r="I82" s="115"/>
      <c r="J82" s="33"/>
      <c r="K82" s="115"/>
      <c r="M82" s="20"/>
      <c r="S82" s="18"/>
    </row>
    <row r="83" spans="1:21" ht="12.75" customHeight="1" x14ac:dyDescent="0.35">
      <c r="A83" s="100" t="s">
        <v>276</v>
      </c>
      <c r="B83" s="28"/>
      <c r="C83" s="28" t="s">
        <v>275</v>
      </c>
      <c r="D83" s="4" t="s">
        <v>276</v>
      </c>
      <c r="E83" s="35">
        <f>VLOOKUP(A83,'DEK Dec 2016'!$A$1:$I$251,9,FALSE)</f>
        <v>2172194.7599999998</v>
      </c>
      <c r="F83" s="174"/>
      <c r="G83" s="36">
        <v>0</v>
      </c>
      <c r="H83" s="36">
        <v>0</v>
      </c>
      <c r="I83" s="116">
        <f t="shared" si="13"/>
        <v>2172194.7599999998</v>
      </c>
      <c r="J83" s="36"/>
      <c r="K83" s="116">
        <f t="shared" si="14"/>
        <v>2172194.7599999998</v>
      </c>
      <c r="M83" s="20"/>
      <c r="S83" s="18"/>
    </row>
    <row r="84" spans="1:21" x14ac:dyDescent="0.2">
      <c r="B84" s="54"/>
      <c r="C84" s="28"/>
      <c r="E84" s="221">
        <f>SUM(E42:E83)</f>
        <v>55499154.210000001</v>
      </c>
      <c r="F84" s="29">
        <f>SUM(F39:F65)+F36</f>
        <v>0</v>
      </c>
      <c r="G84" s="29">
        <f>SUM(G39:G83)+G36</f>
        <v>4105840.6500000004</v>
      </c>
      <c r="H84" s="29">
        <f>SUM(H39:H83)+H36</f>
        <v>0</v>
      </c>
      <c r="I84" s="269">
        <f>SUM(I39:I83)+I36</f>
        <v>59604994.859999999</v>
      </c>
      <c r="J84" s="49">
        <f>SUM(J39:J83)+J36</f>
        <v>-931817.6</v>
      </c>
      <c r="K84" s="275">
        <f>SUM(K39:K83)+K36</f>
        <v>58673177.260000005</v>
      </c>
      <c r="L84" s="280" t="s">
        <v>259</v>
      </c>
      <c r="M84" s="20"/>
      <c r="S84" s="18"/>
    </row>
    <row r="85" spans="1:21" x14ac:dyDescent="0.2">
      <c r="B85" s="54"/>
      <c r="C85" s="28"/>
      <c r="E85" s="32"/>
      <c r="F85" s="32"/>
      <c r="G85" s="157"/>
      <c r="H85" s="32"/>
      <c r="I85" s="123"/>
      <c r="J85" s="32"/>
      <c r="K85" s="123"/>
      <c r="L85" s="230"/>
      <c r="M85" s="20"/>
      <c r="S85" s="18"/>
    </row>
    <row r="86" spans="1:21" x14ac:dyDescent="0.2">
      <c r="A86" s="100" t="s">
        <v>269</v>
      </c>
      <c r="B86" s="54"/>
      <c r="C86" s="28" t="s">
        <v>268</v>
      </c>
      <c r="D86" s="4" t="s">
        <v>269</v>
      </c>
      <c r="E86" s="272">
        <f>VLOOKUP(A86,'DEK Dec 2016'!$A$1:$I$251,9,FALSE)</f>
        <v>3636612.62</v>
      </c>
      <c r="F86" s="35"/>
      <c r="G86" s="35">
        <v>-713776.12</v>
      </c>
      <c r="H86" s="35">
        <v>0</v>
      </c>
      <c r="I86" s="274">
        <f>E86+F86+G86+H86</f>
        <v>2922836.5</v>
      </c>
      <c r="J86" s="274">
        <v>0</v>
      </c>
      <c r="K86" s="273">
        <f t="shared" ref="K86" si="15">I86+J86</f>
        <v>2922836.5</v>
      </c>
      <c r="L86" s="280" t="s">
        <v>279</v>
      </c>
      <c r="M86" s="20"/>
      <c r="S86" s="18"/>
    </row>
    <row r="87" spans="1:21" x14ac:dyDescent="0.2">
      <c r="B87" s="54"/>
      <c r="C87" s="28"/>
      <c r="E87" s="32"/>
      <c r="F87" s="29"/>
      <c r="G87" s="151"/>
      <c r="H87" s="29"/>
      <c r="I87" s="123"/>
      <c r="J87" s="49"/>
      <c r="K87" s="123"/>
      <c r="L87" s="230"/>
      <c r="M87" s="20"/>
      <c r="S87" s="18"/>
    </row>
    <row r="88" spans="1:21" s="22" customFormat="1" x14ac:dyDescent="0.2">
      <c r="A88" s="101"/>
      <c r="B88" s="54" t="s">
        <v>129</v>
      </c>
      <c r="C88" s="55"/>
      <c r="E88" s="220"/>
      <c r="F88" s="47"/>
      <c r="G88" s="162"/>
      <c r="H88" s="47"/>
      <c r="I88" s="124"/>
      <c r="J88" s="47"/>
      <c r="K88" s="124"/>
      <c r="M88" s="19"/>
      <c r="N88" s="48"/>
      <c r="O88" s="48"/>
      <c r="P88" s="56"/>
      <c r="R88" s="57"/>
      <c r="S88" s="57"/>
      <c r="T88" s="55"/>
      <c r="U88" s="55"/>
    </row>
    <row r="89" spans="1:21" ht="15" customHeight="1" x14ac:dyDescent="0.2">
      <c r="A89" s="100" t="s">
        <v>125</v>
      </c>
      <c r="B89" s="28"/>
      <c r="C89" s="28" t="s">
        <v>73</v>
      </c>
      <c r="D89" s="4" t="s">
        <v>125</v>
      </c>
      <c r="E89" s="32">
        <v>1566515</v>
      </c>
      <c r="F89" s="30">
        <v>0</v>
      </c>
      <c r="G89" s="33">
        <v>22187458.719999999</v>
      </c>
      <c r="H89" s="30">
        <v>0</v>
      </c>
      <c r="I89" s="115">
        <f>E89+F89+G89+H89</f>
        <v>23753973.719999999</v>
      </c>
      <c r="J89" s="30">
        <v>0</v>
      </c>
      <c r="K89" s="115">
        <f t="shared" ref="K89:K96" si="16">I89+J89</f>
        <v>23753973.719999999</v>
      </c>
      <c r="L89" s="210"/>
      <c r="M89" s="20" t="s">
        <v>126</v>
      </c>
      <c r="P89" s="58"/>
      <c r="R89" s="4" t="s">
        <v>107</v>
      </c>
      <c r="S89" s="18">
        <v>182940</v>
      </c>
      <c r="U89" s="4" t="s">
        <v>36</v>
      </c>
    </row>
    <row r="90" spans="1:21" ht="15" customHeight="1" x14ac:dyDescent="0.2">
      <c r="A90" s="100" t="s">
        <v>291</v>
      </c>
      <c r="B90" s="28"/>
      <c r="C90" s="28" t="s">
        <v>290</v>
      </c>
      <c r="D90" s="4" t="s">
        <v>291</v>
      </c>
      <c r="E90" s="32">
        <v>0</v>
      </c>
      <c r="F90" s="30">
        <v>0</v>
      </c>
      <c r="G90" s="33">
        <v>2540163.5499999998</v>
      </c>
      <c r="H90" s="30">
        <v>0</v>
      </c>
      <c r="I90" s="115">
        <f>E90+F90+G90+H90</f>
        <v>2540163.5499999998</v>
      </c>
      <c r="J90" s="30">
        <v>0</v>
      </c>
      <c r="K90" s="115">
        <f t="shared" ref="K90" si="17">I90+J90</f>
        <v>2540163.5499999998</v>
      </c>
      <c r="L90" s="210"/>
      <c r="M90" s="20" t="s">
        <v>126</v>
      </c>
      <c r="P90" s="58"/>
      <c r="R90" s="4" t="s">
        <v>107</v>
      </c>
      <c r="S90" s="18">
        <v>182940</v>
      </c>
      <c r="U90" s="4" t="s">
        <v>36</v>
      </c>
    </row>
    <row r="91" spans="1:21" x14ac:dyDescent="0.2">
      <c r="A91" s="100" t="s">
        <v>281</v>
      </c>
      <c r="B91" s="28"/>
      <c r="C91" s="28" t="s">
        <v>280</v>
      </c>
      <c r="D91" s="4" t="s">
        <v>281</v>
      </c>
      <c r="E91" s="32">
        <v>893007.52</v>
      </c>
      <c r="F91" s="30">
        <v>0</v>
      </c>
      <c r="G91" s="33">
        <v>3857042.2</v>
      </c>
      <c r="H91" s="30">
        <v>0</v>
      </c>
      <c r="I91" s="115">
        <f t="shared" ref="I91:I96" si="18">E91+F91+G91+H91</f>
        <v>4750049.7200000007</v>
      </c>
      <c r="J91" s="30">
        <v>0</v>
      </c>
      <c r="K91" s="115">
        <f t="shared" si="16"/>
        <v>4750049.7200000007</v>
      </c>
      <c r="L91" s="210" t="s">
        <v>22</v>
      </c>
      <c r="M91" s="20"/>
      <c r="P91" s="58"/>
      <c r="S91" s="18">
        <v>186801</v>
      </c>
    </row>
    <row r="92" spans="1:21" x14ac:dyDescent="0.2">
      <c r="A92" s="100" t="s">
        <v>293</v>
      </c>
      <c r="B92" s="28"/>
      <c r="C92" s="28" t="s">
        <v>292</v>
      </c>
      <c r="D92" s="4" t="s">
        <v>293</v>
      </c>
      <c r="E92" s="32">
        <v>0</v>
      </c>
      <c r="F92" s="30">
        <v>0</v>
      </c>
      <c r="G92" s="33">
        <v>49947.05</v>
      </c>
      <c r="H92" s="30">
        <v>0</v>
      </c>
      <c r="I92" s="115">
        <f t="shared" ref="I92" si="19">E92+F92+G92+H92</f>
        <v>49947.05</v>
      </c>
      <c r="J92" s="30">
        <v>0</v>
      </c>
      <c r="K92" s="115">
        <f t="shared" ref="K92" si="20">I92+J92</f>
        <v>49947.05</v>
      </c>
      <c r="L92" s="210" t="s">
        <v>22</v>
      </c>
      <c r="M92" s="20"/>
      <c r="P92" s="58"/>
      <c r="S92" s="18">
        <v>186801</v>
      </c>
    </row>
    <row r="93" spans="1:21" x14ac:dyDescent="0.2">
      <c r="A93" s="100" t="s">
        <v>161</v>
      </c>
      <c r="B93" s="28"/>
      <c r="C93" s="28" t="s">
        <v>72</v>
      </c>
      <c r="D93" s="4" t="s">
        <v>224</v>
      </c>
      <c r="E93" s="32">
        <v>22515607.719999999</v>
      </c>
      <c r="F93" s="30">
        <v>0</v>
      </c>
      <c r="G93" s="33">
        <v>-22515607.719999999</v>
      </c>
      <c r="H93" s="30">
        <v>0</v>
      </c>
      <c r="I93" s="115">
        <f t="shared" si="18"/>
        <v>0</v>
      </c>
      <c r="J93" s="30">
        <v>0</v>
      </c>
      <c r="K93" s="115">
        <f t="shared" si="16"/>
        <v>0</v>
      </c>
      <c r="L93" s="210" t="s">
        <v>22</v>
      </c>
      <c r="M93" s="20"/>
      <c r="P93" s="58"/>
      <c r="S93" s="18">
        <v>186801</v>
      </c>
    </row>
    <row r="94" spans="1:21" x14ac:dyDescent="0.2">
      <c r="A94" s="108" t="s">
        <v>171</v>
      </c>
      <c r="B94" s="28"/>
      <c r="C94" s="28" t="s">
        <v>122</v>
      </c>
      <c r="D94" s="4" t="s">
        <v>225</v>
      </c>
      <c r="E94" s="32">
        <v>2610153.5499999998</v>
      </c>
      <c r="F94" s="30">
        <v>0</v>
      </c>
      <c r="G94" s="33">
        <v>-2610153.5499999998</v>
      </c>
      <c r="H94" s="30">
        <v>0</v>
      </c>
      <c r="I94" s="115">
        <f t="shared" si="18"/>
        <v>0</v>
      </c>
      <c r="J94" s="30">
        <v>0</v>
      </c>
      <c r="K94" s="115">
        <f t="shared" si="16"/>
        <v>0</v>
      </c>
      <c r="L94" s="210" t="s">
        <v>22</v>
      </c>
      <c r="M94" s="20"/>
      <c r="P94" s="58"/>
      <c r="S94" s="18"/>
    </row>
    <row r="95" spans="1:21" x14ac:dyDescent="0.2">
      <c r="A95" s="108" t="s">
        <v>284</v>
      </c>
      <c r="B95" s="28"/>
      <c r="C95" s="28" t="s">
        <v>285</v>
      </c>
      <c r="D95" s="4" t="s">
        <v>284</v>
      </c>
      <c r="E95" s="32">
        <v>3983408.2</v>
      </c>
      <c r="F95" s="30">
        <v>0</v>
      </c>
      <c r="G95" s="33">
        <v>-3983408.2</v>
      </c>
      <c r="H95" s="30">
        <v>0</v>
      </c>
      <c r="I95" s="115">
        <f t="shared" si="18"/>
        <v>0</v>
      </c>
      <c r="J95" s="30">
        <v>0</v>
      </c>
      <c r="K95" s="115">
        <f t="shared" si="16"/>
        <v>0</v>
      </c>
      <c r="L95" s="210" t="s">
        <v>22</v>
      </c>
      <c r="M95" s="20"/>
      <c r="P95" s="58"/>
      <c r="S95" s="18"/>
    </row>
    <row r="96" spans="1:21" x14ac:dyDescent="0.2">
      <c r="A96" s="108" t="s">
        <v>172</v>
      </c>
      <c r="B96" s="28"/>
      <c r="C96" s="28" t="s">
        <v>123</v>
      </c>
      <c r="D96" s="4" t="s">
        <v>226</v>
      </c>
      <c r="E96" s="32">
        <v>51069.05</v>
      </c>
      <c r="F96" s="30">
        <v>0</v>
      </c>
      <c r="G96" s="33">
        <v>-51069.05</v>
      </c>
      <c r="H96" s="30">
        <v>0</v>
      </c>
      <c r="I96" s="115">
        <f t="shared" si="18"/>
        <v>0</v>
      </c>
      <c r="J96" s="30">
        <v>0</v>
      </c>
      <c r="K96" s="115">
        <f t="shared" si="16"/>
        <v>0</v>
      </c>
      <c r="L96" s="210" t="s">
        <v>22</v>
      </c>
      <c r="M96" s="20"/>
      <c r="P96" s="58"/>
      <c r="S96" s="18"/>
    </row>
    <row r="97" spans="1:20" x14ac:dyDescent="0.2">
      <c r="B97" s="28"/>
      <c r="C97" s="28"/>
      <c r="E97" s="35"/>
      <c r="F97" s="36"/>
      <c r="G97" s="150"/>
      <c r="H97" s="36"/>
      <c r="I97" s="116"/>
      <c r="J97" s="36"/>
      <c r="K97" s="116"/>
      <c r="M97" s="20"/>
      <c r="P97" s="58"/>
      <c r="S97" s="18"/>
    </row>
    <row r="98" spans="1:20" x14ac:dyDescent="0.2">
      <c r="B98" s="28"/>
      <c r="C98" s="18"/>
      <c r="E98" s="221">
        <f t="shared" ref="E98:K98" si="21">SUM(E89:E97)</f>
        <v>31619761.039999999</v>
      </c>
      <c r="F98" s="29">
        <f t="shared" si="21"/>
        <v>0</v>
      </c>
      <c r="G98" s="29">
        <f t="shared" si="21"/>
        <v>-525626.9999999993</v>
      </c>
      <c r="H98" s="29">
        <f t="shared" si="21"/>
        <v>0</v>
      </c>
      <c r="I98" s="269">
        <f t="shared" si="21"/>
        <v>31094134.040000003</v>
      </c>
      <c r="J98" s="29">
        <f t="shared" si="21"/>
        <v>0</v>
      </c>
      <c r="K98" s="269">
        <f t="shared" si="21"/>
        <v>31094134.040000003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22">E100+F100+G100+H100</f>
        <v>0</v>
      </c>
      <c r="J100" s="30">
        <f t="shared" si="22"/>
        <v>0</v>
      </c>
      <c r="K100" s="115">
        <f t="shared" si="22"/>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22"/>
        <v>0</v>
      </c>
      <c r="J101" s="30">
        <f t="shared" si="22"/>
        <v>0</v>
      </c>
      <c r="K101" s="115">
        <f t="shared" si="22"/>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+E12+E24+E30+E84+E86+E98+E100+E19+E101</f>
        <v>100084876.13</v>
      </c>
      <c r="F104" s="133">
        <f>+F12+F24+F30+F84+F98+F100+F19+F101</f>
        <v>0</v>
      </c>
      <c r="G104" s="133">
        <f>+G12+G24+G30+G84+G86+G98+G100+G19+G101</f>
        <v>-779372.91999999911</v>
      </c>
      <c r="H104" s="133">
        <f>+H12+H24+H30+H84+H86+H98+H100+H19+H101</f>
        <v>-66618.509999999995</v>
      </c>
      <c r="I104" s="134">
        <f>+I12+I24+I30+I84+I86+I98+I100+I19+I101</f>
        <v>99238884.700000003</v>
      </c>
      <c r="J104" s="133">
        <f>+J12+J24+J30+J84+J86+J98+J100+J19+J101</f>
        <v>0</v>
      </c>
      <c r="K104" s="134">
        <f>+K12+K24+K30+K84+K86+K98+K100+K19+K101</f>
        <v>99238884.700000018</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Dec 2016'!$A$1:$I$251,9,FALSE)</f>
        <v>2.9103830456733704E-10</v>
      </c>
      <c r="F107" s="30">
        <v>0</v>
      </c>
      <c r="G107" s="33">
        <v>2825316.75</v>
      </c>
      <c r="H107" s="33">
        <v>-1608487.98</v>
      </c>
      <c r="I107" s="115">
        <f t="shared" ref="I107:I112" si="23">E107+F107+G107+H107</f>
        <v>1216828.7700000005</v>
      </c>
      <c r="J107" s="30">
        <v>0</v>
      </c>
      <c r="K107" s="115">
        <f t="shared" ref="K107:K112" si="24">I107+J107</f>
        <v>1216828.7700000005</v>
      </c>
      <c r="L107" s="210" t="s">
        <v>22</v>
      </c>
      <c r="M107" s="33"/>
      <c r="N107" s="42"/>
      <c r="O107" s="42"/>
      <c r="S107" s="18">
        <v>191400</v>
      </c>
      <c r="T107" s="58"/>
    </row>
    <row r="108" spans="1:20" x14ac:dyDescent="0.2">
      <c r="A108" s="100" t="s">
        <v>115</v>
      </c>
      <c r="B108" s="18"/>
      <c r="C108" s="28" t="s">
        <v>53</v>
      </c>
      <c r="D108" s="4" t="s">
        <v>115</v>
      </c>
      <c r="E108" s="32">
        <f>VLOOKUP(A108,'DEK Dec 2016'!$A$1:$I$251,9,FALSE)</f>
        <v>-2309471.4900000002</v>
      </c>
      <c r="F108" s="30">
        <v>0</v>
      </c>
      <c r="G108" s="33">
        <v>-135788.03</v>
      </c>
      <c r="H108" s="144">
        <v>0</v>
      </c>
      <c r="I108" s="115">
        <f t="shared" si="23"/>
        <v>-2445259.52</v>
      </c>
      <c r="J108" s="30">
        <v>0</v>
      </c>
      <c r="K108" s="115">
        <f t="shared" si="24"/>
        <v>-2445259.52</v>
      </c>
      <c r="L108" s="210" t="s">
        <v>22</v>
      </c>
      <c r="M108" s="30"/>
      <c r="N108" s="42"/>
      <c r="O108" s="42"/>
      <c r="S108" s="18">
        <v>191800</v>
      </c>
      <c r="T108" s="58"/>
    </row>
    <row r="109" spans="1:20" ht="12.75" customHeight="1" x14ac:dyDescent="0.2">
      <c r="A109" s="100" t="s">
        <v>117</v>
      </c>
      <c r="B109" s="18"/>
      <c r="C109" s="28" t="s">
        <v>77</v>
      </c>
      <c r="D109" s="4" t="s">
        <v>117</v>
      </c>
      <c r="E109" s="32">
        <f>VLOOKUP(A109,'DEK Dec 2016'!$A$1:$I$251,9,FALSE)</f>
        <v>-2502214.27</v>
      </c>
      <c r="F109" s="30">
        <v>0</v>
      </c>
      <c r="G109" s="30">
        <v>1986720.62</v>
      </c>
      <c r="H109" s="144">
        <v>0</v>
      </c>
      <c r="I109" s="115">
        <f t="shared" si="23"/>
        <v>-515493.64999999991</v>
      </c>
      <c r="J109" s="30">
        <v>0</v>
      </c>
      <c r="K109" s="115">
        <f t="shared" si="24"/>
        <v>-515493.64999999991</v>
      </c>
      <c r="L109" s="210" t="s">
        <v>22</v>
      </c>
      <c r="M109" s="20"/>
      <c r="N109" s="42"/>
      <c r="O109" s="42"/>
      <c r="S109" s="18">
        <v>242995</v>
      </c>
      <c r="T109" s="58"/>
    </row>
    <row r="110" spans="1:20" x14ac:dyDescent="0.2">
      <c r="A110" s="100" t="s">
        <v>119</v>
      </c>
      <c r="B110" s="18"/>
      <c r="C110" s="28" t="s">
        <v>118</v>
      </c>
      <c r="D110" s="4" t="s">
        <v>119</v>
      </c>
      <c r="E110" s="32">
        <f>VLOOKUP(A110,'DEK Dec 2016'!$A$1:$I$251,9,FALSE)</f>
        <v>-1214626.8500000006</v>
      </c>
      <c r="F110" s="30">
        <v>0</v>
      </c>
      <c r="G110" s="30">
        <v>10109.950000000001</v>
      </c>
      <c r="H110" s="144">
        <v>0</v>
      </c>
      <c r="I110" s="115">
        <f t="shared" si="23"/>
        <v>-1204516.9000000006</v>
      </c>
      <c r="J110" s="30">
        <v>0</v>
      </c>
      <c r="K110" s="115">
        <f t="shared" si="24"/>
        <v>-1204516.9000000006</v>
      </c>
      <c r="L110" s="210" t="s">
        <v>22</v>
      </c>
      <c r="M110" s="20"/>
      <c r="N110" s="42"/>
      <c r="O110" s="42"/>
      <c r="S110" s="18">
        <v>242997</v>
      </c>
      <c r="T110" s="58"/>
    </row>
    <row r="111" spans="1:20" x14ac:dyDescent="0.2">
      <c r="A111" s="100" t="s">
        <v>120</v>
      </c>
      <c r="B111" s="18"/>
      <c r="C111" s="28" t="s">
        <v>54</v>
      </c>
      <c r="D111" s="4" t="s">
        <v>120</v>
      </c>
      <c r="E111" s="32">
        <f>VLOOKUP(A111,'DEK Dec 2016'!$A$1:$I$251,9,FALSE)</f>
        <v>-354896.08999999979</v>
      </c>
      <c r="F111" s="33">
        <v>0</v>
      </c>
      <c r="G111" s="33">
        <v>99731.47</v>
      </c>
      <c r="H111" s="33">
        <v>184969.06</v>
      </c>
      <c r="I111" s="115">
        <f t="shared" si="23"/>
        <v>-70195.559999999794</v>
      </c>
      <c r="J111" s="33">
        <v>0</v>
      </c>
      <c r="K111" s="115">
        <f t="shared" si="24"/>
        <v>-70195.559999999794</v>
      </c>
      <c r="L111" s="210" t="s">
        <v>22</v>
      </c>
      <c r="M111" s="42"/>
      <c r="N111" s="42"/>
      <c r="O111" s="42"/>
      <c r="S111" s="18">
        <v>253130</v>
      </c>
      <c r="T111" s="58"/>
    </row>
    <row r="112" spans="1:20" x14ac:dyDescent="0.2">
      <c r="A112" s="100" t="s">
        <v>156</v>
      </c>
      <c r="B112" s="18"/>
      <c r="C112" s="28" t="s">
        <v>116</v>
      </c>
      <c r="D112" s="4" t="s">
        <v>211</v>
      </c>
      <c r="E112" s="32">
        <f>VLOOKUP(A112,'DEK Dec 2016'!$A$1:$I$251,9,FALSE)</f>
        <v>-5792083.5800000001</v>
      </c>
      <c r="F112" s="33"/>
      <c r="G112" s="33">
        <v>502002.91</v>
      </c>
      <c r="H112" s="144">
        <v>0</v>
      </c>
      <c r="I112" s="115">
        <f t="shared" si="23"/>
        <v>-5290080.67</v>
      </c>
      <c r="J112" s="30">
        <v>0</v>
      </c>
      <c r="K112" s="115">
        <f t="shared" si="24"/>
        <v>-5290080.67</v>
      </c>
      <c r="M112" s="42"/>
      <c r="N112" s="42"/>
      <c r="O112" s="42"/>
      <c r="S112" s="18"/>
      <c r="T112" s="58"/>
    </row>
    <row r="113" spans="1:23" x14ac:dyDescent="0.2">
      <c r="B113" s="18"/>
      <c r="C113" s="28"/>
      <c r="E113" s="36"/>
      <c r="F113" s="36"/>
      <c r="G113" s="150"/>
      <c r="H113" s="150"/>
      <c r="I113" s="116"/>
      <c r="J113" s="36"/>
      <c r="K113" s="116"/>
      <c r="M113" s="42"/>
      <c r="N113" s="42"/>
      <c r="O113" s="42"/>
      <c r="S113" s="18"/>
      <c r="T113" s="58"/>
    </row>
    <row r="114" spans="1:23" x14ac:dyDescent="0.2">
      <c r="B114" s="18"/>
      <c r="C114" s="61"/>
      <c r="D114" s="34"/>
      <c r="E114" s="44">
        <f t="shared" ref="E114:K114" si="25">SUM(E107:E113)</f>
        <v>-12173292.280000001</v>
      </c>
      <c r="F114" s="33">
        <f t="shared" si="25"/>
        <v>0</v>
      </c>
      <c r="G114" s="33">
        <f t="shared" si="25"/>
        <v>5288093.67</v>
      </c>
      <c r="H114" s="33">
        <f t="shared" si="25"/>
        <v>-1423518.92</v>
      </c>
      <c r="I114" s="269">
        <f t="shared" si="25"/>
        <v>-8308717.5299999993</v>
      </c>
      <c r="J114" s="33">
        <f t="shared" si="25"/>
        <v>0</v>
      </c>
      <c r="K114" s="269">
        <f t="shared" si="25"/>
        <v>-8308717.5299999993</v>
      </c>
      <c r="L114" s="280" t="s">
        <v>263</v>
      </c>
      <c r="M114" s="42"/>
      <c r="N114" s="42"/>
      <c r="O114" s="42"/>
      <c r="S114" s="18"/>
      <c r="T114" s="58"/>
    </row>
    <row r="115" spans="1:23" hidden="1" x14ac:dyDescent="0.2">
      <c r="B115" s="21" t="s">
        <v>188</v>
      </c>
      <c r="C115" s="61"/>
      <c r="D115" s="34"/>
      <c r="E115" s="33"/>
      <c r="F115" s="33"/>
      <c r="G115" s="144"/>
      <c r="H115" s="144"/>
      <c r="I115" s="115"/>
      <c r="J115" s="33"/>
      <c r="K115" s="115"/>
      <c r="M115" s="42"/>
      <c r="N115" s="42"/>
      <c r="O115" s="42"/>
      <c r="S115" s="18"/>
      <c r="T115" s="58"/>
    </row>
    <row r="116" spans="1:23" hidden="1" x14ac:dyDescent="0.2">
      <c r="A116" s="100" t="s">
        <v>185</v>
      </c>
      <c r="B116" s="18"/>
      <c r="C116" s="28" t="s">
        <v>186</v>
      </c>
      <c r="D116" s="4" t="s">
        <v>213</v>
      </c>
      <c r="E116" s="32">
        <v>0</v>
      </c>
      <c r="F116" s="33">
        <v>0</v>
      </c>
      <c r="G116" s="144">
        <v>0</v>
      </c>
      <c r="H116" s="144">
        <v>0</v>
      </c>
      <c r="I116" s="115">
        <f>E116+F116+G116+H116</f>
        <v>0</v>
      </c>
      <c r="J116" s="33">
        <v>0</v>
      </c>
      <c r="K116" s="115">
        <f>I116+J116</f>
        <v>0</v>
      </c>
      <c r="M116" s="42"/>
      <c r="N116" s="42"/>
      <c r="O116" s="42"/>
      <c r="S116" s="18"/>
      <c r="T116" s="58"/>
    </row>
    <row r="117" spans="1:23" ht="12.75" hidden="1" customHeight="1" x14ac:dyDescent="0.2">
      <c r="A117" s="100" t="s">
        <v>181</v>
      </c>
      <c r="B117" s="18"/>
      <c r="C117" s="28" t="s">
        <v>182</v>
      </c>
      <c r="D117" s="4" t="s">
        <v>213</v>
      </c>
      <c r="E117" s="32">
        <f>VLOOKUP(A117,'[23]DEK Jul 2013'!$A$1:$I$252,9,FALSE)</f>
        <v>0</v>
      </c>
      <c r="F117" s="33">
        <v>0</v>
      </c>
      <c r="G117" s="144">
        <v>0</v>
      </c>
      <c r="H117" s="144">
        <v>0</v>
      </c>
      <c r="I117" s="115">
        <f>E117+F117+G117+H117</f>
        <v>0</v>
      </c>
      <c r="J117" s="30">
        <v>0</v>
      </c>
      <c r="K117" s="115">
        <f>I117+J117</f>
        <v>0</v>
      </c>
      <c r="L117" s="4" t="s">
        <v>22</v>
      </c>
      <c r="M117" s="42"/>
      <c r="N117" s="42"/>
      <c r="O117" s="42"/>
      <c r="S117" s="18">
        <v>253130</v>
      </c>
      <c r="T117" s="58"/>
    </row>
    <row r="118" spans="1:23" hidden="1" x14ac:dyDescent="0.2">
      <c r="B118" s="18"/>
      <c r="C118" s="28"/>
      <c r="E118" s="33"/>
      <c r="F118" s="36"/>
      <c r="G118" s="150"/>
      <c r="H118" s="150"/>
      <c r="I118" s="116"/>
      <c r="J118" s="36"/>
      <c r="K118" s="116"/>
      <c r="M118" s="42"/>
      <c r="N118" s="42"/>
      <c r="O118" s="42"/>
      <c r="S118" s="18"/>
      <c r="T118" s="58"/>
    </row>
    <row r="119" spans="1:23" hidden="1" x14ac:dyDescent="0.2">
      <c r="B119" s="18"/>
      <c r="C119" s="28"/>
      <c r="E119" s="33">
        <f>SUM(E116:E117)</f>
        <v>0</v>
      </c>
      <c r="F119" s="33">
        <f t="shared" ref="F119:L119" si="26">SUM(F116:F117)</f>
        <v>0</v>
      </c>
      <c r="G119" s="144">
        <f t="shared" si="26"/>
        <v>0</v>
      </c>
      <c r="H119" s="144">
        <f t="shared" si="26"/>
        <v>0</v>
      </c>
      <c r="I119" s="128">
        <f>SUM(I116:I117)</f>
        <v>0</v>
      </c>
      <c r="J119" s="33">
        <f t="shared" si="26"/>
        <v>0</v>
      </c>
      <c r="K119" s="128">
        <f t="shared" si="26"/>
        <v>0</v>
      </c>
      <c r="L119" s="33">
        <f t="shared" si="26"/>
        <v>0</v>
      </c>
      <c r="M119" s="42"/>
      <c r="N119" s="42"/>
      <c r="O119" s="42"/>
      <c r="S119" s="18"/>
      <c r="T119" s="58"/>
    </row>
    <row r="120" spans="1:23" hidden="1" x14ac:dyDescent="0.2">
      <c r="B120" s="18"/>
      <c r="C120" s="61"/>
      <c r="D120" s="34"/>
      <c r="E120" s="33"/>
      <c r="F120" s="33"/>
      <c r="G120" s="144"/>
      <c r="H120" s="144"/>
      <c r="I120" s="115"/>
      <c r="J120" s="33"/>
      <c r="K120" s="115"/>
      <c r="M120" s="42"/>
      <c r="N120" s="42"/>
      <c r="O120" s="42"/>
      <c r="S120" s="18"/>
      <c r="T120" s="58"/>
    </row>
    <row r="121" spans="1:23" s="22" customFormat="1" x14ac:dyDescent="0.2">
      <c r="A121" s="101"/>
      <c r="B121" s="21" t="s">
        <v>214</v>
      </c>
      <c r="C121" s="63"/>
      <c r="D121" s="64"/>
      <c r="E121" s="33"/>
      <c r="F121" s="30"/>
      <c r="G121" s="152" t="s">
        <v>187</v>
      </c>
      <c r="H121" s="152"/>
      <c r="I121" s="113"/>
      <c r="J121" s="19"/>
      <c r="K121" s="113"/>
      <c r="M121" s="19"/>
      <c r="N121" s="42"/>
      <c r="O121" s="48"/>
      <c r="T121" s="46"/>
      <c r="U121" s="46"/>
    </row>
    <row r="122" spans="1:23" x14ac:dyDescent="0.2">
      <c r="A122" s="100" t="s">
        <v>162</v>
      </c>
      <c r="B122" s="18"/>
      <c r="C122" s="28" t="s">
        <v>76</v>
      </c>
      <c r="D122" s="4" t="s">
        <v>194</v>
      </c>
      <c r="E122" s="32">
        <f>VLOOKUP(A122,'DEK Jan 2017'!$A$1:$I$252,9,FALSE)</f>
        <v>0</v>
      </c>
      <c r="F122" s="30">
        <v>0</v>
      </c>
      <c r="G122" s="33">
        <v>0</v>
      </c>
      <c r="H122" s="33">
        <v>0</v>
      </c>
      <c r="I122" s="123">
        <f>E122+G122+H122+F122</f>
        <v>0</v>
      </c>
      <c r="J122" s="91">
        <v>0</v>
      </c>
      <c r="K122" s="123">
        <f>I122+J122</f>
        <v>0</v>
      </c>
      <c r="L122" s="259"/>
      <c r="M122" s="67"/>
      <c r="P122" s="51"/>
      <c r="Q122" s="18"/>
      <c r="R122" s="58"/>
      <c r="S122" s="18"/>
    </row>
    <row r="123" spans="1:23" x14ac:dyDescent="0.2">
      <c r="A123" s="100" t="s">
        <v>287</v>
      </c>
      <c r="B123" s="18"/>
      <c r="C123" s="28" t="s">
        <v>286</v>
      </c>
      <c r="D123" s="4" t="s">
        <v>287</v>
      </c>
      <c r="E123" s="35">
        <f>VLOOKUP(A123,'DEK Dec 2016'!$A$1:$I$251,9,FALSE)</f>
        <v>-5549675.7300000004</v>
      </c>
      <c r="F123" s="36">
        <v>0</v>
      </c>
      <c r="G123" s="36">
        <v>152157</v>
      </c>
      <c r="H123" s="36">
        <v>0</v>
      </c>
      <c r="I123" s="267">
        <f>E123+G123+H123+F123</f>
        <v>-5397518.7300000004</v>
      </c>
      <c r="J123" s="266">
        <v>0</v>
      </c>
      <c r="K123" s="267">
        <f>I123+J123</f>
        <v>-5397518.7300000004</v>
      </c>
      <c r="L123" s="210" t="s">
        <v>22</v>
      </c>
      <c r="M123" s="67"/>
      <c r="P123" s="51"/>
      <c r="Q123" s="18"/>
      <c r="R123" s="58"/>
      <c r="S123" s="18"/>
    </row>
    <row r="124" spans="1:23" ht="15" x14ac:dyDescent="0.25">
      <c r="B124" s="18"/>
      <c r="C124" s="28"/>
      <c r="D124" s="65"/>
      <c r="E124" s="83">
        <f>SUM(E122:E123)</f>
        <v>-5549675.7300000004</v>
      </c>
      <c r="F124" s="30"/>
      <c r="G124" s="33">
        <f>SUM(G122:G123)</f>
        <v>152157</v>
      </c>
      <c r="H124" s="33">
        <f>SUM(H122:H123)</f>
        <v>0</v>
      </c>
      <c r="I124" s="271">
        <f>SUM(I122:I123)</f>
        <v>-5397518.7300000004</v>
      </c>
      <c r="J124" s="1"/>
      <c r="K124" s="271">
        <f>SUM(K122:K123)</f>
        <v>-5397518.7300000004</v>
      </c>
      <c r="L124" s="281" t="s">
        <v>264</v>
      </c>
      <c r="M124" s="67"/>
      <c r="P124" s="51"/>
      <c r="Q124" s="18"/>
      <c r="R124" s="58"/>
      <c r="S124" s="18"/>
    </row>
    <row r="125" spans="1:23" x14ac:dyDescent="0.2">
      <c r="B125" s="21" t="s">
        <v>227</v>
      </c>
      <c r="C125" s="28"/>
      <c r="E125" s="83"/>
      <c r="F125" s="30"/>
      <c r="G125" s="152"/>
      <c r="H125" s="30"/>
      <c r="I125" s="115"/>
      <c r="J125" s="30"/>
      <c r="K125" s="115"/>
      <c r="M125" s="20"/>
      <c r="N125" s="42"/>
      <c r="O125" s="42"/>
      <c r="R125" s="58"/>
      <c r="S125" s="18"/>
      <c r="T125" s="58"/>
    </row>
    <row r="126" spans="1:23" x14ac:dyDescent="0.2">
      <c r="A126" s="100" t="s">
        <v>163</v>
      </c>
      <c r="B126" s="18"/>
      <c r="C126" s="28" t="s">
        <v>48</v>
      </c>
      <c r="D126" s="4" t="s">
        <v>195</v>
      </c>
      <c r="E126" s="32">
        <f>VLOOKUP(A126,'DEK Dec 2016'!$A$1:$I$251,9,FALSE)</f>
        <v>-436402</v>
      </c>
      <c r="F126" s="30">
        <v>0</v>
      </c>
      <c r="G126" s="33">
        <v>12263</v>
      </c>
      <c r="H126" s="33">
        <v>0</v>
      </c>
      <c r="I126" s="115">
        <f>E126+F126+G126+H126</f>
        <v>-424139</v>
      </c>
      <c r="J126" s="30">
        <v>0</v>
      </c>
      <c r="K126" s="115">
        <f t="shared" ref="K126:K128" si="27">I126+J126</f>
        <v>-424139</v>
      </c>
      <c r="M126" s="62"/>
      <c r="P126" s="51"/>
      <c r="Q126" s="18"/>
      <c r="R126" s="58"/>
      <c r="S126" s="18">
        <v>254998</v>
      </c>
    </row>
    <row r="127" spans="1:23" x14ac:dyDescent="0.2">
      <c r="A127" s="100" t="s">
        <v>179</v>
      </c>
      <c r="B127" s="18"/>
      <c r="C127" s="28" t="s">
        <v>47</v>
      </c>
      <c r="D127" s="4" t="s">
        <v>196</v>
      </c>
      <c r="E127" s="32">
        <f>VLOOKUP(A127,'DEK Dec 2016'!$A$1:$I$251,9,FALSE)</f>
        <v>0</v>
      </c>
      <c r="F127" s="30">
        <v>0</v>
      </c>
      <c r="G127" s="152">
        <v>0</v>
      </c>
      <c r="H127" s="33">
        <v>0</v>
      </c>
      <c r="I127" s="115">
        <f>E127+F127+G127+H127</f>
        <v>0</v>
      </c>
      <c r="J127" s="30">
        <v>0</v>
      </c>
      <c r="K127" s="115">
        <f t="shared" si="27"/>
        <v>0</v>
      </c>
      <c r="M127" s="62"/>
      <c r="P127" s="51"/>
      <c r="Q127" s="18"/>
      <c r="R127" s="58"/>
      <c r="S127" s="18">
        <v>254998</v>
      </c>
      <c r="W127" s="47"/>
    </row>
    <row r="128" spans="1:23" x14ac:dyDescent="0.2">
      <c r="A128" s="100" t="s">
        <v>164</v>
      </c>
      <c r="B128" s="18"/>
      <c r="C128" s="28" t="s">
        <v>75</v>
      </c>
      <c r="D128" s="4" t="s">
        <v>215</v>
      </c>
      <c r="E128" s="32">
        <f>VLOOKUP(A128,'DEK Dec 2016'!$A$1:$I$251,9,FALSE)</f>
        <v>-14682.050000000005</v>
      </c>
      <c r="F128" s="30">
        <v>0</v>
      </c>
      <c r="G128" s="33">
        <v>113.94</v>
      </c>
      <c r="H128" s="33">
        <v>0</v>
      </c>
      <c r="I128" s="117">
        <f>E128+F128+G128+H128</f>
        <v>-14568.110000000004</v>
      </c>
      <c r="J128" s="30">
        <v>0</v>
      </c>
      <c r="K128" s="117">
        <f t="shared" si="27"/>
        <v>-14568.110000000004</v>
      </c>
      <c r="L128" s="230"/>
      <c r="M128" s="62"/>
      <c r="P128" s="51"/>
      <c r="Q128" s="18"/>
      <c r="R128" s="58"/>
      <c r="S128" s="18">
        <v>254210</v>
      </c>
    </row>
    <row r="129" spans="1:22" x14ac:dyDescent="0.2">
      <c r="B129" s="18"/>
      <c r="C129" s="28"/>
      <c r="D129" s="65"/>
      <c r="E129" s="36"/>
      <c r="F129" s="36"/>
      <c r="G129" s="150"/>
      <c r="H129" s="36"/>
      <c r="I129" s="116"/>
      <c r="J129" s="36"/>
      <c r="K129" s="116"/>
      <c r="M129" s="62"/>
      <c r="P129" s="51"/>
      <c r="Q129" s="18"/>
      <c r="R129" s="58"/>
      <c r="S129" s="18"/>
    </row>
    <row r="130" spans="1:22" x14ac:dyDescent="0.2">
      <c r="B130" s="18"/>
      <c r="C130" s="28"/>
      <c r="E130" s="44">
        <f t="shared" ref="E130" si="28">SUM(E126:E129)</f>
        <v>-451084.05</v>
      </c>
      <c r="F130" s="30">
        <f t="shared" ref="F130:K130" si="29">SUM(F126:F129)</f>
        <v>0</v>
      </c>
      <c r="G130" s="30">
        <f t="shared" si="29"/>
        <v>12376.94</v>
      </c>
      <c r="H130" s="30">
        <f t="shared" si="29"/>
        <v>0</v>
      </c>
      <c r="I130" s="270">
        <f t="shared" si="29"/>
        <v>-438707.11</v>
      </c>
      <c r="J130" s="30">
        <f t="shared" si="29"/>
        <v>0</v>
      </c>
      <c r="K130" s="270">
        <f t="shared" si="29"/>
        <v>-438707.11</v>
      </c>
      <c r="L130" s="281" t="s">
        <v>265</v>
      </c>
      <c r="M130" s="20"/>
      <c r="N130" s="42"/>
      <c r="O130" s="42"/>
      <c r="R130" s="58"/>
      <c r="S130" s="18"/>
      <c r="T130" s="58"/>
    </row>
    <row r="131" spans="1:22" x14ac:dyDescent="0.2">
      <c r="B131" s="21" t="s">
        <v>216</v>
      </c>
      <c r="C131" s="28"/>
      <c r="E131" s="33"/>
      <c r="F131" s="30"/>
      <c r="G131" s="152"/>
      <c r="H131" s="152"/>
      <c r="I131" s="115"/>
      <c r="J131" s="30"/>
      <c r="K131" s="115"/>
      <c r="M131" s="20"/>
      <c r="N131" s="42"/>
      <c r="O131" s="42"/>
      <c r="R131" s="58"/>
      <c r="S131" s="18"/>
      <c r="T131" s="58"/>
    </row>
    <row r="132" spans="1:22" x14ac:dyDescent="0.2">
      <c r="A132" s="100" t="s">
        <v>165</v>
      </c>
      <c r="B132" s="18"/>
      <c r="C132" s="28" t="s">
        <v>45</v>
      </c>
      <c r="D132" s="4" t="s">
        <v>197</v>
      </c>
      <c r="E132" s="32">
        <f>VLOOKUP(A132,'DEK Dec 2016'!$A$1:$I$251,9,FALSE)</f>
        <v>-18160657.680000003</v>
      </c>
      <c r="F132" s="30">
        <v>0</v>
      </c>
      <c r="G132" s="30">
        <v>-187229.98</v>
      </c>
      <c r="H132" s="30">
        <v>0</v>
      </c>
      <c r="I132" s="115">
        <f>E132+F132+G132+H132</f>
        <v>-18347887.660000004</v>
      </c>
      <c r="J132" s="30">
        <v>0</v>
      </c>
      <c r="K132" s="115">
        <f t="shared" ref="K132:K138" si="30">I132+J132</f>
        <v>-18347887.660000004</v>
      </c>
      <c r="L132" s="210" t="s">
        <v>241</v>
      </c>
      <c r="M132" s="20"/>
      <c r="N132" s="42"/>
      <c r="O132" s="42"/>
      <c r="Q132" s="283">
        <v>75086</v>
      </c>
      <c r="R132" s="58" t="s">
        <v>44</v>
      </c>
      <c r="S132" s="18">
        <v>108201</v>
      </c>
      <c r="T132" s="58"/>
    </row>
    <row r="133" spans="1:22" x14ac:dyDescent="0.2">
      <c r="A133" s="100" t="s">
        <v>166</v>
      </c>
      <c r="B133" s="18"/>
      <c r="C133" s="28" t="s">
        <v>45</v>
      </c>
      <c r="D133" s="4" t="s">
        <v>198</v>
      </c>
      <c r="E133" s="32">
        <f>VLOOKUP(A133,'DEK Dec 2016'!$A$1:$I$251,9,FALSE)</f>
        <v>-47729988.850000001</v>
      </c>
      <c r="F133" s="30">
        <v>0</v>
      </c>
      <c r="G133" s="30">
        <v>-232368.44</v>
      </c>
      <c r="H133" s="30">
        <v>0</v>
      </c>
      <c r="I133" s="115">
        <f t="shared" ref="I133:I138" si="31">E133+F133+G133+H133</f>
        <v>-47962357.289999999</v>
      </c>
      <c r="J133" s="30">
        <v>0</v>
      </c>
      <c r="K133" s="115">
        <f t="shared" si="30"/>
        <v>-47962357.289999999</v>
      </c>
      <c r="L133" s="210" t="s">
        <v>242</v>
      </c>
      <c r="M133" s="20"/>
      <c r="N133" s="42"/>
      <c r="O133" s="42"/>
      <c r="R133" s="58" t="s">
        <v>44</v>
      </c>
      <c r="S133" s="18">
        <v>108301</v>
      </c>
      <c r="T133" s="58"/>
    </row>
    <row r="134" spans="1:22" x14ac:dyDescent="0.2">
      <c r="A134" s="100" t="s">
        <v>167</v>
      </c>
      <c r="B134" s="18"/>
      <c r="C134" s="28" t="s">
        <v>46</v>
      </c>
      <c r="D134" s="4" t="s">
        <v>199</v>
      </c>
      <c r="E134" s="32">
        <f>VLOOKUP(A134,'DEK Dec 2016'!$A$1:$I$251,9,FALSE)</f>
        <v>13226095.279999997</v>
      </c>
      <c r="F134" s="30">
        <v>0</v>
      </c>
      <c r="G134" s="30">
        <v>216540.34</v>
      </c>
      <c r="H134" s="30">
        <v>0</v>
      </c>
      <c r="I134" s="115">
        <f t="shared" si="31"/>
        <v>13442635.619999997</v>
      </c>
      <c r="J134" s="30">
        <v>0</v>
      </c>
      <c r="K134" s="115">
        <f>I134+J134</f>
        <v>13442635.619999997</v>
      </c>
      <c r="L134" s="210" t="s">
        <v>242</v>
      </c>
      <c r="M134" s="20"/>
      <c r="N134" s="42"/>
      <c r="O134" s="42"/>
      <c r="S134" s="18">
        <v>108410</v>
      </c>
      <c r="T134" s="58"/>
    </row>
    <row r="135" spans="1:22" x14ac:dyDescent="0.2">
      <c r="A135" s="100" t="s">
        <v>168</v>
      </c>
      <c r="B135" s="18"/>
      <c r="C135" s="28" t="s">
        <v>74</v>
      </c>
      <c r="D135" s="4" t="s">
        <v>217</v>
      </c>
      <c r="E135" s="32">
        <f>VLOOKUP(A135,'DEK Dec 2016'!$A$1:$I$251,9,FALSE)</f>
        <v>2362433.86</v>
      </c>
      <c r="F135" s="30">
        <v>0</v>
      </c>
      <c r="G135" s="30">
        <v>64347.17</v>
      </c>
      <c r="H135" s="30">
        <v>0</v>
      </c>
      <c r="I135" s="115">
        <f t="shared" si="31"/>
        <v>2426781.0299999998</v>
      </c>
      <c r="J135" s="30">
        <v>0</v>
      </c>
      <c r="K135" s="115">
        <f>I135+J135</f>
        <v>2426781.0299999998</v>
      </c>
      <c r="M135" s="20"/>
      <c r="N135" s="42"/>
      <c r="O135" s="42"/>
      <c r="Q135" s="4" t="s">
        <v>50</v>
      </c>
      <c r="R135" s="4" t="s">
        <v>51</v>
      </c>
      <c r="S135" s="18">
        <v>182303</v>
      </c>
      <c r="T135" s="58"/>
    </row>
    <row r="136" spans="1:22" x14ac:dyDescent="0.2">
      <c r="A136" s="100" t="s">
        <v>169</v>
      </c>
      <c r="B136" s="18"/>
      <c r="C136" s="28" t="s">
        <v>49</v>
      </c>
      <c r="D136" s="4" t="s">
        <v>218</v>
      </c>
      <c r="E136" s="32">
        <f>VLOOKUP(A136,'DEK Dec 2016'!$A$1:$I$251,9,FALSE)</f>
        <v>4624019.2700000023</v>
      </c>
      <c r="F136" s="30">
        <v>0</v>
      </c>
      <c r="G136" s="30">
        <v>87692.98</v>
      </c>
      <c r="H136" s="30">
        <v>0</v>
      </c>
      <c r="I136" s="115">
        <f t="shared" si="31"/>
        <v>4711712.2500000028</v>
      </c>
      <c r="J136" s="30">
        <v>0</v>
      </c>
      <c r="K136" s="115">
        <f t="shared" si="30"/>
        <v>4711712.2500000028</v>
      </c>
      <c r="M136" s="20"/>
      <c r="N136" s="42"/>
      <c r="O136" s="42"/>
      <c r="Q136" s="4" t="s">
        <v>50</v>
      </c>
      <c r="S136" s="18">
        <v>182304</v>
      </c>
      <c r="T136" s="58"/>
    </row>
    <row r="137" spans="1:22" x14ac:dyDescent="0.2">
      <c r="A137" s="100" t="s">
        <v>170</v>
      </c>
      <c r="B137" s="18"/>
      <c r="C137" s="28" t="s">
        <v>42</v>
      </c>
      <c r="D137" s="4" t="s">
        <v>200</v>
      </c>
      <c r="E137" s="32">
        <f>VLOOKUP(A137,'DEK Dec 2016'!$A$1:$I$251,9,FALSE)</f>
        <v>-220936.41000000003</v>
      </c>
      <c r="F137" s="30">
        <v>0</v>
      </c>
      <c r="G137" s="30">
        <v>-18338.28</v>
      </c>
      <c r="H137" s="30">
        <v>0</v>
      </c>
      <c r="I137" s="115">
        <f t="shared" si="31"/>
        <v>-239274.69000000003</v>
      </c>
      <c r="J137" s="30">
        <v>0</v>
      </c>
      <c r="K137" s="115">
        <f t="shared" si="30"/>
        <v>-239274.69000000003</v>
      </c>
      <c r="L137" s="210" t="s">
        <v>241</v>
      </c>
      <c r="M137" s="20"/>
      <c r="N137" s="42"/>
      <c r="O137" s="42"/>
      <c r="R137" s="58" t="s">
        <v>44</v>
      </c>
      <c r="S137" s="18">
        <v>108101</v>
      </c>
      <c r="T137" s="58"/>
    </row>
    <row r="138" spans="1:22" x14ac:dyDescent="0.2">
      <c r="A138" s="100" t="s">
        <v>272</v>
      </c>
      <c r="B138" s="18"/>
      <c r="C138" s="28" t="s">
        <v>271</v>
      </c>
      <c r="D138" s="4" t="s">
        <v>272</v>
      </c>
      <c r="E138" s="32">
        <f>VLOOKUP(A138,'DEK Dec 2016'!$A$1:$I$251,9,FALSE)</f>
        <v>21438.01</v>
      </c>
      <c r="F138" s="30">
        <v>0</v>
      </c>
      <c r="G138" s="30">
        <v>-21438.01</v>
      </c>
      <c r="H138" s="30">
        <v>0</v>
      </c>
      <c r="I138" s="115">
        <f t="shared" si="31"/>
        <v>0</v>
      </c>
      <c r="J138" s="30">
        <v>0</v>
      </c>
      <c r="K138" s="115">
        <f t="shared" si="30"/>
        <v>0</v>
      </c>
      <c r="L138" s="210" t="s">
        <v>241</v>
      </c>
      <c r="M138" s="20"/>
      <c r="N138" s="42"/>
      <c r="O138" s="42"/>
      <c r="R138" s="58" t="s">
        <v>44</v>
      </c>
      <c r="S138" s="18">
        <v>108101</v>
      </c>
      <c r="T138" s="58"/>
    </row>
    <row r="139" spans="1:22" x14ac:dyDescent="0.2">
      <c r="B139" s="18"/>
      <c r="C139" s="28"/>
      <c r="E139" s="36"/>
      <c r="F139" s="36"/>
      <c r="G139" s="150"/>
      <c r="H139" s="150"/>
      <c r="I139" s="127"/>
      <c r="J139" s="68"/>
      <c r="K139" s="127"/>
      <c r="M139" s="62"/>
      <c r="P139" s="51"/>
      <c r="Q139" s="18"/>
      <c r="R139" s="58"/>
      <c r="S139" s="18">
        <v>254401</v>
      </c>
    </row>
    <row r="140" spans="1:22" x14ac:dyDescent="0.2">
      <c r="B140" s="18"/>
      <c r="C140" s="28"/>
      <c r="E140" s="44">
        <f t="shared" ref="E140:K140" si="32">SUM(E132:E139)</f>
        <v>-45877596.519999996</v>
      </c>
      <c r="F140" s="33">
        <f t="shared" si="32"/>
        <v>0</v>
      </c>
      <c r="G140" s="33">
        <f t="shared" si="32"/>
        <v>-90794.22000000003</v>
      </c>
      <c r="H140" s="33">
        <f t="shared" si="32"/>
        <v>0</v>
      </c>
      <c r="I140" s="269">
        <f t="shared" si="32"/>
        <v>-45968390.740000002</v>
      </c>
      <c r="J140" s="33">
        <f t="shared" si="32"/>
        <v>0</v>
      </c>
      <c r="K140" s="269">
        <f t="shared" si="32"/>
        <v>-45968390.740000002</v>
      </c>
      <c r="L140" s="281" t="s">
        <v>266</v>
      </c>
      <c r="M140" s="62"/>
      <c r="P140" s="51"/>
      <c r="Q140" s="18"/>
      <c r="R140" s="58"/>
      <c r="S140" s="18"/>
    </row>
    <row r="141" spans="1:22" ht="15" x14ac:dyDescent="0.25">
      <c r="B141" s="18"/>
      <c r="C141" s="28"/>
      <c r="D141" s="65"/>
      <c r="E141" s="33"/>
      <c r="F141" s="30"/>
      <c r="G141" s="144"/>
      <c r="H141" s="33"/>
      <c r="I141" s="126"/>
      <c r="J141" s="1"/>
      <c r="K141" s="126"/>
      <c r="L141" s="66"/>
      <c r="M141" s="67"/>
      <c r="P141" s="51"/>
      <c r="Q141" s="18"/>
      <c r="R141" s="58"/>
      <c r="S141" s="18"/>
    </row>
    <row r="142" spans="1:22" x14ac:dyDescent="0.2">
      <c r="A142" s="105" t="s">
        <v>55</v>
      </c>
      <c r="B142" s="18"/>
      <c r="C142" s="131" t="s">
        <v>55</v>
      </c>
      <c r="D142" s="132"/>
      <c r="E142" s="133">
        <f>+E114+E124+E130+E140+E119</f>
        <v>-64051648.579999998</v>
      </c>
      <c r="F142" s="133">
        <f t="shared" ref="F142" si="33">+F114+F122+F130+F140+F119</f>
        <v>0</v>
      </c>
      <c r="G142" s="133">
        <f>+G114+G124+G130+G140+G119</f>
        <v>5361833.3900000006</v>
      </c>
      <c r="H142" s="133">
        <f>+H114+H124+H130+H140+H119</f>
        <v>-1423518.92</v>
      </c>
      <c r="I142" s="134">
        <f>+I114+I124+I130+I140+I119</f>
        <v>-60113334.109999999</v>
      </c>
      <c r="J142" s="133">
        <f>+J114+J122+J130+J140+J119</f>
        <v>0</v>
      </c>
      <c r="K142" s="134">
        <f>+K114+K124+K130+K140+K119</f>
        <v>-60113334.109999999</v>
      </c>
      <c r="M142" s="20"/>
      <c r="N142" s="69"/>
      <c r="R142" s="58"/>
      <c r="S142" s="18"/>
    </row>
    <row r="143" spans="1:22" x14ac:dyDescent="0.2">
      <c r="A143" s="105"/>
      <c r="B143" s="18"/>
      <c r="C143" s="18"/>
      <c r="D143" s="12"/>
      <c r="E143" s="221"/>
      <c r="F143" s="50"/>
      <c r="G143" s="145"/>
      <c r="H143" s="50"/>
      <c r="I143" s="122"/>
      <c r="J143" s="50"/>
      <c r="K143" s="122"/>
      <c r="M143" s="45"/>
      <c r="S143" s="18"/>
    </row>
    <row r="144" spans="1:22" x14ac:dyDescent="0.2">
      <c r="A144" s="105" t="s">
        <v>56</v>
      </c>
      <c r="B144" s="18"/>
      <c r="C144" s="18"/>
      <c r="D144" s="136" t="s">
        <v>219</v>
      </c>
      <c r="E144" s="137">
        <f>E142+E104</f>
        <v>36033227.549999997</v>
      </c>
      <c r="F144" s="137">
        <f>F142+F104</f>
        <v>0</v>
      </c>
      <c r="G144" s="137">
        <f>G142+G104</f>
        <v>4582460.4700000016</v>
      </c>
      <c r="H144" s="137">
        <f>H142+H104</f>
        <v>-1490137.43</v>
      </c>
      <c r="I144" s="138">
        <f>I104+I142</f>
        <v>39125550.590000004</v>
      </c>
      <c r="J144" s="137">
        <f>J142+J104</f>
        <v>0</v>
      </c>
      <c r="K144" s="138">
        <f>K104+K142</f>
        <v>39125550.590000018</v>
      </c>
      <c r="L144" s="50">
        <v>0</v>
      </c>
      <c r="M144" s="70"/>
      <c r="N144" s="70"/>
      <c r="O144" s="70"/>
      <c r="P144" s="50"/>
      <c r="Q144" s="50"/>
      <c r="R144" s="50"/>
      <c r="S144" s="18"/>
      <c r="T144" s="29">
        <f>+G144+H144+F144</f>
        <v>3092323.0400000019</v>
      </c>
      <c r="U144" s="19">
        <v>13111056.41</v>
      </c>
      <c r="V144" s="29">
        <f>+T144-U144</f>
        <v>-10018733.369999997</v>
      </c>
    </row>
    <row r="145" spans="1:19" hidden="1" x14ac:dyDescent="0.2">
      <c r="A145" s="105"/>
      <c r="B145" s="18"/>
      <c r="C145" s="18"/>
      <c r="D145" s="12"/>
      <c r="E145" s="221"/>
      <c r="F145" s="50"/>
      <c r="G145" s="145"/>
      <c r="H145" s="50"/>
      <c r="I145" s="50"/>
      <c r="J145" s="50"/>
      <c r="K145" s="50"/>
      <c r="M145" s="45"/>
      <c r="S145" s="18"/>
    </row>
    <row r="146" spans="1:19" s="75" customFormat="1" ht="12.75" hidden="1" customHeight="1" x14ac:dyDescent="0.2">
      <c r="A146" s="107" t="s">
        <v>57</v>
      </c>
      <c r="B146" s="71"/>
      <c r="C146" s="18"/>
      <c r="D146" s="140" t="s">
        <v>57</v>
      </c>
      <c r="E146" s="223"/>
      <c r="F146" s="142"/>
      <c r="G146" s="163" t="e">
        <f>-G137-G132-G133-G134-G135-G136-#REF!-G16-G126-G30-G22-G53-G128-G94-G96-G122-G127-G52</f>
        <v>#REF!</v>
      </c>
      <c r="H146" s="139" t="e">
        <f>-H137-H132-H133-H134-H135-H136-#REF!-H16-H126-H30-H22-H53-H128-H94-H96-H122-H127-H52</f>
        <v>#REF!</v>
      </c>
      <c r="I146" s="74"/>
      <c r="J146" s="74"/>
      <c r="K146" s="74"/>
      <c r="M146" s="76"/>
      <c r="N146" s="77"/>
      <c r="O146" s="77"/>
      <c r="S146" s="18"/>
    </row>
    <row r="147" spans="1:19" ht="12.75" customHeight="1" x14ac:dyDescent="0.2">
      <c r="A147" s="107"/>
      <c r="B147" s="18"/>
      <c r="C147" s="18"/>
      <c r="D147" s="72"/>
      <c r="E147" s="224"/>
      <c r="F147" s="50"/>
      <c r="G147" s="185">
        <f>G144+H144</f>
        <v>3092323.0400000019</v>
      </c>
      <c r="H147" s="145"/>
      <c r="I147" s="145"/>
      <c r="J147" s="50"/>
      <c r="K147" s="50"/>
      <c r="M147" s="20"/>
      <c r="S147" s="18"/>
    </row>
    <row r="148" spans="1:19" ht="12.75" customHeight="1" x14ac:dyDescent="0.2">
      <c r="A148" s="107" t="s">
        <v>58</v>
      </c>
      <c r="B148" s="18"/>
      <c r="C148" s="71"/>
      <c r="D148" s="72"/>
      <c r="E148" s="73"/>
      <c r="F148" s="50"/>
      <c r="G148" s="145"/>
      <c r="H148" s="50"/>
      <c r="I148" s="50"/>
      <c r="J148" s="50"/>
      <c r="K148" s="30"/>
      <c r="M148" s="20"/>
      <c r="S148" s="71"/>
    </row>
    <row r="149" spans="1:19" ht="12.75" customHeight="1" x14ac:dyDescent="0.2">
      <c r="A149" s="107"/>
      <c r="B149" s="18"/>
      <c r="C149" s="18"/>
      <c r="D149" s="72"/>
      <c r="E149" s="83"/>
      <c r="F149" s="50"/>
      <c r="G149" s="30"/>
      <c r="H149" s="50"/>
      <c r="I149" s="50"/>
      <c r="J149" s="50"/>
      <c r="K149" s="33"/>
      <c r="M149" s="20"/>
      <c r="S149" s="18"/>
    </row>
    <row r="150" spans="1:19" ht="12.75" customHeight="1" x14ac:dyDescent="0.2">
      <c r="A150" s="107"/>
      <c r="B150" s="18"/>
      <c r="C150" s="18"/>
      <c r="D150" s="72"/>
      <c r="E150" s="83"/>
      <c r="F150" s="50"/>
      <c r="G150" s="30"/>
      <c r="H150" s="50"/>
      <c r="I150" s="50"/>
      <c r="J150" s="50"/>
      <c r="K150" s="33"/>
      <c r="M150" s="20"/>
      <c r="S150" s="18"/>
    </row>
    <row r="151" spans="1:19" ht="12.75" customHeight="1" x14ac:dyDescent="0.2">
      <c r="A151" s="107"/>
      <c r="B151" s="18"/>
      <c r="C151" s="18"/>
      <c r="D151" s="72"/>
      <c r="E151" s="236"/>
      <c r="F151" s="50"/>
      <c r="G151" s="44"/>
      <c r="H151" s="50"/>
      <c r="I151" s="50"/>
      <c r="J151" s="50"/>
      <c r="K151" s="161"/>
      <c r="M151" s="20"/>
      <c r="S151" s="18"/>
    </row>
    <row r="152" spans="1:19" ht="12.75" customHeight="1" x14ac:dyDescent="0.2">
      <c r="A152" s="107"/>
      <c r="B152" s="18"/>
      <c r="C152" s="18"/>
      <c r="D152" s="72"/>
      <c r="E152" s="224"/>
      <c r="F152" s="50"/>
      <c r="G152" s="145"/>
      <c r="H152" s="50"/>
      <c r="I152" s="50"/>
      <c r="J152" s="50"/>
      <c r="K152" s="44"/>
      <c r="M152" s="20"/>
      <c r="S152" s="18"/>
    </row>
    <row r="153" spans="1:19" ht="12.75" customHeight="1" x14ac:dyDescent="0.2">
      <c r="A153" s="107"/>
      <c r="B153" s="18"/>
      <c r="C153" s="18"/>
      <c r="D153" s="264"/>
      <c r="E153" s="73"/>
      <c r="F153" s="50"/>
      <c r="G153" s="145"/>
      <c r="H153" s="50"/>
      <c r="I153" s="50"/>
      <c r="J153" s="50"/>
      <c r="K153" s="44"/>
      <c r="M153" s="20"/>
      <c r="S153" s="18"/>
    </row>
    <row r="154" spans="1:19" ht="12.75" customHeight="1" x14ac:dyDescent="0.2">
      <c r="A154" s="107"/>
      <c r="B154" s="18"/>
      <c r="C154" s="18"/>
      <c r="D154" s="264"/>
      <c r="E154" s="73"/>
      <c r="F154" s="50"/>
      <c r="G154" s="145"/>
      <c r="H154" s="50"/>
      <c r="I154" s="50"/>
      <c r="J154" s="50"/>
      <c r="K154" s="44"/>
      <c r="M154" s="20"/>
      <c r="S154" s="18"/>
    </row>
    <row r="155" spans="1:19" ht="12.75" customHeight="1" x14ac:dyDescent="0.2">
      <c r="A155" s="107"/>
      <c r="B155" s="18"/>
      <c r="C155" s="18"/>
      <c r="D155" s="264"/>
      <c r="E155" s="73"/>
      <c r="F155" s="50"/>
      <c r="G155" s="145"/>
      <c r="H155" s="50"/>
      <c r="I155" s="50"/>
      <c r="J155" s="50"/>
      <c r="K155" s="50"/>
      <c r="M155" s="20"/>
      <c r="S155" s="18"/>
    </row>
    <row r="156" spans="1:19" ht="12.75" customHeight="1" x14ac:dyDescent="0.2">
      <c r="A156" s="107"/>
      <c r="B156" s="18"/>
      <c r="C156" s="18"/>
      <c r="D156" s="264"/>
      <c r="E156" s="73"/>
      <c r="F156" s="50"/>
      <c r="G156" s="145"/>
      <c r="H156" s="50"/>
      <c r="I156" s="50"/>
      <c r="J156" s="50"/>
      <c r="K156" s="50"/>
      <c r="M156" s="20"/>
      <c r="S156" s="18"/>
    </row>
    <row r="157" spans="1:19" ht="12.75" customHeight="1" x14ac:dyDescent="0.2">
      <c r="A157" s="107"/>
      <c r="B157" s="18"/>
      <c r="C157" s="18"/>
      <c r="D157" s="264"/>
      <c r="E157" s="73"/>
      <c r="F157" s="50"/>
      <c r="G157" s="145"/>
      <c r="H157" s="50"/>
      <c r="I157" s="50"/>
      <c r="J157" s="50"/>
      <c r="K157" s="50"/>
      <c r="M157" s="20"/>
      <c r="S157" s="18"/>
    </row>
    <row r="158" spans="1:19" ht="12.75" customHeight="1" x14ac:dyDescent="0.2">
      <c r="A158" s="107"/>
      <c r="B158" s="18"/>
      <c r="C158" s="18"/>
      <c r="D158" s="264"/>
      <c r="E158" s="73"/>
      <c r="F158" s="50"/>
      <c r="G158" s="145"/>
      <c r="H158" s="50"/>
      <c r="I158" s="50"/>
      <c r="J158" s="50"/>
      <c r="K158" s="50"/>
      <c r="M158" s="20"/>
      <c r="S158" s="18"/>
    </row>
    <row r="159" spans="1:19" ht="12.75" customHeight="1" x14ac:dyDescent="0.2">
      <c r="A159" s="107"/>
      <c r="B159" s="18"/>
      <c r="C159" s="18"/>
      <c r="D159" s="264"/>
      <c r="E159" s="73"/>
      <c r="F159" s="50"/>
      <c r="G159" s="145"/>
      <c r="H159" s="50"/>
      <c r="I159" s="50"/>
      <c r="J159" s="50"/>
      <c r="K159" s="50"/>
      <c r="M159" s="20"/>
      <c r="S159" s="18"/>
    </row>
    <row r="160" spans="1:19" ht="12.75" customHeight="1" x14ac:dyDescent="0.2">
      <c r="A160" s="107"/>
      <c r="B160" s="18"/>
      <c r="C160" s="18"/>
      <c r="D160" s="265"/>
      <c r="E160" s="73"/>
      <c r="F160" s="50"/>
      <c r="G160" s="145"/>
      <c r="H160" s="50"/>
      <c r="I160" s="50"/>
      <c r="J160" s="50"/>
      <c r="K160" s="50"/>
      <c r="M160" s="20"/>
      <c r="S160" s="18"/>
    </row>
    <row r="161" spans="1:19" ht="12.75" customHeight="1" x14ac:dyDescent="0.2">
      <c r="A161" s="107"/>
      <c r="B161" s="18"/>
      <c r="C161" s="18"/>
      <c r="D161" s="72"/>
      <c r="E161" s="73"/>
      <c r="F161" s="50"/>
      <c r="G161" s="145"/>
      <c r="H161" s="50"/>
      <c r="I161" s="50"/>
      <c r="J161" s="50"/>
      <c r="K161" s="50"/>
      <c r="M161" s="20"/>
      <c r="S161" s="18"/>
    </row>
    <row r="162" spans="1:19" ht="12.75" customHeight="1" x14ac:dyDescent="0.2">
      <c r="A162" s="107"/>
      <c r="B162" s="18"/>
      <c r="C162" s="18"/>
      <c r="D162" s="72"/>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hidden="1" customHeight="1" x14ac:dyDescent="0.2">
      <c r="A168" s="107" t="s">
        <v>59</v>
      </c>
      <c r="B168" s="18"/>
      <c r="C168" s="18"/>
      <c r="D168" s="72" t="s">
        <v>59</v>
      </c>
      <c r="E168" s="73"/>
      <c r="F168" s="50"/>
      <c r="G168" s="145" t="e">
        <f>+G144+H144+G146+H146</f>
        <v>#REF!</v>
      </c>
      <c r="H168" s="50"/>
      <c r="I168" s="50"/>
      <c r="J168" s="50"/>
      <c r="K168" s="50"/>
      <c r="M168" s="20"/>
      <c r="S168" s="18"/>
    </row>
    <row r="169" spans="1:19" hidden="1" x14ac:dyDescent="0.2">
      <c r="B169" s="18"/>
      <c r="C169" s="18"/>
      <c r="E169" s="29"/>
      <c r="F169" s="19"/>
      <c r="G169" s="148"/>
      <c r="H169" s="19"/>
      <c r="I169" s="19"/>
      <c r="J169" s="19"/>
      <c r="K169" s="19"/>
      <c r="M169" s="20"/>
      <c r="S169" s="18"/>
    </row>
    <row r="170" spans="1:19" hidden="1" x14ac:dyDescent="0.2">
      <c r="A170" s="109" t="s">
        <v>60</v>
      </c>
      <c r="B170" s="18"/>
      <c r="C170" s="18"/>
      <c r="D170" s="78" t="s">
        <v>60</v>
      </c>
      <c r="E170" s="79"/>
      <c r="F170" s="80"/>
      <c r="G170" s="164"/>
      <c r="H170" s="80"/>
      <c r="I170" s="81"/>
      <c r="J170" s="81"/>
      <c r="K170" s="81"/>
      <c r="M170" s="20"/>
      <c r="S170" s="18"/>
    </row>
    <row r="171" spans="1:19" hidden="1" x14ac:dyDescent="0.2">
      <c r="A171" s="109" t="s">
        <v>138</v>
      </c>
      <c r="B171" s="18"/>
      <c r="C171" s="18"/>
      <c r="D171" s="82" t="s">
        <v>138</v>
      </c>
      <c r="E171" s="32">
        <v>0</v>
      </c>
      <c r="F171" s="32">
        <f>+F100+F101</f>
        <v>0</v>
      </c>
      <c r="G171" s="157"/>
      <c r="H171" s="32">
        <f>+H100+H101</f>
        <v>0</v>
      </c>
      <c r="I171" s="84">
        <f>+I100+I101</f>
        <v>0</v>
      </c>
      <c r="J171" s="84">
        <f>+J100+J101</f>
        <v>0</v>
      </c>
      <c r="K171" s="84">
        <f>+K100+K101</f>
        <v>0</v>
      </c>
      <c r="M171" s="20"/>
      <c r="S171" s="18"/>
    </row>
    <row r="172" spans="1:19" hidden="1" x14ac:dyDescent="0.2">
      <c r="A172" s="109" t="s">
        <v>140</v>
      </c>
      <c r="B172" s="18"/>
      <c r="C172" s="18"/>
      <c r="D172" s="82" t="s">
        <v>140</v>
      </c>
      <c r="E172" s="83">
        <f>+E12</f>
        <v>3937387.4499999993</v>
      </c>
      <c r="F172" s="32">
        <f>+F101+F102</f>
        <v>0</v>
      </c>
      <c r="G172" s="165"/>
      <c r="H172" s="83"/>
      <c r="I172" s="84">
        <f>+I12</f>
        <v>-1.1641532182693481E-9</v>
      </c>
      <c r="J172" s="84">
        <f>+J12</f>
        <v>0</v>
      </c>
      <c r="K172" s="84">
        <f>+K12</f>
        <v>-1.1641532182693481E-9</v>
      </c>
      <c r="M172" s="20"/>
      <c r="S172" s="18"/>
    </row>
    <row r="173" spans="1:19" hidden="1" x14ac:dyDescent="0.2">
      <c r="A173" s="109" t="s">
        <v>142</v>
      </c>
      <c r="B173" s="18"/>
      <c r="C173" s="18"/>
      <c r="D173" s="82" t="s">
        <v>142</v>
      </c>
      <c r="E173" s="83">
        <f>+E19</f>
        <v>1758661.81</v>
      </c>
      <c r="F173" s="32">
        <f t="shared" ref="F173:F178" si="34">+F102+F103</f>
        <v>0</v>
      </c>
      <c r="G173" s="165"/>
      <c r="H173" s="83"/>
      <c r="I173" s="84">
        <f>+I19</f>
        <v>1996956.81</v>
      </c>
      <c r="J173" s="84">
        <f>+J19</f>
        <v>1198291.6399999999</v>
      </c>
      <c r="K173" s="84">
        <f>+K19</f>
        <v>3195248.45</v>
      </c>
      <c r="M173" s="20"/>
      <c r="S173" s="18"/>
    </row>
    <row r="174" spans="1:19" hidden="1" x14ac:dyDescent="0.2">
      <c r="A174" s="109" t="s">
        <v>141</v>
      </c>
      <c r="B174" s="18"/>
      <c r="C174" s="18"/>
      <c r="D174" s="82" t="s">
        <v>141</v>
      </c>
      <c r="E174" s="83">
        <f>+E24</f>
        <v>1454905.8000000012</v>
      </c>
      <c r="F174" s="32">
        <f t="shared" si="34"/>
        <v>0</v>
      </c>
      <c r="G174" s="165"/>
      <c r="H174" s="83"/>
      <c r="I174" s="84">
        <f>+I24</f>
        <v>1388287.2900000012</v>
      </c>
      <c r="J174" s="84">
        <f>+J24</f>
        <v>-266474.03999999998</v>
      </c>
      <c r="K174" s="84">
        <f>+K24</f>
        <v>1121813.2500000012</v>
      </c>
      <c r="M174" s="20"/>
      <c r="S174" s="18"/>
    </row>
    <row r="175" spans="1:19" hidden="1" x14ac:dyDescent="0.2">
      <c r="A175" s="109" t="s">
        <v>61</v>
      </c>
      <c r="B175" s="18"/>
      <c r="C175" s="18"/>
      <c r="D175" s="82" t="s">
        <v>61</v>
      </c>
      <c r="E175" s="32">
        <f>+E30</f>
        <v>2178393.2000000002</v>
      </c>
      <c r="F175" s="32">
        <f t="shared" si="34"/>
        <v>0</v>
      </c>
      <c r="G175" s="157"/>
      <c r="H175" s="32"/>
      <c r="I175" s="84">
        <f>+I30</f>
        <v>2231675.2000000002</v>
      </c>
      <c r="J175" s="84">
        <f>+J30</f>
        <v>0</v>
      </c>
      <c r="K175" s="84">
        <f>+K30</f>
        <v>2231675.2000000002</v>
      </c>
      <c r="M175" s="20"/>
      <c r="S175" s="18"/>
    </row>
    <row r="176" spans="1:19" hidden="1" x14ac:dyDescent="0.2">
      <c r="A176" s="109" t="s">
        <v>143</v>
      </c>
      <c r="B176" s="18"/>
      <c r="C176" s="18"/>
      <c r="D176" s="82" t="s">
        <v>143</v>
      </c>
      <c r="E176" s="32">
        <f>+E84</f>
        <v>55499154.210000001</v>
      </c>
      <c r="F176" s="32">
        <f t="shared" si="34"/>
        <v>0</v>
      </c>
      <c r="G176" s="157"/>
      <c r="H176" s="32"/>
      <c r="I176" s="84">
        <f>+I84</f>
        <v>59604994.859999999</v>
      </c>
      <c r="J176" s="84">
        <f>+J84</f>
        <v>-931817.6</v>
      </c>
      <c r="K176" s="84">
        <f>+K84</f>
        <v>58673177.260000005</v>
      </c>
      <c r="M176" s="20"/>
      <c r="S176" s="18"/>
    </row>
    <row r="177" spans="1:19" hidden="1" x14ac:dyDescent="0.2">
      <c r="A177" s="109" t="s">
        <v>151</v>
      </c>
      <c r="B177" s="18"/>
      <c r="C177" s="18"/>
      <c r="D177" s="82" t="s">
        <v>151</v>
      </c>
      <c r="E177" s="32">
        <f>+E98</f>
        <v>31619761.039999999</v>
      </c>
      <c r="F177" s="32">
        <f t="shared" si="34"/>
        <v>0</v>
      </c>
      <c r="G177" s="157"/>
      <c r="H177" s="32"/>
      <c r="I177" s="84">
        <f>+I98</f>
        <v>31094134.040000003</v>
      </c>
      <c r="J177" s="84">
        <f>+J98</f>
        <v>0</v>
      </c>
      <c r="K177" s="84">
        <f>+K98</f>
        <v>31094134.040000003</v>
      </c>
      <c r="M177" s="20"/>
      <c r="S177" s="18"/>
    </row>
    <row r="178" spans="1:19" hidden="1" x14ac:dyDescent="0.2">
      <c r="A178" s="109" t="s">
        <v>62</v>
      </c>
      <c r="B178" s="18"/>
      <c r="C178" s="18"/>
      <c r="D178" s="82" t="s">
        <v>62</v>
      </c>
      <c r="E178" s="32">
        <v>0</v>
      </c>
      <c r="F178" s="32">
        <f t="shared" si="34"/>
        <v>0</v>
      </c>
      <c r="G178" s="157"/>
      <c r="H178" s="32"/>
      <c r="I178" s="84">
        <v>0</v>
      </c>
      <c r="J178" s="84">
        <v>0</v>
      </c>
      <c r="K178" s="84">
        <v>0</v>
      </c>
      <c r="M178" s="20"/>
      <c r="S178" s="18"/>
    </row>
    <row r="179" spans="1:19" hidden="1" x14ac:dyDescent="0.2">
      <c r="A179" s="109" t="s">
        <v>152</v>
      </c>
      <c r="B179" s="18"/>
      <c r="C179" s="18"/>
      <c r="D179" s="82" t="s">
        <v>152</v>
      </c>
      <c r="E179" s="32">
        <f>+E114</f>
        <v>-12173292.280000001</v>
      </c>
      <c r="F179" s="32" t="e">
        <f>+F108+#REF!</f>
        <v>#REF!</v>
      </c>
      <c r="G179" s="157"/>
      <c r="H179" s="32"/>
      <c r="I179" s="84">
        <f>+I114</f>
        <v>-8308717.5299999993</v>
      </c>
      <c r="J179" s="84">
        <f>+J114</f>
        <v>0</v>
      </c>
      <c r="K179" s="84">
        <f>+K114</f>
        <v>-8308717.5299999993</v>
      </c>
      <c r="M179" s="20"/>
      <c r="S179" s="18"/>
    </row>
    <row r="180" spans="1:19" hidden="1" x14ac:dyDescent="0.2">
      <c r="A180" s="109"/>
      <c r="B180" s="18"/>
      <c r="C180" s="18"/>
      <c r="D180" s="82" t="s">
        <v>189</v>
      </c>
      <c r="E180" s="32">
        <f>E119</f>
        <v>0</v>
      </c>
      <c r="F180" s="32"/>
      <c r="G180" s="157"/>
      <c r="H180" s="32"/>
      <c r="I180" s="84">
        <f>I119</f>
        <v>0</v>
      </c>
      <c r="J180" s="84">
        <f>J119</f>
        <v>0</v>
      </c>
      <c r="K180" s="84">
        <f>K119</f>
        <v>0</v>
      </c>
      <c r="M180" s="20"/>
      <c r="S180" s="18"/>
    </row>
    <row r="181" spans="1:19" hidden="1" x14ac:dyDescent="0.2">
      <c r="A181" s="109" t="s">
        <v>154</v>
      </c>
      <c r="B181" s="18"/>
      <c r="C181" s="18"/>
      <c r="D181" s="82" t="s">
        <v>154</v>
      </c>
      <c r="E181" s="32">
        <f>+E122</f>
        <v>0</v>
      </c>
      <c r="F181" s="32" t="e">
        <f>+#REF!+#REF!</f>
        <v>#REF!</v>
      </c>
      <c r="G181" s="157"/>
      <c r="H181" s="32"/>
      <c r="I181" s="84">
        <f>+I122</f>
        <v>0</v>
      </c>
      <c r="J181" s="84">
        <f>+J122</f>
        <v>0</v>
      </c>
      <c r="K181" s="84">
        <f>+K122</f>
        <v>0</v>
      </c>
      <c r="M181" s="20"/>
      <c r="S181" s="18"/>
    </row>
    <row r="182" spans="1:19" hidden="1" x14ac:dyDescent="0.2">
      <c r="A182" s="109" t="s">
        <v>153</v>
      </c>
      <c r="B182" s="18"/>
      <c r="C182" s="18"/>
      <c r="D182" s="82" t="s">
        <v>153</v>
      </c>
      <c r="E182" s="32">
        <f>+E130</f>
        <v>-451084.05</v>
      </c>
      <c r="F182" s="32" t="e">
        <f>+#REF!+F109</f>
        <v>#REF!</v>
      </c>
      <c r="G182" s="157"/>
      <c r="H182" s="32"/>
      <c r="I182" s="84">
        <f>+I130</f>
        <v>-438707.11</v>
      </c>
      <c r="J182" s="84">
        <f>+J130</f>
        <v>0</v>
      </c>
      <c r="K182" s="84">
        <f>+K130</f>
        <v>-438707.11</v>
      </c>
      <c r="M182" s="20"/>
      <c r="S182" s="18"/>
    </row>
    <row r="183" spans="1:19" hidden="1" x14ac:dyDescent="0.2">
      <c r="A183" s="109" t="s">
        <v>155</v>
      </c>
      <c r="B183" s="18"/>
      <c r="C183" s="18"/>
      <c r="D183" s="82" t="s">
        <v>155</v>
      </c>
      <c r="E183" s="32">
        <f>+E140</f>
        <v>-45877596.519999996</v>
      </c>
      <c r="F183" s="32">
        <f t="shared" ref="F183" si="35">+F109+F110</f>
        <v>0</v>
      </c>
      <c r="G183" s="157"/>
      <c r="H183" s="32"/>
      <c r="I183" s="84">
        <f>+I140</f>
        <v>-45968390.740000002</v>
      </c>
      <c r="J183" s="84">
        <f>+J140</f>
        <v>0</v>
      </c>
      <c r="K183" s="84">
        <f>+K140</f>
        <v>-45968390.740000002</v>
      </c>
      <c r="M183" s="20"/>
      <c r="S183" s="18"/>
    </row>
    <row r="184" spans="1:19" hidden="1" x14ac:dyDescent="0.2">
      <c r="A184" s="109"/>
      <c r="B184" s="18"/>
      <c r="C184" s="18"/>
      <c r="D184" s="85"/>
      <c r="E184" s="83"/>
      <c r="F184" s="83"/>
      <c r="G184" s="165"/>
      <c r="H184" s="83"/>
      <c r="I184" s="86"/>
      <c r="J184" s="86"/>
      <c r="K184" s="86"/>
      <c r="M184" s="20"/>
      <c r="S184" s="18"/>
    </row>
    <row r="185" spans="1:19" hidden="1" x14ac:dyDescent="0.2">
      <c r="A185" s="109" t="s">
        <v>121</v>
      </c>
      <c r="B185" s="18"/>
      <c r="C185" s="18"/>
      <c r="D185" s="87" t="s">
        <v>121</v>
      </c>
      <c r="E185" s="88">
        <f>SUM(E171:E184)</f>
        <v>37946290.659999996</v>
      </c>
      <c r="F185" s="88" t="e">
        <f>SUM(F175:F184)</f>
        <v>#REF!</v>
      </c>
      <c r="G185" s="166"/>
      <c r="H185" s="88"/>
      <c r="I185" s="89">
        <f>SUM(I171:I184)</f>
        <v>41600232.82</v>
      </c>
      <c r="J185" s="89">
        <f>SUM(J171:J184)</f>
        <v>-1.1641532182693481E-10</v>
      </c>
      <c r="K185" s="89">
        <f>SUM(K171:K184)</f>
        <v>41600232.82</v>
      </c>
      <c r="M185" s="20"/>
      <c r="S185" s="18"/>
    </row>
    <row r="186" spans="1:19" hidden="1" x14ac:dyDescent="0.2">
      <c r="B186" s="18"/>
      <c r="C186" s="18"/>
      <c r="F186" s="19"/>
      <c r="G186" s="148"/>
      <c r="H186" s="19"/>
      <c r="I186" s="19"/>
      <c r="J186" s="19"/>
      <c r="K186" s="19"/>
      <c r="M186" s="20"/>
      <c r="S186" s="18"/>
    </row>
    <row r="187" spans="1:19" hidden="1" x14ac:dyDescent="0.2">
      <c r="B187" s="18"/>
      <c r="C187" s="18"/>
      <c r="E187" s="19">
        <f>+E185-E144</f>
        <v>1913063.1099999994</v>
      </c>
      <c r="F187" s="19"/>
      <c r="G187" s="148"/>
      <c r="H187" s="19"/>
      <c r="I187" s="19">
        <f>+I185-I144</f>
        <v>2474682.2299999967</v>
      </c>
      <c r="J187" s="19">
        <f>+J185-J144</f>
        <v>-1.1641532182693481E-10</v>
      </c>
      <c r="K187" s="19">
        <f>+K185-K144</f>
        <v>2474682.2299999818</v>
      </c>
      <c r="M187" s="20"/>
      <c r="S187" s="18"/>
    </row>
    <row r="188" spans="1:19" hidden="1" x14ac:dyDescent="0.2">
      <c r="B188" s="18"/>
      <c r="C188" s="18"/>
      <c r="F188" s="19"/>
      <c r="G188" s="148"/>
      <c r="H188" s="19"/>
      <c r="I188" s="19"/>
      <c r="J188" s="19"/>
      <c r="K188" s="19"/>
      <c r="M188" s="20"/>
      <c r="S188" s="18"/>
    </row>
    <row r="189" spans="1:19" hidden="1" x14ac:dyDescent="0.2">
      <c r="B189" s="18"/>
      <c r="C189" s="18"/>
      <c r="F189" s="19"/>
      <c r="G189" s="148"/>
      <c r="H189" s="19"/>
      <c r="I189" s="19"/>
      <c r="J189" s="19"/>
      <c r="K189" s="19"/>
      <c r="M189" s="20"/>
      <c r="S189" s="18"/>
    </row>
    <row r="190" spans="1:19" hidden="1" x14ac:dyDescent="0.2">
      <c r="B190" s="18"/>
      <c r="C190" s="18"/>
      <c r="F190" s="19"/>
      <c r="G190" s="148"/>
      <c r="H190" s="19"/>
      <c r="I190" s="19"/>
      <c r="J190" s="19"/>
      <c r="K190" s="19"/>
      <c r="M190" s="20"/>
      <c r="S190" s="18"/>
    </row>
    <row r="191" spans="1:19" hidden="1" x14ac:dyDescent="0.2">
      <c r="A191" s="100" t="s">
        <v>63</v>
      </c>
      <c r="B191" s="18"/>
      <c r="C191" s="18"/>
      <c r="D191" s="4" t="s">
        <v>63</v>
      </c>
      <c r="F191" s="19"/>
      <c r="G191" s="148">
        <f>+G34+G42+G44+G46+G48+G89+G57+G59+G15+G50+G66+G55+G65</f>
        <v>22475753.719999999</v>
      </c>
      <c r="H191" s="19">
        <f>+H34+H52+H42+H44+H46+H48+H89+H57+H59+H15+H50+H66+H55</f>
        <v>0</v>
      </c>
      <c r="I191" s="19"/>
      <c r="J191" s="19"/>
      <c r="K191" s="19"/>
      <c r="M191" s="20"/>
      <c r="S191" s="18"/>
    </row>
    <row r="192" spans="1:19" hidden="1" x14ac:dyDescent="0.2">
      <c r="A192" s="100" t="s">
        <v>64</v>
      </c>
      <c r="B192" s="18"/>
      <c r="C192" s="18"/>
      <c r="D192" s="34" t="s">
        <v>64</v>
      </c>
      <c r="F192" s="19"/>
      <c r="G192" s="148">
        <f>+G9+G100+G10</f>
        <v>-3937387.45</v>
      </c>
      <c r="H192" s="19">
        <f>+H9+H100+H10</f>
        <v>0</v>
      </c>
      <c r="I192" s="19"/>
      <c r="J192" s="19"/>
      <c r="K192" s="19"/>
      <c r="M192" s="20"/>
      <c r="S192" s="18"/>
    </row>
    <row r="193" spans="1:19" hidden="1" x14ac:dyDescent="0.2">
      <c r="A193" s="100" t="s">
        <v>65</v>
      </c>
      <c r="B193" s="18"/>
      <c r="C193" s="18"/>
      <c r="D193" s="34" t="s">
        <v>65</v>
      </c>
      <c r="F193" s="19"/>
      <c r="G193" s="148">
        <f>+G108+G109+G110+G111+G107+G112</f>
        <v>5288093.67</v>
      </c>
      <c r="H193" s="19">
        <f>+H108+H109+H110+H111+H107</f>
        <v>-1423518.92</v>
      </c>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67">
        <f>+G191+G192+G193-G148</f>
        <v>23826459.939999998</v>
      </c>
      <c r="H195" s="110">
        <f>+H191+H192+H193-H148</f>
        <v>-1423518.92</v>
      </c>
      <c r="I195" s="19"/>
      <c r="J195" s="19"/>
      <c r="K195" s="19"/>
      <c r="M195" s="20"/>
      <c r="S195" s="18"/>
    </row>
    <row r="196" spans="1:19" hidden="1" x14ac:dyDescent="0.2">
      <c r="B196" s="18"/>
      <c r="C196" s="18"/>
      <c r="F196" s="19"/>
      <c r="H196" s="29">
        <f>+H192+H193+H191+G191+G192+G193</f>
        <v>22402941.019999996</v>
      </c>
      <c r="I196" s="19"/>
      <c r="J196" s="19"/>
      <c r="K196" s="19"/>
      <c r="M196" s="20"/>
      <c r="S196" s="18"/>
    </row>
    <row r="197" spans="1:19" hidden="1" x14ac:dyDescent="0.2">
      <c r="B197" s="18"/>
      <c r="C197" s="18"/>
      <c r="F197" s="19"/>
      <c r="G197" s="148"/>
      <c r="H197" s="29">
        <f>+H196-G148-H148</f>
        <v>22402941.019999996</v>
      </c>
      <c r="I197" s="19"/>
      <c r="J197" s="19"/>
      <c r="K197" s="19"/>
      <c r="M197" s="20"/>
      <c r="S197" s="18"/>
    </row>
    <row r="198" spans="1:19" x14ac:dyDescent="0.2">
      <c r="B198" s="18"/>
      <c r="C198" s="18"/>
      <c r="F198" s="19"/>
      <c r="G198" s="148"/>
      <c r="H198" s="19"/>
      <c r="I198" s="19"/>
      <c r="J198" s="19"/>
      <c r="K198" s="19"/>
      <c r="M198" s="20"/>
      <c r="S198" s="18"/>
    </row>
    <row r="199" spans="1:19" ht="12.75" hidden="1" customHeight="1" x14ac:dyDescent="0.2">
      <c r="B199" s="18"/>
      <c r="C199" s="18"/>
      <c r="F199" s="19"/>
      <c r="G199" s="148"/>
      <c r="H199" s="19"/>
      <c r="I199" s="19"/>
      <c r="J199" s="19"/>
      <c r="K199" s="19"/>
      <c r="M199" s="20"/>
      <c r="S199" s="18"/>
    </row>
    <row r="200" spans="1:19" ht="12.75" hidden="1" customHeight="1" x14ac:dyDescent="0.2">
      <c r="A200" s="101" t="s">
        <v>144</v>
      </c>
      <c r="B200" s="18"/>
      <c r="C200" s="18"/>
      <c r="D200" s="22" t="s">
        <v>144</v>
      </c>
      <c r="E200" s="4" t="s">
        <v>121</v>
      </c>
      <c r="F200" s="19" t="s">
        <v>147</v>
      </c>
      <c r="G200" s="148" t="s">
        <v>148</v>
      </c>
      <c r="H200" s="19"/>
      <c r="I200" s="19"/>
      <c r="J200" s="19"/>
      <c r="K200" s="19"/>
      <c r="M200" s="20"/>
      <c r="S200" s="18"/>
    </row>
    <row r="201" spans="1:19" ht="12.75" hidden="1" customHeight="1" x14ac:dyDescent="0.2">
      <c r="A201" s="101" t="s">
        <v>145</v>
      </c>
      <c r="B201" s="18"/>
      <c r="C201" s="18"/>
      <c r="D201" s="22" t="s">
        <v>145</v>
      </c>
      <c r="E201" s="19">
        <v>19066028.010000002</v>
      </c>
      <c r="F201" s="19">
        <v>62319564.710000008</v>
      </c>
      <c r="G201" s="148">
        <v>-43253536.700000003</v>
      </c>
      <c r="H201" s="19"/>
      <c r="I201" s="19"/>
      <c r="J201" s="19"/>
      <c r="K201" s="19"/>
      <c r="M201" s="20"/>
      <c r="S201" s="18"/>
    </row>
    <row r="202" spans="1:19" ht="12.75" hidden="1" customHeight="1" x14ac:dyDescent="0.2">
      <c r="A202" s="101" t="s">
        <v>146</v>
      </c>
      <c r="B202" s="18"/>
      <c r="C202" s="18"/>
      <c r="D202" s="22" t="s">
        <v>146</v>
      </c>
      <c r="F202" s="19"/>
      <c r="G202" s="148"/>
      <c r="H202" s="19"/>
      <c r="I202" s="19"/>
      <c r="J202" s="19"/>
      <c r="K202" s="19"/>
      <c r="M202" s="20"/>
      <c r="S202" s="18"/>
    </row>
    <row r="203" spans="1:19" ht="12.75" hidden="1" customHeight="1" x14ac:dyDescent="0.2">
      <c r="A203" s="100" t="s">
        <v>149</v>
      </c>
      <c r="B203" s="18"/>
      <c r="C203" s="18"/>
      <c r="D203" s="4" t="s">
        <v>149</v>
      </c>
      <c r="E203" s="29">
        <f>SUM(F203:G203)</f>
        <v>905563</v>
      </c>
      <c r="F203" s="19">
        <v>905563</v>
      </c>
      <c r="G203" s="148"/>
      <c r="H203" s="19"/>
      <c r="I203" s="19"/>
      <c r="J203" s="19"/>
      <c r="K203" s="19"/>
      <c r="M203" s="20"/>
      <c r="S203" s="18"/>
    </row>
    <row r="204" spans="1:19" ht="12.75" hidden="1" customHeight="1" x14ac:dyDescent="0.2">
      <c r="A204" s="100" t="s">
        <v>150</v>
      </c>
      <c r="B204" s="18"/>
      <c r="C204" s="18"/>
      <c r="D204" s="4" t="s">
        <v>150</v>
      </c>
      <c r="E204" s="29">
        <f>SUM(F204:G204)</f>
        <v>-905563</v>
      </c>
      <c r="G204" s="148">
        <v>-905563</v>
      </c>
      <c r="H204" s="19"/>
      <c r="I204" s="19"/>
      <c r="J204" s="19"/>
      <c r="K204" s="19"/>
      <c r="M204" s="20"/>
      <c r="S204" s="18"/>
    </row>
    <row r="205" spans="1:19" ht="12.75" hidden="1" customHeight="1" x14ac:dyDescent="0.2">
      <c r="B205" s="18"/>
      <c r="C205" s="18"/>
      <c r="F205" s="19"/>
      <c r="G205" s="148"/>
      <c r="H205" s="19"/>
      <c r="I205" s="19"/>
      <c r="J205" s="19"/>
      <c r="K205" s="19"/>
      <c r="M205" s="20"/>
      <c r="S205" s="18"/>
    </row>
    <row r="206" spans="1:19" ht="12.75" hidden="1" customHeight="1" x14ac:dyDescent="0.2">
      <c r="B206" s="18"/>
      <c r="C206" s="18"/>
      <c r="E206" s="94"/>
      <c r="F206" s="95"/>
      <c r="G206" s="169"/>
      <c r="H206" s="19"/>
      <c r="I206" s="19"/>
      <c r="J206" s="19"/>
      <c r="K206" s="19"/>
      <c r="M206" s="20"/>
      <c r="S206" s="18"/>
    </row>
    <row r="207" spans="1:19" ht="12.75" hidden="1" customHeight="1" x14ac:dyDescent="0.2">
      <c r="B207" s="18"/>
      <c r="C207" s="18"/>
      <c r="E207" s="29">
        <f>SUM(E201:E206)</f>
        <v>19066028.010000002</v>
      </c>
      <c r="F207" s="29">
        <f>SUM(F201:F206)</f>
        <v>63225127.710000008</v>
      </c>
      <c r="G207" s="151">
        <f>SUM(G201:G206)</f>
        <v>-44159099.700000003</v>
      </c>
      <c r="H207" s="19"/>
      <c r="I207" s="19"/>
      <c r="J207" s="19"/>
      <c r="K207" s="19"/>
      <c r="M207" s="20"/>
      <c r="S207" s="18"/>
    </row>
    <row r="208" spans="1:19" x14ac:dyDescent="0.2">
      <c r="B208" s="18"/>
      <c r="C208" s="18"/>
      <c r="E208" s="98"/>
      <c r="F208" s="19"/>
      <c r="G208" s="148"/>
      <c r="H208" s="19"/>
      <c r="I208" s="19"/>
      <c r="J208" s="19"/>
      <c r="K208" s="19"/>
      <c r="M208" s="20"/>
      <c r="S208" s="18"/>
    </row>
    <row r="209" spans="1:19" x14ac:dyDescent="0.2">
      <c r="B209" s="18"/>
      <c r="C209" s="18"/>
      <c r="E209" s="83"/>
      <c r="F209" s="19"/>
      <c r="G209" s="232"/>
      <c r="H209" s="19"/>
      <c r="I209" s="19"/>
      <c r="J209" s="19"/>
      <c r="K209" s="19"/>
      <c r="M209" s="20"/>
      <c r="S209" s="18"/>
    </row>
    <row r="210" spans="1:19" x14ac:dyDescent="0.2">
      <c r="B210" s="18"/>
      <c r="C210" s="18"/>
      <c r="E210" s="83"/>
      <c r="F210" s="19"/>
      <c r="G210" s="148"/>
      <c r="H210" s="19"/>
      <c r="I210" s="19"/>
      <c r="J210" s="19"/>
      <c r="K210" s="19"/>
      <c r="M210" s="20"/>
      <c r="S210" s="18"/>
    </row>
    <row r="211" spans="1:19" x14ac:dyDescent="0.2">
      <c r="B211" s="18"/>
      <c r="C211" s="18"/>
      <c r="E211" s="234"/>
      <c r="F211" s="19"/>
      <c r="G211" s="148"/>
      <c r="H211" s="19"/>
      <c r="I211" s="19"/>
      <c r="J211" s="19"/>
      <c r="K211" s="19"/>
      <c r="M211" s="20"/>
      <c r="S211" s="18"/>
    </row>
    <row r="212" spans="1:19" x14ac:dyDescent="0.2">
      <c r="B212" s="18"/>
      <c r="C212" s="18"/>
      <c r="E212" s="98"/>
      <c r="F212" s="19"/>
      <c r="G212" s="148"/>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F217" s="19"/>
      <c r="G217" s="148"/>
      <c r="H217" s="19"/>
      <c r="I217" s="19"/>
      <c r="J217" s="19"/>
      <c r="K217" s="19"/>
      <c r="M217" s="20"/>
      <c r="S217" s="18"/>
    </row>
    <row r="218" spans="1:19" x14ac:dyDescent="0.2">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B267" s="18"/>
      <c r="C267" s="18"/>
      <c r="F267" s="19"/>
      <c r="G267" s="148"/>
      <c r="H267" s="19"/>
      <c r="I267" s="19"/>
      <c r="J267" s="19"/>
      <c r="K267" s="19"/>
      <c r="M267" s="20"/>
      <c r="S267" s="18"/>
    </row>
    <row r="268" spans="1:19" x14ac:dyDescent="0.2">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C277" s="18"/>
      <c r="F277" s="19"/>
      <c r="G277" s="148"/>
      <c r="H277" s="19"/>
      <c r="I277" s="19"/>
      <c r="J277" s="19"/>
      <c r="K277" s="19"/>
      <c r="M277" s="20"/>
      <c r="S277" s="18"/>
    </row>
    <row r="278" spans="1:22" x14ac:dyDescent="0.2">
      <c r="C278" s="18"/>
      <c r="F278" s="19"/>
      <c r="G278" s="148"/>
      <c r="H278" s="19"/>
      <c r="I278" s="19"/>
      <c r="J278" s="19"/>
      <c r="K278" s="19"/>
      <c r="M278" s="20"/>
      <c r="S278" s="18"/>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x14ac:dyDescent="0.2">
      <c r="H327" s="19"/>
    </row>
  </sheetData>
  <mergeCells count="1">
    <mergeCell ref="Q5:R5"/>
  </mergeCells>
  <conditionalFormatting sqref="H195 G197">
    <cfRule type="cellIs" dxfId="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9"/>
  <sheetViews>
    <sheetView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5" t="s">
        <v>66</v>
      </c>
    </row>
    <row r="4" spans="1:22" x14ac:dyDescent="0.2">
      <c r="A4" s="99"/>
      <c r="B4" s="7"/>
      <c r="C4" s="3"/>
      <c r="D4" s="3"/>
      <c r="E4" s="212"/>
      <c r="F4" s="8"/>
      <c r="G4" s="215"/>
      <c r="H4" s="216"/>
      <c r="I4" s="202"/>
      <c r="J4" s="202"/>
      <c r="K4" s="202"/>
      <c r="M4" s="10"/>
      <c r="P4" s="285" t="s">
        <v>1</v>
      </c>
    </row>
    <row r="5" spans="1:22" x14ac:dyDescent="0.2">
      <c r="E5" s="217" t="s">
        <v>208</v>
      </c>
      <c r="F5" s="285" t="s">
        <v>3</v>
      </c>
      <c r="G5" s="285" t="s">
        <v>4</v>
      </c>
      <c r="H5" s="285"/>
      <c r="I5" s="204" t="s">
        <v>208</v>
      </c>
      <c r="J5" s="261" t="s">
        <v>180</v>
      </c>
      <c r="K5" s="204" t="s">
        <v>209</v>
      </c>
      <c r="L5" s="285" t="s">
        <v>5</v>
      </c>
      <c r="M5" s="11" t="s">
        <v>6</v>
      </c>
      <c r="N5" s="11" t="s">
        <v>0</v>
      </c>
      <c r="O5" s="11" t="s">
        <v>8</v>
      </c>
      <c r="P5" s="285" t="s">
        <v>9</v>
      </c>
      <c r="Q5" s="576" t="s">
        <v>10</v>
      </c>
      <c r="R5" s="576"/>
      <c r="U5" s="12" t="s">
        <v>11</v>
      </c>
    </row>
    <row r="6" spans="1:22" x14ac:dyDescent="0.2">
      <c r="E6" s="218">
        <v>42825</v>
      </c>
      <c r="F6" s="13" t="s">
        <v>12</v>
      </c>
      <c r="G6" s="14" t="s">
        <v>13</v>
      </c>
      <c r="H6" s="14" t="s">
        <v>8</v>
      </c>
      <c r="I6" s="205">
        <v>42855</v>
      </c>
      <c r="J6" s="261" t="s">
        <v>210</v>
      </c>
      <c r="K6" s="205">
        <f>I6</f>
        <v>42855</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Q1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Q1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Q1 2017'!$A$1:$I$251,9,FALSE)</f>
        <v>648693.81000000006</v>
      </c>
      <c r="F15" s="30">
        <v>0</v>
      </c>
      <c r="G15" s="33">
        <v>0</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Q1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Q1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0</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Q1 2017'!$A$1:$I$251,9,FALSE)</f>
        <v>1388287.2900000012</v>
      </c>
      <c r="F22" s="33">
        <v>0</v>
      </c>
      <c r="G22" s="33">
        <v>-22206.18</v>
      </c>
      <c r="H22" s="33">
        <v>0</v>
      </c>
      <c r="I22" s="115">
        <f>E22+F22+G22+H22</f>
        <v>1366081.1100000013</v>
      </c>
      <c r="J22" s="30">
        <v>-266474.03999999998</v>
      </c>
      <c r="K22" s="115">
        <f>I22+J22</f>
        <v>1099607.0700000012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1388287.2900000012</v>
      </c>
      <c r="F24" s="29">
        <f t="shared" ref="F24:K24" si="3">SUM(F22:F23)</f>
        <v>0</v>
      </c>
      <c r="G24" s="29">
        <f t="shared" si="3"/>
        <v>-22206.18</v>
      </c>
      <c r="H24" s="29">
        <f t="shared" si="3"/>
        <v>0</v>
      </c>
      <c r="I24" s="269">
        <f t="shared" si="3"/>
        <v>1366081.1100000013</v>
      </c>
      <c r="J24" s="49">
        <f t="shared" si="3"/>
        <v>-266474.03999999998</v>
      </c>
      <c r="K24" s="269">
        <f t="shared" si="3"/>
        <v>1099607.0700000012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Q1 2017'!$A$1:$I$251,9,FALSE)</f>
        <v>2231675</v>
      </c>
      <c r="F27" s="33">
        <v>0</v>
      </c>
      <c r="G27" s="33">
        <v>0</v>
      </c>
      <c r="H27" s="29">
        <v>0</v>
      </c>
      <c r="I27" s="115">
        <f>E27+F27+G27+H27</f>
        <v>2231675</v>
      </c>
      <c r="J27" s="33">
        <v>0</v>
      </c>
      <c r="K27" s="115">
        <f>I27+J27</f>
        <v>2231675</v>
      </c>
      <c r="L27" s="210" t="s">
        <v>22</v>
      </c>
      <c r="M27" s="226"/>
      <c r="S27" s="28" t="s">
        <v>23</v>
      </c>
    </row>
    <row r="28" spans="1:21" ht="13.5" customHeight="1" x14ac:dyDescent="0.2">
      <c r="A28" s="100" t="s">
        <v>80</v>
      </c>
      <c r="B28" s="28"/>
      <c r="C28" s="28" t="s">
        <v>24</v>
      </c>
      <c r="D28" s="4" t="s">
        <v>204</v>
      </c>
      <c r="E28" s="32">
        <f>VLOOKUP(A28,'DEK Q1 2017'!$A$1:$I$251,9,FALSE)</f>
        <v>0.20000000018626451</v>
      </c>
      <c r="F28" s="33">
        <v>0</v>
      </c>
      <c r="G28" s="33">
        <v>-424139</v>
      </c>
      <c r="H28" s="32">
        <v>0</v>
      </c>
      <c r="I28" s="115">
        <f>E28+F28+G28+H28</f>
        <v>-424138.79999999981</v>
      </c>
      <c r="J28" s="33">
        <v>0</v>
      </c>
      <c r="K28" s="115">
        <f>I28+J28</f>
        <v>-424138.79999999981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2231675.2000000002</v>
      </c>
      <c r="F30" s="44">
        <f t="shared" ref="F30:K30" si="4">SUM(F27:F28)</f>
        <v>0</v>
      </c>
      <c r="G30" s="33">
        <f t="shared" si="4"/>
        <v>-424139</v>
      </c>
      <c r="H30" s="33">
        <f t="shared" si="4"/>
        <v>0</v>
      </c>
      <c r="I30" s="269">
        <f t="shared" si="4"/>
        <v>1807536.2000000002</v>
      </c>
      <c r="J30" s="33">
        <f t="shared" si="4"/>
        <v>0</v>
      </c>
      <c r="K30" s="269">
        <f t="shared" si="4"/>
        <v>1807536.2000000002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Q1 2017'!$A$1:$I$251,9,FALSE)</f>
        <v>931817.58000000182</v>
      </c>
      <c r="F52" s="33">
        <v>0</v>
      </c>
      <c r="G52" s="33">
        <v>1316383.7</v>
      </c>
      <c r="H52" s="33">
        <v>0</v>
      </c>
      <c r="I52" s="115">
        <f>E52+F52+G52+H52</f>
        <v>2248201.2800000017</v>
      </c>
      <c r="J52" s="30">
        <v>-931817.6</v>
      </c>
      <c r="K52" s="115">
        <f>I52+J52</f>
        <v>1316383.6800000016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Q1 2017'!$A$1:$I$251,9,FALSE)</f>
        <v>4670462</v>
      </c>
      <c r="F53" s="33">
        <v>0</v>
      </c>
      <c r="G53" s="33">
        <v>0</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Q1 2017'!$A$1:$I$251,9,FALSE)</f>
        <v>1650000</v>
      </c>
      <c r="F59" s="33">
        <v>0</v>
      </c>
      <c r="G59" s="33">
        <v>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Q1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2" si="5">E64+F64+G64+H64</f>
        <v>0</v>
      </c>
      <c r="J64" s="33"/>
      <c r="K64" s="115">
        <f t="shared" ref="K64:K72"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Q1 2017'!$A$1:$I$251,9,FALSE)</f>
        <v>26061798.66</v>
      </c>
      <c r="F67" s="172"/>
      <c r="G67" s="33">
        <v>669622.79</v>
      </c>
      <c r="H67" s="172"/>
      <c r="I67" s="115">
        <f t="shared" si="5"/>
        <v>26731421.449999999</v>
      </c>
      <c r="J67" s="172"/>
      <c r="K67" s="115">
        <f t="shared" si="6"/>
        <v>26731421.449999999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Q1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2.75" customHeight="1" x14ac:dyDescent="0.35">
      <c r="B71" s="28"/>
      <c r="C71" s="28"/>
      <c r="E71" s="32" t="s">
        <v>222</v>
      </c>
      <c r="F71" s="172"/>
      <c r="G71" s="33"/>
      <c r="H71" s="33"/>
      <c r="I71" s="115"/>
      <c r="J71" s="33"/>
      <c r="K71" s="115"/>
      <c r="L71" s="210"/>
      <c r="M71" s="20"/>
      <c r="S71" s="18"/>
    </row>
    <row r="72" spans="1:19" ht="12.75" customHeight="1" x14ac:dyDescent="0.35">
      <c r="A72" s="100" t="s">
        <v>257</v>
      </c>
      <c r="B72" s="28"/>
      <c r="C72" s="28" t="s">
        <v>256</v>
      </c>
      <c r="D72" s="4" t="s">
        <v>257</v>
      </c>
      <c r="E72" s="32">
        <f>VLOOKUP(A72,'DEK Q1 2017'!$A$1:$I$251,9,FALSE)</f>
        <v>-351808.9</v>
      </c>
      <c r="F72" s="172"/>
      <c r="G72" s="33">
        <v>-32931.839999999997</v>
      </c>
      <c r="H72" s="33">
        <v>0</v>
      </c>
      <c r="I72" s="115">
        <f t="shared" si="5"/>
        <v>-384740.74</v>
      </c>
      <c r="J72" s="33"/>
      <c r="K72" s="115">
        <f t="shared" si="6"/>
        <v>-384740.74</v>
      </c>
      <c r="L72" s="210"/>
      <c r="M72" s="20"/>
      <c r="S72" s="18"/>
    </row>
    <row r="73" spans="1:19" ht="12.75" customHeight="1" x14ac:dyDescent="0.35">
      <c r="B73" s="28"/>
      <c r="C73" s="28"/>
      <c r="E73" s="32" t="s">
        <v>222</v>
      </c>
      <c r="F73" s="172"/>
      <c r="G73" s="33"/>
      <c r="H73" s="33"/>
      <c r="I73" s="115"/>
      <c r="J73" s="33"/>
      <c r="K73" s="115" t="s">
        <v>222</v>
      </c>
      <c r="M73" s="20"/>
      <c r="S73" s="18"/>
    </row>
    <row r="74" spans="1:19" ht="12.75" customHeight="1" x14ac:dyDescent="0.35">
      <c r="A74" s="100" t="s">
        <v>283</v>
      </c>
      <c r="B74" s="28"/>
      <c r="C74" s="28" t="s">
        <v>282</v>
      </c>
      <c r="D74" s="4" t="s">
        <v>283</v>
      </c>
      <c r="E74" s="32">
        <f>VLOOKUP(A74,'DEK Q1 2017'!$A$1:$I$251,9,FALSE)</f>
        <v>348</v>
      </c>
      <c r="F74" s="172"/>
      <c r="G74" s="33">
        <v>0</v>
      </c>
      <c r="H74" s="33">
        <v>0</v>
      </c>
      <c r="I74" s="115">
        <f t="shared" ref="I74" si="7">E74+F74+G74+H74</f>
        <v>348</v>
      </c>
      <c r="J74" s="33"/>
      <c r="K74" s="115">
        <f t="shared" ref="K74" si="8">I74+J74</f>
        <v>348</v>
      </c>
      <c r="L74" s="210"/>
      <c r="M74" s="20"/>
      <c r="S74" s="18"/>
    </row>
    <row r="75" spans="1:19" ht="12.75" customHeight="1" x14ac:dyDescent="0.35">
      <c r="B75" s="28"/>
      <c r="C75" s="28"/>
      <c r="E75" s="32"/>
      <c r="F75" s="172"/>
      <c r="G75" s="33"/>
      <c r="H75" s="33"/>
      <c r="I75" s="115"/>
      <c r="J75" s="33"/>
      <c r="K75" s="115"/>
      <c r="L75" s="210"/>
      <c r="M75" s="20"/>
      <c r="S75" s="18"/>
    </row>
    <row r="76" spans="1:19" ht="16.5" customHeight="1" x14ac:dyDescent="0.35">
      <c r="A76" s="100" t="s">
        <v>240</v>
      </c>
      <c r="B76" s="28"/>
      <c r="C76" s="28" t="s">
        <v>239</v>
      </c>
      <c r="D76" s="4" t="s">
        <v>240</v>
      </c>
      <c r="E76" s="32">
        <f>VLOOKUP(A76,'DEK Q1 2017'!$A$1:$I$251,9,FALSE)</f>
        <v>9893222.9600000009</v>
      </c>
      <c r="F76" s="172"/>
      <c r="G76" s="33">
        <v>363045.67</v>
      </c>
      <c r="H76" s="33">
        <v>0</v>
      </c>
      <c r="I76" s="115">
        <f t="shared" ref="I76" si="9">E76+F76+G76+H76</f>
        <v>10256268.630000001</v>
      </c>
      <c r="J76" s="33"/>
      <c r="K76" s="115">
        <f t="shared" ref="K76" si="10">I76+J76</f>
        <v>10256268.630000001</v>
      </c>
      <c r="L76" s="210" t="s">
        <v>22</v>
      </c>
      <c r="M76" s="20" t="s">
        <v>247</v>
      </c>
      <c r="S76" s="18"/>
    </row>
    <row r="77" spans="1:19" ht="12.75" customHeight="1" x14ac:dyDescent="0.35">
      <c r="B77" s="28"/>
      <c r="C77" s="28"/>
      <c r="E77" s="32"/>
      <c r="F77" s="172"/>
      <c r="G77" s="33"/>
      <c r="H77" s="33"/>
      <c r="I77" s="115"/>
      <c r="J77" s="33"/>
      <c r="K77" s="115"/>
      <c r="M77" s="20"/>
      <c r="S77" s="18"/>
    </row>
    <row r="78" spans="1:19" ht="16.5" customHeight="1" x14ac:dyDescent="0.35">
      <c r="A78" s="100" t="s">
        <v>288</v>
      </c>
      <c r="B78" s="28"/>
      <c r="C78" s="28" t="s">
        <v>289</v>
      </c>
      <c r="D78" s="4" t="s">
        <v>288</v>
      </c>
      <c r="E78" s="32">
        <f>VLOOKUP(A78,'DEK Q1 2017'!$A$1:$I$251,9,FALSE)</f>
        <v>6610.1</v>
      </c>
      <c r="F78" s="172"/>
      <c r="G78" s="33">
        <v>0</v>
      </c>
      <c r="H78" s="33">
        <v>0</v>
      </c>
      <c r="I78" s="115">
        <f t="shared" ref="I78" si="11">E78+F78+G78+H78</f>
        <v>6610.1</v>
      </c>
      <c r="J78" s="33"/>
      <c r="K78" s="115">
        <f t="shared" ref="K78" si="12">I78+J78</f>
        <v>6610.1</v>
      </c>
      <c r="L78" s="210" t="s">
        <v>22</v>
      </c>
      <c r="M78" s="20" t="s">
        <v>247</v>
      </c>
      <c r="S78" s="18"/>
    </row>
    <row r="79" spans="1:19" ht="16.5" customHeight="1" x14ac:dyDescent="0.35">
      <c r="B79" s="28"/>
      <c r="C79" s="28"/>
      <c r="E79" s="32"/>
      <c r="F79" s="172"/>
      <c r="G79" s="33"/>
      <c r="H79" s="33"/>
      <c r="I79" s="115"/>
      <c r="J79" s="33"/>
      <c r="K79" s="115"/>
      <c r="L79" s="210"/>
      <c r="M79" s="20"/>
      <c r="S79" s="18"/>
    </row>
    <row r="80" spans="1:19" ht="12.75" customHeight="1" x14ac:dyDescent="0.35">
      <c r="A80" s="100" t="s">
        <v>234</v>
      </c>
      <c r="B80" s="28"/>
      <c r="C80" s="28" t="s">
        <v>232</v>
      </c>
      <c r="D80" s="4" t="s">
        <v>233</v>
      </c>
      <c r="E80" s="32">
        <f>VLOOKUP(A80,'DEK Q1 2017'!$A$1:$I$251,9,FALSE)</f>
        <v>0</v>
      </c>
      <c r="F80" s="174"/>
      <c r="G80" s="33">
        <v>0</v>
      </c>
      <c r="H80" s="33">
        <v>0</v>
      </c>
      <c r="I80" s="115">
        <f t="shared" ref="I80:I82" si="13">E80+F80+G80+H80</f>
        <v>0</v>
      </c>
      <c r="J80" s="33"/>
      <c r="K80" s="115">
        <f t="shared" ref="K80:K82" si="14">I80+J80</f>
        <v>0</v>
      </c>
      <c r="M80" s="20"/>
      <c r="S80" s="18"/>
    </row>
    <row r="81" spans="1:21" ht="12.75" customHeight="1" x14ac:dyDescent="0.35">
      <c r="B81" s="28"/>
      <c r="C81" s="28"/>
      <c r="E81" s="32"/>
      <c r="F81" s="172"/>
      <c r="G81" s="33"/>
      <c r="H81" s="33"/>
      <c r="I81" s="115"/>
      <c r="J81" s="33"/>
      <c r="K81" s="115"/>
      <c r="M81" s="20"/>
      <c r="S81" s="18"/>
    </row>
    <row r="82" spans="1:21" ht="12.75" customHeight="1" x14ac:dyDescent="0.35">
      <c r="A82" s="100" t="s">
        <v>276</v>
      </c>
      <c r="B82" s="28"/>
      <c r="C82" s="28" t="s">
        <v>275</v>
      </c>
      <c r="D82" s="4" t="s">
        <v>276</v>
      </c>
      <c r="E82" s="35">
        <f>VLOOKUP(A82,'DEK Q1 2017'!$A$1:$I$251,9,FALSE)</f>
        <v>2172194.7599999998</v>
      </c>
      <c r="F82" s="174"/>
      <c r="G82" s="36">
        <v>206589.43</v>
      </c>
      <c r="H82" s="36">
        <v>0</v>
      </c>
      <c r="I82" s="116">
        <f t="shared" si="13"/>
        <v>2378784.19</v>
      </c>
      <c r="J82" s="36"/>
      <c r="K82" s="116">
        <f t="shared" si="14"/>
        <v>2378784.19</v>
      </c>
      <c r="M82" s="20"/>
      <c r="S82" s="18"/>
    </row>
    <row r="83" spans="1:21" x14ac:dyDescent="0.2">
      <c r="B83" s="54"/>
      <c r="C83" s="28"/>
      <c r="E83" s="221">
        <f>SUM(E42:E82)</f>
        <v>49947329.160000004</v>
      </c>
      <c r="F83" s="29">
        <f>SUM(F39:F65)+F36</f>
        <v>0</v>
      </c>
      <c r="G83" s="29">
        <f>SUM(G39:G82)+G36</f>
        <v>2522709.75</v>
      </c>
      <c r="H83" s="29">
        <f>SUM(H39:H82)+H36</f>
        <v>0</v>
      </c>
      <c r="I83" s="269">
        <f>SUM(I39:I82)+I36</f>
        <v>52470038.910000004</v>
      </c>
      <c r="J83" s="49">
        <f>SUM(J39:J82)+J36</f>
        <v>-931817.6</v>
      </c>
      <c r="K83" s="275">
        <f>SUM(K39:K82)+K36</f>
        <v>51538221.310000002</v>
      </c>
      <c r="L83" s="280" t="s">
        <v>259</v>
      </c>
      <c r="M83" s="20"/>
      <c r="S83" s="18"/>
    </row>
    <row r="84" spans="1:21" x14ac:dyDescent="0.2">
      <c r="B84" s="54"/>
      <c r="C84" s="28"/>
      <c r="E84" s="32"/>
      <c r="F84" s="32"/>
      <c r="G84" s="157"/>
      <c r="H84" s="32"/>
      <c r="I84" s="123"/>
      <c r="J84" s="32"/>
      <c r="K84" s="123"/>
      <c r="L84" s="230"/>
      <c r="M84" s="20"/>
      <c r="S84" s="18"/>
    </row>
    <row r="85" spans="1:21" ht="16.5" customHeight="1" x14ac:dyDescent="0.35">
      <c r="A85" s="100" t="s">
        <v>255</v>
      </c>
      <c r="B85" s="28"/>
      <c r="C85" s="28" t="s">
        <v>254</v>
      </c>
      <c r="D85" s="4" t="s">
        <v>255</v>
      </c>
      <c r="E85" s="32">
        <f>VLOOKUP(A85,'DEK Q1 2017'!$A$1:$I$251,9,FALSE)</f>
        <v>9657665.6999999993</v>
      </c>
      <c r="F85" s="172"/>
      <c r="G85" s="33">
        <v>329336.59000000003</v>
      </c>
      <c r="H85" s="33">
        <v>0</v>
      </c>
      <c r="I85" s="115">
        <f>E85+F85+G85+H85</f>
        <v>9987002.2899999991</v>
      </c>
      <c r="J85" s="33"/>
      <c r="K85" s="115">
        <f>I85+J85</f>
        <v>9987002.2899999991</v>
      </c>
      <c r="L85" s="210"/>
      <c r="M85" s="20"/>
      <c r="S85" s="18"/>
    </row>
    <row r="86" spans="1:21" x14ac:dyDescent="0.2">
      <c r="A86" s="100" t="s">
        <v>269</v>
      </c>
      <c r="B86" s="54"/>
      <c r="C86" s="28" t="s">
        <v>268</v>
      </c>
      <c r="D86" s="4" t="s">
        <v>269</v>
      </c>
      <c r="E86" s="35">
        <f>VLOOKUP(A86,'DEK Q1 2017'!$A$1:$I$251,9,FALSE)</f>
        <v>2922836.5</v>
      </c>
      <c r="F86" s="35"/>
      <c r="G86" s="35">
        <v>-17576.23</v>
      </c>
      <c r="H86" s="35">
        <v>0</v>
      </c>
      <c r="I86" s="267">
        <f>E86+F86+G86+H86</f>
        <v>2905260.27</v>
      </c>
      <c r="J86" s="274">
        <v>0</v>
      </c>
      <c r="K86" s="267">
        <f t="shared" ref="K86" si="15">I86+J86</f>
        <v>2905260.27</v>
      </c>
      <c r="L86" s="280" t="s">
        <v>279</v>
      </c>
      <c r="M86" s="20"/>
      <c r="S86" s="18"/>
    </row>
    <row r="87" spans="1:21" x14ac:dyDescent="0.2">
      <c r="B87" s="54"/>
      <c r="C87" s="28"/>
      <c r="E87" s="221">
        <f>SUM(E85:E86)</f>
        <v>12580502.199999999</v>
      </c>
      <c r="F87" s="32"/>
      <c r="G87" s="32">
        <f>SUM(G85:G86)</f>
        <v>311760.36000000004</v>
      </c>
      <c r="H87" s="32">
        <f>SUM(H85:H86)</f>
        <v>0</v>
      </c>
      <c r="I87" s="269">
        <f>SUM(I85:I86)</f>
        <v>12892262.559999999</v>
      </c>
      <c r="J87" s="221">
        <f>SUM(J86)</f>
        <v>0</v>
      </c>
      <c r="K87" s="269">
        <f>SUM(K85:K86)</f>
        <v>12892262.559999999</v>
      </c>
      <c r="L87" s="280"/>
      <c r="M87" s="20"/>
      <c r="S87" s="18"/>
    </row>
    <row r="88" spans="1:21" x14ac:dyDescent="0.2">
      <c r="B88" s="54"/>
      <c r="C88" s="28"/>
      <c r="E88" s="32"/>
      <c r="F88" s="29"/>
      <c r="G88" s="151"/>
      <c r="H88" s="29"/>
      <c r="I88" s="123"/>
      <c r="J88" s="49"/>
      <c r="K88" s="123"/>
      <c r="L88" s="230"/>
      <c r="M88" s="20"/>
      <c r="S88" s="18"/>
    </row>
    <row r="89" spans="1:21" s="22" customFormat="1" x14ac:dyDescent="0.2">
      <c r="A89" s="101"/>
      <c r="B89" s="54" t="s">
        <v>129</v>
      </c>
      <c r="C89" s="55"/>
      <c r="E89" s="220"/>
      <c r="F89" s="47"/>
      <c r="G89" s="162"/>
      <c r="H89" s="47"/>
      <c r="I89" s="124"/>
      <c r="J89" s="47"/>
      <c r="K89" s="124"/>
      <c r="M89" s="19"/>
      <c r="N89" s="48"/>
      <c r="O89" s="48"/>
      <c r="P89" s="56"/>
      <c r="R89" s="57"/>
      <c r="S89" s="57"/>
      <c r="T89" s="55"/>
      <c r="U89" s="55"/>
    </row>
    <row r="90" spans="1:21" ht="25.5" x14ac:dyDescent="0.2">
      <c r="A90" s="100" t="s">
        <v>125</v>
      </c>
      <c r="B90" s="28"/>
      <c r="C90" s="28" t="s">
        <v>73</v>
      </c>
      <c r="D90" s="4" t="s">
        <v>125</v>
      </c>
      <c r="E90" s="32">
        <f>VLOOKUP(A90,'DEK Q1 2017'!$A$1:$I$251,9,FALSE)</f>
        <v>23753973.719999999</v>
      </c>
      <c r="F90" s="30">
        <v>0</v>
      </c>
      <c r="G90" s="33">
        <v>-5273</v>
      </c>
      <c r="H90" s="30">
        <v>0</v>
      </c>
      <c r="I90" s="115">
        <f>E90+F90+G90+H90</f>
        <v>23748700.719999999</v>
      </c>
      <c r="J90" s="30">
        <v>0</v>
      </c>
      <c r="K90" s="115">
        <f t="shared" ref="K90:K97" si="16">I90+J90</f>
        <v>23748700.719999999</v>
      </c>
      <c r="L90" s="210"/>
      <c r="M90" s="20" t="s">
        <v>126</v>
      </c>
      <c r="P90" s="58"/>
      <c r="R90" s="4" t="s">
        <v>107</v>
      </c>
      <c r="S90" s="18">
        <v>182940</v>
      </c>
      <c r="U90" s="4" t="s">
        <v>36</v>
      </c>
    </row>
    <row r="91" spans="1:21" x14ac:dyDescent="0.2">
      <c r="A91" s="100" t="s">
        <v>291</v>
      </c>
      <c r="B91" s="28"/>
      <c r="C91" s="28" t="s">
        <v>290</v>
      </c>
      <c r="D91" s="4" t="s">
        <v>291</v>
      </c>
      <c r="E91" s="32">
        <f>VLOOKUP(A91,'DEK Q1 2017'!$A$1:$I$251,9,FALSE)</f>
        <v>2540163.5499999998</v>
      </c>
      <c r="F91" s="30">
        <v>0</v>
      </c>
      <c r="G91" s="33">
        <v>0</v>
      </c>
      <c r="H91" s="30">
        <v>0</v>
      </c>
      <c r="I91" s="115">
        <f t="shared" ref="I91:I97" si="17">E91+F91+G91+H91</f>
        <v>2540163.5499999998</v>
      </c>
      <c r="J91" s="30">
        <v>0</v>
      </c>
      <c r="K91" s="115">
        <f t="shared" si="16"/>
        <v>2540163.5499999998</v>
      </c>
      <c r="L91" s="210" t="s">
        <v>22</v>
      </c>
      <c r="M91" s="20"/>
      <c r="P91" s="58"/>
      <c r="S91" s="18">
        <v>186801</v>
      </c>
    </row>
    <row r="92" spans="1:21" x14ac:dyDescent="0.2">
      <c r="A92" s="100" t="s">
        <v>281</v>
      </c>
      <c r="B92" s="28"/>
      <c r="C92" s="28" t="s">
        <v>280</v>
      </c>
      <c r="D92" s="4" t="s">
        <v>281</v>
      </c>
      <c r="E92" s="32">
        <f>VLOOKUP(A92,'DEK Q1 2017'!$A$1:$I$251,9,FALSE)</f>
        <v>4750049.7200000007</v>
      </c>
      <c r="F92" s="30">
        <v>0</v>
      </c>
      <c r="G92" s="33">
        <v>-5862</v>
      </c>
      <c r="H92" s="30">
        <v>0</v>
      </c>
      <c r="I92" s="115">
        <f t="shared" si="17"/>
        <v>4744187.7200000007</v>
      </c>
      <c r="J92" s="30">
        <v>0</v>
      </c>
      <c r="K92" s="115">
        <f t="shared" si="16"/>
        <v>4744187.7200000007</v>
      </c>
      <c r="L92" s="210" t="s">
        <v>22</v>
      </c>
      <c r="M92" s="20"/>
      <c r="P92" s="58"/>
      <c r="S92" s="18">
        <v>186801</v>
      </c>
    </row>
    <row r="93" spans="1:21" x14ac:dyDescent="0.2">
      <c r="A93" s="100" t="s">
        <v>293</v>
      </c>
      <c r="B93" s="28"/>
      <c r="C93" s="28" t="s">
        <v>292</v>
      </c>
      <c r="D93" s="4" t="s">
        <v>293</v>
      </c>
      <c r="E93" s="32">
        <f>VLOOKUP(A93,'DEK Q1 2017'!$A$1:$I$251,9,FALSE)</f>
        <v>49947.05</v>
      </c>
      <c r="F93" s="30">
        <v>0</v>
      </c>
      <c r="G93" s="33">
        <v>0</v>
      </c>
      <c r="H93" s="30">
        <v>0</v>
      </c>
      <c r="I93" s="115">
        <f t="shared" si="17"/>
        <v>49947.05</v>
      </c>
      <c r="J93" s="30">
        <v>0</v>
      </c>
      <c r="K93" s="115">
        <f t="shared" si="16"/>
        <v>49947.05</v>
      </c>
      <c r="L93" s="210" t="s">
        <v>22</v>
      </c>
      <c r="M93" s="20"/>
      <c r="P93" s="58"/>
      <c r="S93" s="18"/>
    </row>
    <row r="94" spans="1:21" x14ac:dyDescent="0.2">
      <c r="A94" s="100" t="s">
        <v>161</v>
      </c>
      <c r="B94" s="28"/>
      <c r="C94" s="28" t="s">
        <v>72</v>
      </c>
      <c r="D94" s="4" t="s">
        <v>224</v>
      </c>
      <c r="E94" s="32">
        <f>VLOOKUP(A94,'DEK Q1 2017'!$A$1:$I$251,9,FALSE)</f>
        <v>0</v>
      </c>
      <c r="F94" s="30">
        <v>0</v>
      </c>
      <c r="G94" s="33">
        <v>-104110</v>
      </c>
      <c r="H94" s="30">
        <v>0</v>
      </c>
      <c r="I94" s="115">
        <f t="shared" si="17"/>
        <v>-104110</v>
      </c>
      <c r="J94" s="30">
        <v>0</v>
      </c>
      <c r="K94" s="115">
        <f t="shared" si="16"/>
        <v>-104110</v>
      </c>
      <c r="L94" s="210" t="s">
        <v>22</v>
      </c>
      <c r="M94" s="20"/>
      <c r="P94" s="58"/>
      <c r="S94" s="18"/>
    </row>
    <row r="95" spans="1:21" x14ac:dyDescent="0.2">
      <c r="A95" s="108" t="s">
        <v>171</v>
      </c>
      <c r="B95" s="28"/>
      <c r="C95" s="28" t="s">
        <v>122</v>
      </c>
      <c r="D95" s="4" t="s">
        <v>225</v>
      </c>
      <c r="E95" s="32">
        <f>VLOOKUP(A95,'DEK Q1 2017'!$A$1:$I$251,9,FALSE)</f>
        <v>0</v>
      </c>
      <c r="F95" s="30">
        <v>0</v>
      </c>
      <c r="G95" s="33">
        <v>-23330</v>
      </c>
      <c r="H95" s="30">
        <v>0</v>
      </c>
      <c r="I95" s="115">
        <f t="shared" si="17"/>
        <v>-23330</v>
      </c>
      <c r="J95" s="30">
        <v>0</v>
      </c>
      <c r="K95" s="115">
        <f t="shared" si="16"/>
        <v>-23330</v>
      </c>
      <c r="L95" s="210" t="s">
        <v>22</v>
      </c>
      <c r="M95" s="20"/>
      <c r="P95" s="58"/>
      <c r="S95" s="18"/>
    </row>
    <row r="96" spans="1:21" x14ac:dyDescent="0.2">
      <c r="A96" s="108" t="s">
        <v>284</v>
      </c>
      <c r="B96" s="28"/>
      <c r="C96" s="28" t="s">
        <v>285</v>
      </c>
      <c r="D96" s="4" t="s">
        <v>284</v>
      </c>
      <c r="E96" s="32"/>
      <c r="F96" s="30"/>
      <c r="G96" s="33">
        <v>-36260</v>
      </c>
      <c r="H96" s="30"/>
      <c r="I96" s="115">
        <f t="shared" si="17"/>
        <v>-36260</v>
      </c>
      <c r="J96" s="30"/>
      <c r="K96" s="115">
        <f t="shared" si="16"/>
        <v>-36260</v>
      </c>
      <c r="L96" s="210"/>
      <c r="M96" s="20"/>
      <c r="P96" s="58"/>
      <c r="S96" s="18"/>
    </row>
    <row r="97" spans="1:20" x14ac:dyDescent="0.2">
      <c r="A97" s="108" t="s">
        <v>172</v>
      </c>
      <c r="B97" s="28"/>
      <c r="C97" s="28" t="s">
        <v>123</v>
      </c>
      <c r="D97" s="4" t="s">
        <v>226</v>
      </c>
      <c r="E97" s="35"/>
      <c r="F97" s="36"/>
      <c r="G97" s="36">
        <v>-374</v>
      </c>
      <c r="H97" s="36"/>
      <c r="I97" s="116">
        <f t="shared" si="17"/>
        <v>-374</v>
      </c>
      <c r="J97" s="36"/>
      <c r="K97" s="116">
        <f t="shared" si="16"/>
        <v>-374</v>
      </c>
      <c r="M97" s="20"/>
      <c r="P97" s="58"/>
      <c r="S97" s="18"/>
    </row>
    <row r="98" spans="1:20" x14ac:dyDescent="0.2">
      <c r="B98" s="28"/>
      <c r="C98" s="18"/>
      <c r="E98" s="221">
        <f t="shared" ref="E98:K98" si="18">SUM(E90:E97)</f>
        <v>31094134.040000003</v>
      </c>
      <c r="F98" s="29">
        <f t="shared" si="18"/>
        <v>0</v>
      </c>
      <c r="G98" s="29">
        <f>SUM(G90:G97)</f>
        <v>-175209</v>
      </c>
      <c r="H98" s="29">
        <f t="shared" si="18"/>
        <v>0</v>
      </c>
      <c r="I98" s="269">
        <f t="shared" si="18"/>
        <v>30918925.040000003</v>
      </c>
      <c r="J98" s="29">
        <f t="shared" si="18"/>
        <v>0</v>
      </c>
      <c r="K98" s="269">
        <f t="shared" si="18"/>
        <v>30918925.040000003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19">E100+F100+G100+H100</f>
        <v>0</v>
      </c>
      <c r="J100" s="30">
        <f t="shared" si="19"/>
        <v>0</v>
      </c>
      <c r="K100" s="115">
        <f t="shared" si="19"/>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19"/>
        <v>0</v>
      </c>
      <c r="J101" s="30">
        <f t="shared" si="19"/>
        <v>0</v>
      </c>
      <c r="K101" s="115">
        <f t="shared" si="19"/>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+E12+E24+E30+E83+E87+E98+E100+E19+E101</f>
        <v>99238884.700000018</v>
      </c>
      <c r="F104" s="133">
        <f>+F12+F24+F30+F83+F98+F100+F19+F101</f>
        <v>0</v>
      </c>
      <c r="G104" s="133">
        <f>+G12+G24+G30+G83+G87+G98+G100+G19+G101</f>
        <v>2212915.9300000002</v>
      </c>
      <c r="H104" s="133">
        <f>+H12+H24+H30+H83+H87+H98+H100+H19+H101</f>
        <v>0</v>
      </c>
      <c r="I104" s="134">
        <f>+I12+I24+I30+I83+I87+I98+I100+I19+I101</f>
        <v>101451800.63000001</v>
      </c>
      <c r="J104" s="133">
        <f>+J12+J24+J30+J83+J87+J98+J100+J19+J101</f>
        <v>0</v>
      </c>
      <c r="K104" s="134">
        <f>+K12+K24+K30+K83+K87+K98+K100+K19+K101</f>
        <v>101451800.63000001</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Q1 2017'!$A$1:$I$252,9,FALSE)</f>
        <v>1216828.7700000005</v>
      </c>
      <c r="F107" s="30">
        <v>0</v>
      </c>
      <c r="G107" s="33">
        <v>-1528526.95</v>
      </c>
      <c r="H107" s="33">
        <v>-267430.07</v>
      </c>
      <c r="I107" s="115">
        <f t="shared" ref="I107:I112" si="20">E107+F107+G107+H107</f>
        <v>-579128.24999999953</v>
      </c>
      <c r="J107" s="30">
        <v>0</v>
      </c>
      <c r="K107" s="115">
        <f t="shared" ref="K107:K112" si="21">I107+J107</f>
        <v>-579128.24999999953</v>
      </c>
      <c r="L107" s="210" t="s">
        <v>22</v>
      </c>
      <c r="M107" s="33"/>
      <c r="N107" s="42"/>
      <c r="O107" s="42"/>
      <c r="S107" s="18">
        <v>191400</v>
      </c>
      <c r="T107" s="58"/>
    </row>
    <row r="108" spans="1:20" x14ac:dyDescent="0.2">
      <c r="A108" s="100" t="s">
        <v>115</v>
      </c>
      <c r="B108" s="18"/>
      <c r="C108" s="28" t="s">
        <v>53</v>
      </c>
      <c r="D108" s="4" t="s">
        <v>115</v>
      </c>
      <c r="E108" s="32">
        <f>VLOOKUP(A108,'DEK Q1 2017'!$A$1:$I$252,9,FALSE)</f>
        <v>-2445259.52</v>
      </c>
      <c r="F108" s="30">
        <v>0</v>
      </c>
      <c r="G108" s="33">
        <v>960610.72</v>
      </c>
      <c r="H108" s="33">
        <v>0</v>
      </c>
      <c r="I108" s="115">
        <f t="shared" si="20"/>
        <v>-1484648.8</v>
      </c>
      <c r="J108" s="30">
        <v>0</v>
      </c>
      <c r="K108" s="115">
        <f t="shared" si="21"/>
        <v>-1484648.8</v>
      </c>
      <c r="L108" s="210" t="s">
        <v>22</v>
      </c>
      <c r="M108" s="30"/>
      <c r="N108" s="42"/>
      <c r="O108" s="42"/>
      <c r="S108" s="18">
        <v>191800</v>
      </c>
      <c r="T108" s="58"/>
    </row>
    <row r="109" spans="1:20" ht="12.75" customHeight="1" x14ac:dyDescent="0.2">
      <c r="A109" s="100" t="s">
        <v>117</v>
      </c>
      <c r="B109" s="18"/>
      <c r="C109" s="28" t="s">
        <v>77</v>
      </c>
      <c r="D109" s="4" t="s">
        <v>117</v>
      </c>
      <c r="E109" s="32">
        <f>VLOOKUP(A109,'DEK Q1 2017'!$A$1:$I$252,9,FALSE)</f>
        <v>-515493.64999999991</v>
      </c>
      <c r="F109" s="30">
        <v>0</v>
      </c>
      <c r="G109" s="30">
        <v>0</v>
      </c>
      <c r="H109" s="33">
        <v>0</v>
      </c>
      <c r="I109" s="115">
        <f t="shared" si="20"/>
        <v>-515493.64999999991</v>
      </c>
      <c r="J109" s="30">
        <v>0</v>
      </c>
      <c r="K109" s="115">
        <f t="shared" si="21"/>
        <v>-515493.64999999991</v>
      </c>
      <c r="L109" s="210" t="s">
        <v>22</v>
      </c>
      <c r="M109" s="20"/>
      <c r="N109" s="42"/>
      <c r="O109" s="42"/>
      <c r="S109" s="18">
        <v>242995</v>
      </c>
      <c r="T109" s="58"/>
    </row>
    <row r="110" spans="1:20" x14ac:dyDescent="0.2">
      <c r="A110" s="100" t="s">
        <v>119</v>
      </c>
      <c r="B110" s="18"/>
      <c r="C110" s="28" t="s">
        <v>118</v>
      </c>
      <c r="D110" s="4" t="s">
        <v>119</v>
      </c>
      <c r="E110" s="32">
        <f>VLOOKUP(A110,'DEK Q1 2017'!$A$1:$I$252,9,FALSE)</f>
        <v>-1204516.9000000006</v>
      </c>
      <c r="F110" s="30">
        <v>0</v>
      </c>
      <c r="G110" s="30">
        <v>257601.02</v>
      </c>
      <c r="H110" s="33">
        <v>0</v>
      </c>
      <c r="I110" s="115">
        <f t="shared" si="20"/>
        <v>-946915.88000000059</v>
      </c>
      <c r="J110" s="30">
        <v>0</v>
      </c>
      <c r="K110" s="115">
        <f t="shared" si="21"/>
        <v>-946915.88000000059</v>
      </c>
      <c r="L110" s="210" t="s">
        <v>22</v>
      </c>
      <c r="M110" s="20"/>
      <c r="N110" s="42"/>
      <c r="O110" s="42"/>
      <c r="S110" s="18">
        <v>242997</v>
      </c>
      <c r="T110" s="58"/>
    </row>
    <row r="111" spans="1:20" x14ac:dyDescent="0.2">
      <c r="A111" s="100" t="s">
        <v>120</v>
      </c>
      <c r="B111" s="18"/>
      <c r="C111" s="28" t="s">
        <v>54</v>
      </c>
      <c r="D111" s="4" t="s">
        <v>120</v>
      </c>
      <c r="E111" s="32">
        <f>VLOOKUP(A111,'DEK Q1 2017'!$A$1:$I$252,9,FALSE)</f>
        <v>-70195.559999999794</v>
      </c>
      <c r="F111" s="33">
        <v>0</v>
      </c>
      <c r="G111" s="33">
        <v>0</v>
      </c>
      <c r="H111" s="33">
        <v>19945.919999999998</v>
      </c>
      <c r="I111" s="115">
        <f t="shared" si="20"/>
        <v>-50249.639999999796</v>
      </c>
      <c r="J111" s="33">
        <v>0</v>
      </c>
      <c r="K111" s="115">
        <f t="shared" si="21"/>
        <v>-50249.639999999796</v>
      </c>
      <c r="L111" s="210" t="s">
        <v>22</v>
      </c>
      <c r="M111" s="42"/>
      <c r="N111" s="42"/>
      <c r="O111" s="42"/>
      <c r="S111" s="18">
        <v>253130</v>
      </c>
      <c r="T111" s="58"/>
    </row>
    <row r="112" spans="1:20" x14ac:dyDescent="0.2">
      <c r="A112" s="100" t="s">
        <v>156</v>
      </c>
      <c r="B112" s="18"/>
      <c r="C112" s="28" t="s">
        <v>116</v>
      </c>
      <c r="D112" s="4" t="s">
        <v>211</v>
      </c>
      <c r="E112" s="32">
        <f>VLOOKUP(A112,'DEK Q1 2017'!$A$1:$I$252,9,FALSE)</f>
        <v>-5290080.67</v>
      </c>
      <c r="F112" s="33"/>
      <c r="G112" s="33">
        <v>515826.44</v>
      </c>
      <c r="H112" s="33">
        <v>0</v>
      </c>
      <c r="I112" s="115">
        <f t="shared" si="20"/>
        <v>-4774254.2299999995</v>
      </c>
      <c r="J112" s="30">
        <v>0</v>
      </c>
      <c r="K112" s="115">
        <f t="shared" si="21"/>
        <v>-4774254.2299999995</v>
      </c>
      <c r="M112" s="42"/>
      <c r="N112" s="42"/>
      <c r="O112" s="42"/>
      <c r="S112" s="18"/>
      <c r="T112" s="58"/>
    </row>
    <row r="113" spans="1:21" x14ac:dyDescent="0.2">
      <c r="B113" s="18"/>
      <c r="C113" s="28"/>
      <c r="E113" s="32"/>
      <c r="F113" s="33"/>
      <c r="G113" s="33"/>
      <c r="H113" s="33"/>
      <c r="I113" s="115"/>
      <c r="J113" s="30"/>
      <c r="K113" s="115"/>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6"/>
      <c r="F115" s="36"/>
      <c r="G115" s="150"/>
      <c r="H115" s="150"/>
      <c r="I115" s="116"/>
      <c r="J115" s="36"/>
      <c r="K115" s="116"/>
      <c r="M115" s="42"/>
      <c r="N115" s="42"/>
      <c r="O115" s="42"/>
      <c r="S115" s="18"/>
      <c r="T115" s="58"/>
    </row>
    <row r="116" spans="1:21" x14ac:dyDescent="0.2">
      <c r="B116" s="18"/>
      <c r="C116" s="61"/>
      <c r="D116" s="34"/>
      <c r="E116" s="44">
        <f t="shared" ref="E116:K116" si="22">SUM(E107:E115)</f>
        <v>-8308717.5299999993</v>
      </c>
      <c r="F116" s="33">
        <f t="shared" si="22"/>
        <v>0</v>
      </c>
      <c r="G116" s="33">
        <f t="shared" si="22"/>
        <v>205511.23000000004</v>
      </c>
      <c r="H116" s="33">
        <f t="shared" si="22"/>
        <v>-247484.15000000002</v>
      </c>
      <c r="I116" s="269">
        <f t="shared" si="22"/>
        <v>-8350690.4499999993</v>
      </c>
      <c r="J116" s="33">
        <f t="shared" si="22"/>
        <v>0</v>
      </c>
      <c r="K116" s="269">
        <f t="shared" si="22"/>
        <v>-8350690.4499999993</v>
      </c>
      <c r="L116" s="280" t="s">
        <v>263</v>
      </c>
      <c r="M116" s="42"/>
      <c r="N116" s="42"/>
      <c r="O116" s="42"/>
      <c r="S116" s="18"/>
      <c r="T116" s="58"/>
    </row>
    <row r="117" spans="1:21" hidden="1" x14ac:dyDescent="0.2">
      <c r="B117" s="21" t="s">
        <v>188</v>
      </c>
      <c r="C117" s="61"/>
      <c r="D117" s="34"/>
      <c r="E117" s="33"/>
      <c r="F117" s="33"/>
      <c r="G117" s="144"/>
      <c r="H117" s="144"/>
      <c r="I117" s="115"/>
      <c r="J117" s="33"/>
      <c r="K117" s="115"/>
      <c r="M117" s="42"/>
      <c r="N117" s="42"/>
      <c r="O117" s="42"/>
      <c r="S117" s="18"/>
      <c r="T117" s="58"/>
    </row>
    <row r="118" spans="1:21" hidden="1" x14ac:dyDescent="0.2">
      <c r="A118" s="100" t="s">
        <v>185</v>
      </c>
      <c r="B118" s="18"/>
      <c r="C118" s="28" t="s">
        <v>186</v>
      </c>
      <c r="D118" s="4" t="s">
        <v>213</v>
      </c>
      <c r="E118" s="32">
        <v>0</v>
      </c>
      <c r="F118" s="33">
        <v>0</v>
      </c>
      <c r="G118" s="144">
        <v>0</v>
      </c>
      <c r="H118" s="144">
        <v>0</v>
      </c>
      <c r="I118" s="115">
        <f>E118+F118+G118+H118</f>
        <v>0</v>
      </c>
      <c r="J118" s="33">
        <v>0</v>
      </c>
      <c r="K118" s="115">
        <f>I118+J118</f>
        <v>0</v>
      </c>
      <c r="M118" s="42"/>
      <c r="N118" s="42"/>
      <c r="O118" s="42"/>
      <c r="S118" s="18"/>
      <c r="T118" s="58"/>
    </row>
    <row r="119" spans="1:21" ht="12.75" hidden="1" customHeight="1" x14ac:dyDescent="0.2">
      <c r="A119" s="100" t="s">
        <v>181</v>
      </c>
      <c r="B119" s="18"/>
      <c r="C119" s="28" t="s">
        <v>182</v>
      </c>
      <c r="D119" s="4" t="s">
        <v>213</v>
      </c>
      <c r="E119" s="32">
        <f>VLOOKUP(A119,'[23]DEK Jul 2013'!$A$1:$I$252,9,FALSE)</f>
        <v>0</v>
      </c>
      <c r="F119" s="33">
        <v>0</v>
      </c>
      <c r="G119" s="144">
        <v>0</v>
      </c>
      <c r="H119" s="144">
        <v>0</v>
      </c>
      <c r="I119" s="115">
        <f>E119+F119+G119+H119</f>
        <v>0</v>
      </c>
      <c r="J119" s="30">
        <v>0</v>
      </c>
      <c r="K119" s="115">
        <f>I119+J119</f>
        <v>0</v>
      </c>
      <c r="L119" s="4" t="s">
        <v>22</v>
      </c>
      <c r="M119" s="42"/>
      <c r="N119" s="42"/>
      <c r="O119" s="42"/>
      <c r="S119" s="18">
        <v>253130</v>
      </c>
      <c r="T119" s="58"/>
    </row>
    <row r="120" spans="1:21" hidden="1" x14ac:dyDescent="0.2">
      <c r="B120" s="18"/>
      <c r="C120" s="28"/>
      <c r="E120" s="33"/>
      <c r="F120" s="36"/>
      <c r="G120" s="150"/>
      <c r="H120" s="150"/>
      <c r="I120" s="116"/>
      <c r="J120" s="36"/>
      <c r="K120" s="116"/>
      <c r="M120" s="42"/>
      <c r="N120" s="42"/>
      <c r="O120" s="42"/>
      <c r="S120" s="18"/>
      <c r="T120" s="58"/>
    </row>
    <row r="121" spans="1:21" hidden="1" x14ac:dyDescent="0.2">
      <c r="B121" s="18"/>
      <c r="C121" s="28"/>
      <c r="E121" s="33">
        <f>SUM(E118:E119)</f>
        <v>0</v>
      </c>
      <c r="F121" s="33">
        <f t="shared" ref="F121:L121" si="23">SUM(F118:F119)</f>
        <v>0</v>
      </c>
      <c r="G121" s="144">
        <f t="shared" si="23"/>
        <v>0</v>
      </c>
      <c r="H121" s="144">
        <f t="shared" si="23"/>
        <v>0</v>
      </c>
      <c r="I121" s="128">
        <f>SUM(I118:I119)</f>
        <v>0</v>
      </c>
      <c r="J121" s="33">
        <f t="shared" si="23"/>
        <v>0</v>
      </c>
      <c r="K121" s="128">
        <f t="shared" si="23"/>
        <v>0</v>
      </c>
      <c r="L121" s="33">
        <f t="shared" si="23"/>
        <v>0</v>
      </c>
      <c r="M121" s="42"/>
      <c r="N121" s="42"/>
      <c r="O121" s="42"/>
      <c r="S121" s="18"/>
      <c r="T121" s="58"/>
    </row>
    <row r="122" spans="1:21" hidden="1" x14ac:dyDescent="0.2">
      <c r="B122" s="18"/>
      <c r="C122" s="61"/>
      <c r="D122" s="34"/>
      <c r="E122" s="33"/>
      <c r="F122" s="33"/>
      <c r="G122" s="144"/>
      <c r="H122" s="144"/>
      <c r="I122" s="115"/>
      <c r="J122" s="33"/>
      <c r="K122" s="115"/>
      <c r="M122" s="42"/>
      <c r="N122" s="42"/>
      <c r="O122" s="42"/>
      <c r="S122" s="18"/>
      <c r="T122" s="58"/>
    </row>
    <row r="123" spans="1:21" s="22" customFormat="1" x14ac:dyDescent="0.2">
      <c r="A123" s="101"/>
      <c r="B123" s="21" t="s">
        <v>214</v>
      </c>
      <c r="C123" s="63"/>
      <c r="D123" s="64"/>
      <c r="E123" s="33"/>
      <c r="F123" s="30"/>
      <c r="G123" s="152" t="s">
        <v>187</v>
      </c>
      <c r="H123" s="152"/>
      <c r="I123" s="113"/>
      <c r="J123" s="19"/>
      <c r="K123" s="113"/>
      <c r="M123" s="19"/>
      <c r="N123" s="42"/>
      <c r="O123" s="48"/>
      <c r="T123" s="46"/>
      <c r="U123" s="46"/>
    </row>
    <row r="124" spans="1:21" x14ac:dyDescent="0.2">
      <c r="A124" s="100" t="s">
        <v>162</v>
      </c>
      <c r="B124" s="18"/>
      <c r="C124" s="28" t="s">
        <v>76</v>
      </c>
      <c r="D124" s="4" t="s">
        <v>194</v>
      </c>
      <c r="E124" s="32">
        <f>VLOOKUP(A124,'DEK Q1 2017'!$A$1:$I$252,9,FALSE)</f>
        <v>0</v>
      </c>
      <c r="F124" s="30">
        <v>0</v>
      </c>
      <c r="G124" s="33">
        <v>0</v>
      </c>
      <c r="H124" s="33">
        <v>0</v>
      </c>
      <c r="I124" s="123">
        <f>E124+G124+H124+F124</f>
        <v>0</v>
      </c>
      <c r="J124" s="91">
        <v>0</v>
      </c>
      <c r="K124" s="123">
        <f>I124+J124</f>
        <v>0</v>
      </c>
      <c r="L124" s="259"/>
      <c r="M124" s="67"/>
      <c r="P124" s="51"/>
      <c r="Q124" s="18"/>
      <c r="R124" s="58"/>
      <c r="S124" s="18"/>
    </row>
    <row r="125" spans="1:21" x14ac:dyDescent="0.2">
      <c r="A125" s="100" t="s">
        <v>287</v>
      </c>
      <c r="B125" s="18"/>
      <c r="C125" s="28" t="s">
        <v>286</v>
      </c>
      <c r="D125" s="4" t="s">
        <v>287</v>
      </c>
      <c r="E125" s="35">
        <f>VLOOKUP(A125,'DEK Q1 2017'!$A$1:$I$252,9,FALSE)</f>
        <v>-5397518.7300000004</v>
      </c>
      <c r="F125" s="36">
        <v>0</v>
      </c>
      <c r="G125" s="36">
        <v>50719</v>
      </c>
      <c r="H125" s="36">
        <v>0</v>
      </c>
      <c r="I125" s="267">
        <f>E125+G125+H125+F125</f>
        <v>-5346799.7300000004</v>
      </c>
      <c r="J125" s="266">
        <v>0</v>
      </c>
      <c r="K125" s="267">
        <f>I125+J125</f>
        <v>-5346799.7300000004</v>
      </c>
      <c r="L125" s="210" t="s">
        <v>22</v>
      </c>
      <c r="M125" s="67"/>
      <c r="P125" s="51"/>
      <c r="Q125" s="18"/>
      <c r="R125" s="58"/>
      <c r="S125" s="18"/>
    </row>
    <row r="126" spans="1:21" ht="15" x14ac:dyDescent="0.25">
      <c r="B126" s="18"/>
      <c r="C126" s="28"/>
      <c r="D126" s="65"/>
      <c r="E126" s="234">
        <f>SUM(E124:E125)</f>
        <v>-5397518.7300000004</v>
      </c>
      <c r="F126" s="30"/>
      <c r="G126" s="33">
        <f>SUM(G124:G125)</f>
        <v>50719</v>
      </c>
      <c r="H126" s="33">
        <f>SUM(H124:H125)</f>
        <v>0</v>
      </c>
      <c r="I126" s="271">
        <f>SUM(I124:I125)</f>
        <v>-5346799.7300000004</v>
      </c>
      <c r="J126" s="1"/>
      <c r="K126" s="271">
        <f>SUM(K124:K125)</f>
        <v>-5346799.7300000004</v>
      </c>
      <c r="L126" s="281" t="s">
        <v>264</v>
      </c>
      <c r="M126" s="67"/>
      <c r="P126" s="51"/>
      <c r="Q126" s="18"/>
      <c r="R126" s="58"/>
      <c r="S126" s="18"/>
    </row>
    <row r="127" spans="1:21" x14ac:dyDescent="0.2">
      <c r="B127" s="21" t="s">
        <v>227</v>
      </c>
      <c r="C127" s="28"/>
      <c r="E127" s="83"/>
      <c r="F127" s="30"/>
      <c r="G127" s="152"/>
      <c r="H127" s="30"/>
      <c r="I127" s="115"/>
      <c r="J127" s="30"/>
      <c r="K127" s="115"/>
      <c r="M127" s="20"/>
      <c r="N127" s="42"/>
      <c r="O127" s="42"/>
      <c r="R127" s="58"/>
      <c r="S127" s="18"/>
      <c r="T127" s="58"/>
    </row>
    <row r="128" spans="1:21" x14ac:dyDescent="0.2">
      <c r="A128" s="100" t="s">
        <v>163</v>
      </c>
      <c r="B128" s="18"/>
      <c r="C128" s="28" t="s">
        <v>48</v>
      </c>
      <c r="D128" s="4" t="s">
        <v>195</v>
      </c>
      <c r="E128" s="32">
        <f>VLOOKUP(A128,'DEK Q1 2017'!$A$1:$I$252,9,FALSE)</f>
        <v>-424139</v>
      </c>
      <c r="F128" s="30">
        <v>0</v>
      </c>
      <c r="G128" s="33">
        <v>424139</v>
      </c>
      <c r="H128" s="33">
        <v>0</v>
      </c>
      <c r="I128" s="115">
        <f>E128+F128+G128+H128</f>
        <v>0</v>
      </c>
      <c r="J128" s="30">
        <v>0</v>
      </c>
      <c r="K128" s="115">
        <f t="shared" ref="K128:K130" si="24">I128+J128</f>
        <v>0</v>
      </c>
      <c r="M128" s="62"/>
      <c r="P128" s="51"/>
      <c r="Q128" s="18"/>
      <c r="R128" s="58"/>
      <c r="S128" s="18">
        <v>254998</v>
      </c>
    </row>
    <row r="129" spans="1:23" x14ac:dyDescent="0.2">
      <c r="A129" s="100" t="s">
        <v>179</v>
      </c>
      <c r="B129" s="18"/>
      <c r="C129" s="28" t="s">
        <v>47</v>
      </c>
      <c r="D129" s="4" t="s">
        <v>196</v>
      </c>
      <c r="E129" s="32">
        <f>VLOOKUP(A129,'DEK Q1 2017'!$A$1:$I$252,9,FALSE)</f>
        <v>0</v>
      </c>
      <c r="F129" s="30">
        <v>0</v>
      </c>
      <c r="G129" s="30">
        <v>0</v>
      </c>
      <c r="H129" s="33">
        <v>0</v>
      </c>
      <c r="I129" s="115">
        <f>E129+F129+G129+H129</f>
        <v>0</v>
      </c>
      <c r="J129" s="30">
        <v>0</v>
      </c>
      <c r="K129" s="115">
        <f t="shared" si="24"/>
        <v>0</v>
      </c>
      <c r="M129" s="62"/>
      <c r="P129" s="51"/>
      <c r="Q129" s="18"/>
      <c r="R129" s="58"/>
      <c r="S129" s="18">
        <v>254998</v>
      </c>
      <c r="W129" s="47"/>
    </row>
    <row r="130" spans="1:23" x14ac:dyDescent="0.2">
      <c r="A130" s="100" t="s">
        <v>164</v>
      </c>
      <c r="B130" s="18"/>
      <c r="C130" s="28" t="s">
        <v>75</v>
      </c>
      <c r="D130" s="4" t="s">
        <v>215</v>
      </c>
      <c r="E130" s="32">
        <f>VLOOKUP(A130,'DEK Q1 2017'!$A$1:$I$252,9,FALSE)</f>
        <v>-14568.110000000004</v>
      </c>
      <c r="F130" s="30">
        <v>0</v>
      </c>
      <c r="G130" s="33">
        <v>39.36</v>
      </c>
      <c r="H130" s="33">
        <v>0</v>
      </c>
      <c r="I130" s="117">
        <f>E130+F130+G130+H130</f>
        <v>-14528.750000000004</v>
      </c>
      <c r="J130" s="30">
        <v>0</v>
      </c>
      <c r="K130" s="117">
        <f t="shared" si="24"/>
        <v>-14528.750000000004</v>
      </c>
      <c r="L130" s="230"/>
      <c r="M130" s="62"/>
      <c r="P130" s="51"/>
      <c r="Q130" s="18"/>
      <c r="R130" s="58"/>
      <c r="S130" s="18">
        <v>254210</v>
      </c>
    </row>
    <row r="131" spans="1:23" x14ac:dyDescent="0.2">
      <c r="B131" s="18"/>
      <c r="C131" s="28"/>
      <c r="D131" s="65"/>
      <c r="E131" s="36"/>
      <c r="F131" s="36"/>
      <c r="G131" s="150"/>
      <c r="H131" s="36"/>
      <c r="I131" s="116"/>
      <c r="J131" s="36"/>
      <c r="K131" s="116"/>
      <c r="M131" s="62"/>
      <c r="P131" s="51"/>
      <c r="Q131" s="18"/>
      <c r="R131" s="58"/>
      <c r="S131" s="18"/>
    </row>
    <row r="132" spans="1:23" x14ac:dyDescent="0.2">
      <c r="B132" s="18"/>
      <c r="C132" s="28"/>
      <c r="E132" s="44">
        <f t="shared" ref="E132" si="25">SUM(E128:E131)</f>
        <v>-438707.11</v>
      </c>
      <c r="F132" s="30">
        <f t="shared" ref="F132:K132" si="26">SUM(F128:F131)</f>
        <v>0</v>
      </c>
      <c r="G132" s="30">
        <f t="shared" si="26"/>
        <v>424178.36</v>
      </c>
      <c r="H132" s="30">
        <f t="shared" si="26"/>
        <v>0</v>
      </c>
      <c r="I132" s="270">
        <f t="shared" si="26"/>
        <v>-14528.750000000004</v>
      </c>
      <c r="J132" s="30">
        <f t="shared" si="26"/>
        <v>0</v>
      </c>
      <c r="K132" s="270">
        <f t="shared" si="26"/>
        <v>-14528.750000000004</v>
      </c>
      <c r="L132" s="281" t="s">
        <v>265</v>
      </c>
      <c r="M132" s="20"/>
      <c r="N132" s="42"/>
      <c r="O132" s="42"/>
      <c r="R132" s="58"/>
      <c r="S132" s="18"/>
      <c r="T132" s="58"/>
    </row>
    <row r="133" spans="1:23" x14ac:dyDescent="0.2">
      <c r="B133" s="21" t="s">
        <v>216</v>
      </c>
      <c r="C133" s="28"/>
      <c r="E133" s="33"/>
      <c r="F133" s="30"/>
      <c r="G133" s="152"/>
      <c r="H133" s="152"/>
      <c r="I133" s="115"/>
      <c r="J133" s="30"/>
      <c r="K133" s="115"/>
      <c r="M133" s="20"/>
      <c r="N133" s="42"/>
      <c r="O133" s="42"/>
      <c r="R133" s="58"/>
      <c r="S133" s="18"/>
      <c r="T133" s="58"/>
    </row>
    <row r="134" spans="1:23" x14ac:dyDescent="0.2">
      <c r="A134" s="100" t="s">
        <v>165</v>
      </c>
      <c r="B134" s="18"/>
      <c r="C134" s="28" t="s">
        <v>45</v>
      </c>
      <c r="D134" s="4" t="s">
        <v>197</v>
      </c>
      <c r="E134" s="32">
        <f>VLOOKUP(A134,'DEK Q1 2017'!$A$1:$I$252,9,FALSE)</f>
        <v>-18347887.660000004</v>
      </c>
      <c r="F134" s="30">
        <v>0</v>
      </c>
      <c r="G134" s="30">
        <v>-63119.58</v>
      </c>
      <c r="H134" s="30">
        <v>0</v>
      </c>
      <c r="I134" s="115">
        <f>E134+F134+G134+H134</f>
        <v>-18411007.240000002</v>
      </c>
      <c r="J134" s="30">
        <v>0</v>
      </c>
      <c r="K134" s="115">
        <f t="shared" ref="K134:K140" si="27">I134+J134</f>
        <v>-18411007.240000002</v>
      </c>
      <c r="L134" s="210" t="s">
        <v>241</v>
      </c>
      <c r="M134" s="20"/>
      <c r="N134" s="42"/>
      <c r="O134" s="42"/>
      <c r="Q134" s="285">
        <v>75086</v>
      </c>
      <c r="R134" s="58" t="s">
        <v>44</v>
      </c>
      <c r="S134" s="18">
        <v>108201</v>
      </c>
      <c r="T134" s="58"/>
    </row>
    <row r="135" spans="1:23" x14ac:dyDescent="0.2">
      <c r="A135" s="100" t="s">
        <v>166</v>
      </c>
      <c r="B135" s="18"/>
      <c r="C135" s="28" t="s">
        <v>45</v>
      </c>
      <c r="D135" s="4" t="s">
        <v>198</v>
      </c>
      <c r="E135" s="32">
        <f>VLOOKUP(A135,'DEK Q1 2017'!$A$1:$I$252,9,FALSE)</f>
        <v>-47962357.289999999</v>
      </c>
      <c r="F135" s="30">
        <v>0</v>
      </c>
      <c r="G135" s="30">
        <f>-337300.46+63119.58</f>
        <v>-274180.88</v>
      </c>
      <c r="H135" s="30">
        <v>0</v>
      </c>
      <c r="I135" s="115">
        <f t="shared" ref="I135:I140" si="28">E135+F135+G135+H135</f>
        <v>-48236538.170000002</v>
      </c>
      <c r="J135" s="30">
        <v>0</v>
      </c>
      <c r="K135" s="115">
        <f t="shared" si="27"/>
        <v>-48236538.170000002</v>
      </c>
      <c r="L135" s="210" t="s">
        <v>242</v>
      </c>
      <c r="M135" s="20"/>
      <c r="N135" s="42"/>
      <c r="O135" s="42"/>
      <c r="R135" s="58" t="s">
        <v>44</v>
      </c>
      <c r="S135" s="18">
        <v>108301</v>
      </c>
      <c r="T135" s="58"/>
    </row>
    <row r="136" spans="1:23" x14ac:dyDescent="0.2">
      <c r="A136" s="100" t="s">
        <v>167</v>
      </c>
      <c r="B136" s="18"/>
      <c r="C136" s="28" t="s">
        <v>46</v>
      </c>
      <c r="D136" s="4" t="s">
        <v>199</v>
      </c>
      <c r="E136" s="32">
        <f>VLOOKUP(A136,'DEK Q1 2017'!$A$1:$I$252,9,FALSE)</f>
        <v>13442635.619999997</v>
      </c>
      <c r="F136" s="30">
        <v>0</v>
      </c>
      <c r="G136" s="30">
        <v>-3203456.77</v>
      </c>
      <c r="H136" s="30">
        <v>0</v>
      </c>
      <c r="I136" s="115">
        <f t="shared" si="28"/>
        <v>10239178.849999998</v>
      </c>
      <c r="J136" s="30">
        <v>0</v>
      </c>
      <c r="K136" s="115">
        <f>I136+J136</f>
        <v>10239178.849999998</v>
      </c>
      <c r="L136" s="210" t="s">
        <v>242</v>
      </c>
      <c r="M136" s="20"/>
      <c r="N136" s="42"/>
      <c r="O136" s="42"/>
      <c r="S136" s="18">
        <v>108410</v>
      </c>
      <c r="T136" s="58"/>
    </row>
    <row r="137" spans="1:23" x14ac:dyDescent="0.2">
      <c r="A137" s="100" t="s">
        <v>168</v>
      </c>
      <c r="B137" s="18"/>
      <c r="C137" s="28" t="s">
        <v>74</v>
      </c>
      <c r="D137" s="4" t="s">
        <v>217</v>
      </c>
      <c r="E137" s="32">
        <f>VLOOKUP(A137,'DEK Q1 2017'!$A$1:$I$252,9,FALSE)</f>
        <v>2426781.0299999998</v>
      </c>
      <c r="F137" s="30">
        <v>0</v>
      </c>
      <c r="G137" s="30">
        <v>21613.45</v>
      </c>
      <c r="H137" s="30">
        <v>0</v>
      </c>
      <c r="I137" s="115">
        <f t="shared" si="28"/>
        <v>2448394.48</v>
      </c>
      <c r="J137" s="30">
        <v>0</v>
      </c>
      <c r="K137" s="115">
        <f>I137+J137</f>
        <v>2448394.48</v>
      </c>
      <c r="M137" s="20"/>
      <c r="N137" s="42"/>
      <c r="O137" s="42"/>
      <c r="Q137" s="4" t="s">
        <v>50</v>
      </c>
      <c r="R137" s="4" t="s">
        <v>51</v>
      </c>
      <c r="S137" s="18">
        <v>182303</v>
      </c>
      <c r="T137" s="58"/>
    </row>
    <row r="138" spans="1:23" x14ac:dyDescent="0.2">
      <c r="A138" s="100" t="s">
        <v>169</v>
      </c>
      <c r="B138" s="18"/>
      <c r="C138" s="28" t="s">
        <v>49</v>
      </c>
      <c r="D138" s="4" t="s">
        <v>218</v>
      </c>
      <c r="E138" s="32">
        <f>VLOOKUP(A138,'DEK Q1 2017'!$A$1:$I$252,9,FALSE)</f>
        <v>4711712.2500000028</v>
      </c>
      <c r="F138" s="30">
        <v>0</v>
      </c>
      <c r="G138" s="30">
        <v>29150.63</v>
      </c>
      <c r="H138" s="30">
        <v>0</v>
      </c>
      <c r="I138" s="115">
        <f t="shared" si="28"/>
        <v>4740862.8800000027</v>
      </c>
      <c r="J138" s="30">
        <v>0</v>
      </c>
      <c r="K138" s="115">
        <f t="shared" si="27"/>
        <v>4740862.8800000027</v>
      </c>
      <c r="M138" s="20"/>
      <c r="N138" s="42"/>
      <c r="O138" s="42"/>
      <c r="Q138" s="4" t="s">
        <v>50</v>
      </c>
      <c r="S138" s="18">
        <v>182304</v>
      </c>
      <c r="T138" s="58"/>
    </row>
    <row r="139" spans="1:23" x14ac:dyDescent="0.2">
      <c r="A139" s="100" t="s">
        <v>170</v>
      </c>
      <c r="B139" s="18"/>
      <c r="C139" s="28" t="s">
        <v>42</v>
      </c>
      <c r="D139" s="4" t="s">
        <v>200</v>
      </c>
      <c r="E139" s="32">
        <f>VLOOKUP(A139,'DEK Q1 2017'!$A$1:$I$252,9,FALSE)</f>
        <v>-239274.69000000003</v>
      </c>
      <c r="F139" s="30">
        <v>0</v>
      </c>
      <c r="G139" s="30">
        <v>-6112.76</v>
      </c>
      <c r="H139" s="30">
        <v>0</v>
      </c>
      <c r="I139" s="115">
        <f t="shared" si="28"/>
        <v>-245387.45000000004</v>
      </c>
      <c r="J139" s="30">
        <v>0</v>
      </c>
      <c r="K139" s="115">
        <f t="shared" si="27"/>
        <v>-245387.45000000004</v>
      </c>
      <c r="L139" s="210" t="s">
        <v>241</v>
      </c>
      <c r="M139" s="20"/>
      <c r="N139" s="42"/>
      <c r="O139" s="42"/>
      <c r="R139" s="58" t="s">
        <v>44</v>
      </c>
      <c r="S139" s="18">
        <v>108101</v>
      </c>
      <c r="T139" s="58"/>
    </row>
    <row r="140" spans="1:23" x14ac:dyDescent="0.2">
      <c r="A140" s="100" t="s">
        <v>272</v>
      </c>
      <c r="B140" s="18"/>
      <c r="C140" s="28" t="s">
        <v>271</v>
      </c>
      <c r="D140" s="4" t="s">
        <v>272</v>
      </c>
      <c r="E140" s="32">
        <f>VLOOKUP(A140,'DEK Q1 2017'!$A$1:$I$252,9,FALSE)</f>
        <v>0</v>
      </c>
      <c r="F140" s="30">
        <v>0</v>
      </c>
      <c r="G140" s="30">
        <v>0</v>
      </c>
      <c r="H140" s="30">
        <v>0</v>
      </c>
      <c r="I140" s="115">
        <f t="shared" si="28"/>
        <v>0</v>
      </c>
      <c r="J140" s="30">
        <v>0</v>
      </c>
      <c r="K140" s="115">
        <f t="shared" si="27"/>
        <v>0</v>
      </c>
      <c r="L140" s="210" t="s">
        <v>241</v>
      </c>
      <c r="M140" s="20"/>
      <c r="N140" s="42"/>
      <c r="O140" s="42"/>
      <c r="R140" s="58" t="s">
        <v>44</v>
      </c>
      <c r="S140" s="18">
        <v>108101</v>
      </c>
      <c r="T140" s="58"/>
    </row>
    <row r="141" spans="1:23" x14ac:dyDescent="0.2">
      <c r="B141" s="18"/>
      <c r="C141" s="28"/>
      <c r="E141" s="36"/>
      <c r="F141" s="36"/>
      <c r="G141" s="150"/>
      <c r="H141" s="150"/>
      <c r="I141" s="127"/>
      <c r="J141" s="68"/>
      <c r="K141" s="127"/>
      <c r="M141" s="62"/>
      <c r="P141" s="51"/>
      <c r="Q141" s="18"/>
      <c r="R141" s="58"/>
      <c r="S141" s="18">
        <v>254401</v>
      </c>
    </row>
    <row r="142" spans="1:23" x14ac:dyDescent="0.2">
      <c r="B142" s="18"/>
      <c r="C142" s="28"/>
      <c r="E142" s="44">
        <f t="shared" ref="E142:K142" si="29">SUM(E134:E141)</f>
        <v>-45968390.740000002</v>
      </c>
      <c r="F142" s="33">
        <f t="shared" si="29"/>
        <v>0</v>
      </c>
      <c r="G142" s="33">
        <f t="shared" si="29"/>
        <v>-3496105.9099999997</v>
      </c>
      <c r="H142" s="33">
        <f t="shared" si="29"/>
        <v>0</v>
      </c>
      <c r="I142" s="269">
        <f t="shared" si="29"/>
        <v>-49464496.650000006</v>
      </c>
      <c r="J142" s="33">
        <f t="shared" si="29"/>
        <v>0</v>
      </c>
      <c r="K142" s="269">
        <f t="shared" si="29"/>
        <v>-49464496.650000006</v>
      </c>
      <c r="L142" s="281" t="s">
        <v>266</v>
      </c>
      <c r="M142" s="62"/>
      <c r="P142" s="51"/>
      <c r="Q142" s="18"/>
      <c r="R142" s="58"/>
      <c r="S142" s="18"/>
    </row>
    <row r="143" spans="1:23" ht="15" x14ac:dyDescent="0.25">
      <c r="B143" s="18"/>
      <c r="C143" s="28"/>
      <c r="D143" s="65"/>
      <c r="E143" s="33"/>
      <c r="F143" s="30"/>
      <c r="G143" s="144"/>
      <c r="H143" s="33"/>
      <c r="I143" s="126"/>
      <c r="J143" s="1"/>
      <c r="K143" s="126"/>
      <c r="L143" s="66"/>
      <c r="M143" s="67"/>
      <c r="P143" s="51"/>
      <c r="Q143" s="18"/>
      <c r="R143" s="58"/>
      <c r="S143" s="18"/>
    </row>
    <row r="144" spans="1:23" x14ac:dyDescent="0.2">
      <c r="A144" s="105" t="s">
        <v>55</v>
      </c>
      <c r="B144" s="18"/>
      <c r="C144" s="131" t="s">
        <v>55</v>
      </c>
      <c r="D144" s="132"/>
      <c r="E144" s="133">
        <f>+E116+E126+E132+E142+E121</f>
        <v>-60113334.109999999</v>
      </c>
      <c r="F144" s="133">
        <f t="shared" ref="F144" si="30">+F116+F124+F132+F142+F121</f>
        <v>0</v>
      </c>
      <c r="G144" s="133">
        <f>+G116+G126+G132+G142+G121</f>
        <v>-2815697.3199999994</v>
      </c>
      <c r="H144" s="133">
        <f>+H116+H126+H132+H142+H121</f>
        <v>-247484.15000000002</v>
      </c>
      <c r="I144" s="134">
        <f>+I116+I126+I132+I142+I121</f>
        <v>-63176515.580000006</v>
      </c>
      <c r="J144" s="133">
        <f>+J116+J124+J132+J142+J121</f>
        <v>0</v>
      </c>
      <c r="K144" s="134">
        <f>+K116+K126+K132+K142+K121</f>
        <v>-63176515.580000006</v>
      </c>
      <c r="M144" s="20"/>
      <c r="N144" s="69"/>
      <c r="R144" s="58"/>
      <c r="S144" s="18"/>
    </row>
    <row r="145" spans="1:22" x14ac:dyDescent="0.2">
      <c r="A145" s="105"/>
      <c r="B145" s="18"/>
      <c r="C145" s="18"/>
      <c r="D145" s="12"/>
      <c r="E145" s="221"/>
      <c r="F145" s="50"/>
      <c r="G145" s="145"/>
      <c r="H145" s="50"/>
      <c r="I145" s="122"/>
      <c r="J145" s="50"/>
      <c r="K145" s="122"/>
      <c r="M145" s="45"/>
      <c r="S145" s="18"/>
    </row>
    <row r="146" spans="1:22" x14ac:dyDescent="0.2">
      <c r="A146" s="105" t="s">
        <v>56</v>
      </c>
      <c r="B146" s="18"/>
      <c r="C146" s="18"/>
      <c r="D146" s="136" t="s">
        <v>219</v>
      </c>
      <c r="E146" s="137">
        <f>E144+E104</f>
        <v>39125550.590000018</v>
      </c>
      <c r="F146" s="137">
        <f>F144+F104</f>
        <v>0</v>
      </c>
      <c r="G146" s="137">
        <f>G144+G104</f>
        <v>-602781.3899999992</v>
      </c>
      <c r="H146" s="137">
        <f>H144+H104</f>
        <v>-247484.15000000002</v>
      </c>
      <c r="I146" s="138">
        <f>I104+I144</f>
        <v>38275285.050000004</v>
      </c>
      <c r="J146" s="137">
        <f>J144+J104</f>
        <v>0</v>
      </c>
      <c r="K146" s="138">
        <f>K104+K144</f>
        <v>38275285.050000004</v>
      </c>
      <c r="L146" s="50">
        <v>0</v>
      </c>
      <c r="M146" s="70"/>
      <c r="N146" s="70"/>
      <c r="O146" s="70"/>
      <c r="P146" s="50"/>
      <c r="Q146" s="50"/>
      <c r="R146" s="50"/>
      <c r="S146" s="18"/>
      <c r="T146" s="29">
        <f>+G146+H146+F146</f>
        <v>-850265.53999999922</v>
      </c>
      <c r="U146" s="19">
        <v>13111056.41</v>
      </c>
      <c r="V146" s="29">
        <f>+T146-U146</f>
        <v>-13961321.949999999</v>
      </c>
    </row>
    <row r="147" spans="1:22" hidden="1" x14ac:dyDescent="0.2">
      <c r="A147" s="105"/>
      <c r="B147" s="18"/>
      <c r="C147" s="18"/>
      <c r="D147" s="12"/>
      <c r="E147" s="221"/>
      <c r="F147" s="50"/>
      <c r="G147" s="145"/>
      <c r="H147" s="50"/>
      <c r="I147" s="50"/>
      <c r="J147" s="50"/>
      <c r="K147" s="50"/>
      <c r="M147" s="45"/>
      <c r="S147" s="18"/>
    </row>
    <row r="148" spans="1:22" s="75" customFormat="1" ht="12.75" hidden="1" customHeight="1" x14ac:dyDescent="0.2">
      <c r="A148" s="107" t="s">
        <v>57</v>
      </c>
      <c r="B148" s="71"/>
      <c r="C148" s="18"/>
      <c r="D148" s="140" t="s">
        <v>57</v>
      </c>
      <c r="E148" s="223"/>
      <c r="F148" s="142"/>
      <c r="G148" s="163" t="e">
        <f>-G139-G134-G135-G136-G137-G138-#REF!-G16-G128-G30-G22-G53-G130-G93-G95-G124-G129-G52</f>
        <v>#REF!</v>
      </c>
      <c r="H148" s="139" t="e">
        <f>-H139-H134-H135-H136-H137-H138-#REF!-H16-H128-H30-H22-H53-H130-H93-H95-H124-H129-H52</f>
        <v>#REF!</v>
      </c>
      <c r="I148" s="74"/>
      <c r="J148" s="74"/>
      <c r="K148" s="74"/>
      <c r="M148" s="76"/>
      <c r="N148" s="77"/>
      <c r="O148" s="77"/>
      <c r="S148" s="18"/>
    </row>
    <row r="149" spans="1:22" ht="12.75" customHeight="1" x14ac:dyDescent="0.2">
      <c r="A149" s="107"/>
      <c r="B149" s="18"/>
      <c r="C149" s="18"/>
      <c r="D149" s="72"/>
      <c r="E149" s="224"/>
      <c r="F149" s="50"/>
      <c r="G149" s="185">
        <f>G146+H146</f>
        <v>-850265.53999999922</v>
      </c>
      <c r="H149" s="145"/>
      <c r="I149" s="145"/>
      <c r="J149" s="50"/>
      <c r="K149" s="50"/>
      <c r="M149" s="20"/>
      <c r="S149" s="18"/>
    </row>
    <row r="150" spans="1:22" ht="12.75" customHeight="1" x14ac:dyDescent="0.2">
      <c r="A150" s="107" t="s">
        <v>58</v>
      </c>
      <c r="B150" s="18"/>
      <c r="C150" s="71"/>
      <c r="D150" s="72"/>
      <c r="E150" s="73"/>
      <c r="F150" s="50"/>
      <c r="G150" s="145"/>
      <c r="H150" s="50"/>
      <c r="I150" s="50"/>
      <c r="J150" s="50"/>
      <c r="K150" s="30"/>
      <c r="M150" s="20"/>
      <c r="S150" s="71"/>
    </row>
    <row r="151" spans="1:22" ht="12.75" customHeight="1" x14ac:dyDescent="0.2">
      <c r="A151" s="107"/>
      <c r="B151" s="18"/>
      <c r="C151" s="18"/>
      <c r="D151" s="72"/>
      <c r="E151" s="83"/>
      <c r="F151" s="50"/>
      <c r="G151" s="30"/>
      <c r="H151" s="50"/>
      <c r="I151" s="50"/>
      <c r="J151" s="50"/>
      <c r="K151" s="33"/>
      <c r="M151" s="20"/>
      <c r="S151" s="18"/>
    </row>
    <row r="152" spans="1:22" ht="12.75" customHeight="1" x14ac:dyDescent="0.2">
      <c r="A152" s="107"/>
      <c r="B152" s="18"/>
      <c r="C152" s="18"/>
      <c r="D152" s="72"/>
      <c r="E152" s="83"/>
      <c r="F152" s="50"/>
      <c r="G152" s="30"/>
      <c r="H152" s="50"/>
      <c r="I152" s="50"/>
      <c r="J152" s="50"/>
      <c r="K152" s="33"/>
      <c r="M152" s="20"/>
      <c r="S152" s="18"/>
    </row>
    <row r="153" spans="1:22" ht="12.75" customHeight="1" x14ac:dyDescent="0.2">
      <c r="A153" s="107"/>
      <c r="B153" s="18"/>
      <c r="C153" s="18"/>
      <c r="D153" s="72"/>
      <c r="E153" s="236"/>
      <c r="F153" s="50"/>
      <c r="G153" s="44"/>
      <c r="H153" s="50"/>
      <c r="I153" s="50"/>
      <c r="J153" s="50"/>
      <c r="K153" s="161"/>
      <c r="M153" s="20"/>
      <c r="S153" s="18"/>
    </row>
    <row r="154" spans="1:22" ht="12.75" customHeight="1" x14ac:dyDescent="0.2">
      <c r="A154" s="107"/>
      <c r="B154" s="18"/>
      <c r="C154" s="18"/>
      <c r="D154" s="72"/>
      <c r="E154" s="224"/>
      <c r="F154" s="50"/>
      <c r="G154" s="145"/>
      <c r="H154" s="50"/>
      <c r="I154" s="50"/>
      <c r="J154" s="50"/>
      <c r="K154" s="44"/>
      <c r="M154" s="20"/>
      <c r="S154" s="18"/>
    </row>
    <row r="155" spans="1:22" ht="12.75" customHeight="1" x14ac:dyDescent="0.2">
      <c r="A155" s="107"/>
      <c r="B155" s="18"/>
      <c r="C155" s="18"/>
      <c r="D155" s="264"/>
      <c r="E155" s="73"/>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50"/>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5"/>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hidden="1" customHeight="1" x14ac:dyDescent="0.2">
      <c r="A170" s="107" t="s">
        <v>59</v>
      </c>
      <c r="B170" s="18"/>
      <c r="C170" s="18"/>
      <c r="D170" s="72" t="s">
        <v>59</v>
      </c>
      <c r="E170" s="73"/>
      <c r="F170" s="50"/>
      <c r="G170" s="145" t="e">
        <f>+G146+H146+G148+H148</f>
        <v>#REF!</v>
      </c>
      <c r="H170" s="50"/>
      <c r="I170" s="50"/>
      <c r="J170" s="50"/>
      <c r="K170" s="50"/>
      <c r="M170" s="20"/>
      <c r="S170" s="18"/>
    </row>
    <row r="171" spans="1:19" hidden="1" x14ac:dyDescent="0.2">
      <c r="B171" s="18"/>
      <c r="C171" s="18"/>
      <c r="E171" s="29"/>
      <c r="F171" s="19"/>
      <c r="G171" s="148"/>
      <c r="H171" s="19"/>
      <c r="I171" s="19"/>
      <c r="J171" s="19"/>
      <c r="K171" s="19"/>
      <c r="M171" s="20"/>
      <c r="S171" s="18"/>
    </row>
    <row r="172" spans="1:19" hidden="1" x14ac:dyDescent="0.2">
      <c r="A172" s="109" t="s">
        <v>60</v>
      </c>
      <c r="B172" s="18"/>
      <c r="C172" s="18"/>
      <c r="D172" s="78" t="s">
        <v>60</v>
      </c>
      <c r="E172" s="79"/>
      <c r="F172" s="80"/>
      <c r="G172" s="164"/>
      <c r="H172" s="80"/>
      <c r="I172" s="81"/>
      <c r="J172" s="81"/>
      <c r="K172" s="81"/>
      <c r="M172" s="20"/>
      <c r="S172" s="18"/>
    </row>
    <row r="173" spans="1:19" hidden="1" x14ac:dyDescent="0.2">
      <c r="A173" s="109" t="s">
        <v>138</v>
      </c>
      <c r="B173" s="18"/>
      <c r="C173" s="18"/>
      <c r="D173" s="82" t="s">
        <v>138</v>
      </c>
      <c r="E173" s="32">
        <v>0</v>
      </c>
      <c r="F173" s="32">
        <f>+F100+F101</f>
        <v>0</v>
      </c>
      <c r="G173" s="157"/>
      <c r="H173" s="32">
        <f>+H100+H101</f>
        <v>0</v>
      </c>
      <c r="I173" s="84">
        <f>+I100+I101</f>
        <v>0</v>
      </c>
      <c r="J173" s="84">
        <f>+J100+J101</f>
        <v>0</v>
      </c>
      <c r="K173" s="84">
        <f>+K100+K101</f>
        <v>0</v>
      </c>
      <c r="M173" s="20"/>
      <c r="S173" s="18"/>
    </row>
    <row r="174" spans="1:19" hidden="1" x14ac:dyDescent="0.2">
      <c r="A174" s="109" t="s">
        <v>140</v>
      </c>
      <c r="B174" s="18"/>
      <c r="C174" s="18"/>
      <c r="D174" s="82" t="s">
        <v>140</v>
      </c>
      <c r="E174" s="83">
        <f>+E12</f>
        <v>-1.1641532182693481E-9</v>
      </c>
      <c r="F174" s="32">
        <f>+F101+F102</f>
        <v>0</v>
      </c>
      <c r="G174" s="165"/>
      <c r="H174" s="83"/>
      <c r="I174" s="84">
        <f>+I12</f>
        <v>-1.1641532182693481E-9</v>
      </c>
      <c r="J174" s="84">
        <f>+J12</f>
        <v>0</v>
      </c>
      <c r="K174" s="84">
        <f>+K12</f>
        <v>-1.1641532182693481E-9</v>
      </c>
      <c r="M174" s="20"/>
      <c r="S174" s="18"/>
    </row>
    <row r="175" spans="1:19" hidden="1" x14ac:dyDescent="0.2">
      <c r="A175" s="109" t="s">
        <v>142</v>
      </c>
      <c r="B175" s="18"/>
      <c r="C175" s="18"/>
      <c r="D175" s="82" t="s">
        <v>142</v>
      </c>
      <c r="E175" s="83">
        <f>+E19</f>
        <v>1996956.81</v>
      </c>
      <c r="F175" s="32">
        <f t="shared" ref="F175:F180" si="31">+F102+F103</f>
        <v>0</v>
      </c>
      <c r="G175" s="165"/>
      <c r="H175" s="83"/>
      <c r="I175" s="84">
        <f>+I19</f>
        <v>1996956.81</v>
      </c>
      <c r="J175" s="84">
        <f>+J19</f>
        <v>1198291.6399999999</v>
      </c>
      <c r="K175" s="84">
        <f>+K19</f>
        <v>3195248.45</v>
      </c>
      <c r="M175" s="20"/>
      <c r="S175" s="18"/>
    </row>
    <row r="176" spans="1:19" hidden="1" x14ac:dyDescent="0.2">
      <c r="A176" s="109" t="s">
        <v>141</v>
      </c>
      <c r="B176" s="18"/>
      <c r="C176" s="18"/>
      <c r="D176" s="82" t="s">
        <v>141</v>
      </c>
      <c r="E176" s="83">
        <f>+E24</f>
        <v>1388287.2900000012</v>
      </c>
      <c r="F176" s="32">
        <f t="shared" si="31"/>
        <v>0</v>
      </c>
      <c r="G176" s="165"/>
      <c r="H176" s="83"/>
      <c r="I176" s="84">
        <f>+I24</f>
        <v>1366081.1100000013</v>
      </c>
      <c r="J176" s="84">
        <f>+J24</f>
        <v>-266474.03999999998</v>
      </c>
      <c r="K176" s="84">
        <f>+K24</f>
        <v>1099607.0700000012</v>
      </c>
      <c r="M176" s="20"/>
      <c r="S176" s="18"/>
    </row>
    <row r="177" spans="1:19" hidden="1" x14ac:dyDescent="0.2">
      <c r="A177" s="109" t="s">
        <v>61</v>
      </c>
      <c r="B177" s="18"/>
      <c r="C177" s="18"/>
      <c r="D177" s="82" t="s">
        <v>61</v>
      </c>
      <c r="E177" s="32">
        <f>+E30</f>
        <v>2231675.2000000002</v>
      </c>
      <c r="F177" s="32">
        <f t="shared" si="31"/>
        <v>0</v>
      </c>
      <c r="G177" s="157"/>
      <c r="H177" s="32"/>
      <c r="I177" s="84">
        <f>+I30</f>
        <v>1807536.2000000002</v>
      </c>
      <c r="J177" s="84">
        <f>+J30</f>
        <v>0</v>
      </c>
      <c r="K177" s="84">
        <f>+K30</f>
        <v>1807536.2000000002</v>
      </c>
      <c r="M177" s="20"/>
      <c r="S177" s="18"/>
    </row>
    <row r="178" spans="1:19" hidden="1" x14ac:dyDescent="0.2">
      <c r="A178" s="109" t="s">
        <v>143</v>
      </c>
      <c r="B178" s="18"/>
      <c r="C178" s="18"/>
      <c r="D178" s="82" t="s">
        <v>143</v>
      </c>
      <c r="E178" s="32">
        <f>+E83</f>
        <v>49947329.160000004</v>
      </c>
      <c r="F178" s="32">
        <f t="shared" si="31"/>
        <v>0</v>
      </c>
      <c r="G178" s="157"/>
      <c r="H178" s="32"/>
      <c r="I178" s="84">
        <f>+I83</f>
        <v>52470038.910000004</v>
      </c>
      <c r="J178" s="84">
        <f>+J83</f>
        <v>-931817.6</v>
      </c>
      <c r="K178" s="84">
        <f>+K83</f>
        <v>51538221.310000002</v>
      </c>
      <c r="M178" s="20"/>
      <c r="S178" s="18"/>
    </row>
    <row r="179" spans="1:19" hidden="1" x14ac:dyDescent="0.2">
      <c r="A179" s="109" t="s">
        <v>151</v>
      </c>
      <c r="B179" s="18"/>
      <c r="C179" s="18"/>
      <c r="D179" s="82" t="s">
        <v>151</v>
      </c>
      <c r="E179" s="32">
        <f>+E98</f>
        <v>31094134.040000003</v>
      </c>
      <c r="F179" s="32">
        <f t="shared" si="31"/>
        <v>0</v>
      </c>
      <c r="G179" s="157"/>
      <c r="H179" s="32"/>
      <c r="I179" s="84">
        <f>+I98</f>
        <v>30918925.040000003</v>
      </c>
      <c r="J179" s="84">
        <f>+J98</f>
        <v>0</v>
      </c>
      <c r="K179" s="84">
        <f>+K98</f>
        <v>30918925.040000003</v>
      </c>
      <c r="M179" s="20"/>
      <c r="S179" s="18"/>
    </row>
    <row r="180" spans="1:19" hidden="1" x14ac:dyDescent="0.2">
      <c r="A180" s="109" t="s">
        <v>62</v>
      </c>
      <c r="B180" s="18"/>
      <c r="C180" s="18"/>
      <c r="D180" s="82" t="s">
        <v>62</v>
      </c>
      <c r="E180" s="32">
        <v>0</v>
      </c>
      <c r="F180" s="32">
        <f t="shared" si="31"/>
        <v>0</v>
      </c>
      <c r="G180" s="157"/>
      <c r="H180" s="32"/>
      <c r="I180" s="84">
        <v>0</v>
      </c>
      <c r="J180" s="84">
        <v>0</v>
      </c>
      <c r="K180" s="84">
        <v>0</v>
      </c>
      <c r="M180" s="20"/>
      <c r="S180" s="18"/>
    </row>
    <row r="181" spans="1:19" hidden="1" x14ac:dyDescent="0.2">
      <c r="A181" s="109" t="s">
        <v>152</v>
      </c>
      <c r="B181" s="18"/>
      <c r="C181" s="18"/>
      <c r="D181" s="82" t="s">
        <v>152</v>
      </c>
      <c r="E181" s="32">
        <f>+E116</f>
        <v>-8308717.5299999993</v>
      </c>
      <c r="F181" s="32" t="e">
        <f>+F108+#REF!</f>
        <v>#REF!</v>
      </c>
      <c r="G181" s="157"/>
      <c r="H181" s="32"/>
      <c r="I181" s="84">
        <f>+I116</f>
        <v>-8350690.4499999993</v>
      </c>
      <c r="J181" s="84">
        <f>+J116</f>
        <v>0</v>
      </c>
      <c r="K181" s="84">
        <f>+K116</f>
        <v>-8350690.4499999993</v>
      </c>
      <c r="M181" s="20"/>
      <c r="S181" s="18"/>
    </row>
    <row r="182" spans="1:19" hidden="1" x14ac:dyDescent="0.2">
      <c r="A182" s="109"/>
      <c r="B182" s="18"/>
      <c r="C182" s="18"/>
      <c r="D182" s="82" t="s">
        <v>189</v>
      </c>
      <c r="E182" s="32">
        <f>E121</f>
        <v>0</v>
      </c>
      <c r="F182" s="32"/>
      <c r="G182" s="157"/>
      <c r="H182" s="32"/>
      <c r="I182" s="84">
        <f>I121</f>
        <v>0</v>
      </c>
      <c r="J182" s="84">
        <f>J121</f>
        <v>0</v>
      </c>
      <c r="K182" s="84">
        <f>K121</f>
        <v>0</v>
      </c>
      <c r="M182" s="20"/>
      <c r="S182" s="18"/>
    </row>
    <row r="183" spans="1:19" hidden="1" x14ac:dyDescent="0.2">
      <c r="A183" s="109" t="s">
        <v>154</v>
      </c>
      <c r="B183" s="18"/>
      <c r="C183" s="18"/>
      <c r="D183" s="82" t="s">
        <v>154</v>
      </c>
      <c r="E183" s="32">
        <f>+E124</f>
        <v>0</v>
      </c>
      <c r="F183" s="32" t="e">
        <f>+#REF!+#REF!</f>
        <v>#REF!</v>
      </c>
      <c r="G183" s="157"/>
      <c r="H183" s="32"/>
      <c r="I183" s="84">
        <f>+I124</f>
        <v>0</v>
      </c>
      <c r="J183" s="84">
        <f>+J124</f>
        <v>0</v>
      </c>
      <c r="K183" s="84">
        <f>+K124</f>
        <v>0</v>
      </c>
      <c r="M183" s="20"/>
      <c r="S183" s="18"/>
    </row>
    <row r="184" spans="1:19" hidden="1" x14ac:dyDescent="0.2">
      <c r="A184" s="109" t="s">
        <v>153</v>
      </c>
      <c r="B184" s="18"/>
      <c r="C184" s="18"/>
      <c r="D184" s="82" t="s">
        <v>153</v>
      </c>
      <c r="E184" s="32">
        <f>+E132</f>
        <v>-438707.11</v>
      </c>
      <c r="F184" s="32" t="e">
        <f>+#REF!+F109</f>
        <v>#REF!</v>
      </c>
      <c r="G184" s="157"/>
      <c r="H184" s="32"/>
      <c r="I184" s="84">
        <f>+I132</f>
        <v>-14528.750000000004</v>
      </c>
      <c r="J184" s="84">
        <f>+J132</f>
        <v>0</v>
      </c>
      <c r="K184" s="84">
        <f>+K132</f>
        <v>-14528.750000000004</v>
      </c>
      <c r="M184" s="20"/>
      <c r="S184" s="18"/>
    </row>
    <row r="185" spans="1:19" hidden="1" x14ac:dyDescent="0.2">
      <c r="A185" s="109" t="s">
        <v>155</v>
      </c>
      <c r="B185" s="18"/>
      <c r="C185" s="18"/>
      <c r="D185" s="82" t="s">
        <v>155</v>
      </c>
      <c r="E185" s="32">
        <f>+E142</f>
        <v>-45968390.740000002</v>
      </c>
      <c r="F185" s="32">
        <f t="shared" ref="F185" si="32">+F109+F110</f>
        <v>0</v>
      </c>
      <c r="G185" s="157"/>
      <c r="H185" s="32"/>
      <c r="I185" s="84">
        <f>+I142</f>
        <v>-49464496.650000006</v>
      </c>
      <c r="J185" s="84">
        <f>+J142</f>
        <v>0</v>
      </c>
      <c r="K185" s="84">
        <f>+K142</f>
        <v>-49464496.650000006</v>
      </c>
      <c r="M185" s="20"/>
      <c r="S185" s="18"/>
    </row>
    <row r="186" spans="1:19" hidden="1" x14ac:dyDescent="0.2">
      <c r="A186" s="109"/>
      <c r="B186" s="18"/>
      <c r="C186" s="18"/>
      <c r="D186" s="85"/>
      <c r="E186" s="83"/>
      <c r="F186" s="83"/>
      <c r="G186" s="165"/>
      <c r="H186" s="83"/>
      <c r="I186" s="86"/>
      <c r="J186" s="86"/>
      <c r="K186" s="86"/>
      <c r="M186" s="20"/>
      <c r="S186" s="18"/>
    </row>
    <row r="187" spans="1:19" hidden="1" x14ac:dyDescent="0.2">
      <c r="A187" s="109" t="s">
        <v>121</v>
      </c>
      <c r="B187" s="18"/>
      <c r="C187" s="18"/>
      <c r="D187" s="87" t="s">
        <v>121</v>
      </c>
      <c r="E187" s="88">
        <f>SUM(E173:E186)</f>
        <v>31942567.120000012</v>
      </c>
      <c r="F187" s="88" t="e">
        <f>SUM(F177:F186)</f>
        <v>#REF!</v>
      </c>
      <c r="G187" s="166"/>
      <c r="H187" s="88"/>
      <c r="I187" s="89">
        <f>SUM(I173:I186)</f>
        <v>30729822.219999999</v>
      </c>
      <c r="J187" s="89">
        <f>SUM(J173:J186)</f>
        <v>-1.1641532182693481E-10</v>
      </c>
      <c r="K187" s="89">
        <f>SUM(K173:K186)</f>
        <v>30729822.219999999</v>
      </c>
      <c r="M187" s="20"/>
      <c r="S187" s="18"/>
    </row>
    <row r="188" spans="1:19" hidden="1" x14ac:dyDescent="0.2">
      <c r="B188" s="18"/>
      <c r="C188" s="18"/>
      <c r="F188" s="19"/>
      <c r="G188" s="148"/>
      <c r="H188" s="19"/>
      <c r="I188" s="19"/>
      <c r="J188" s="19"/>
      <c r="K188" s="19"/>
      <c r="M188" s="20"/>
      <c r="S188" s="18"/>
    </row>
    <row r="189" spans="1:19" hidden="1" x14ac:dyDescent="0.2">
      <c r="B189" s="18"/>
      <c r="C189" s="18"/>
      <c r="E189" s="19">
        <f>+E187-E146</f>
        <v>-7182983.4700000063</v>
      </c>
      <c r="F189" s="19"/>
      <c r="G189" s="148"/>
      <c r="H189" s="19"/>
      <c r="I189" s="19">
        <f>+I187-I146</f>
        <v>-7545462.8300000057</v>
      </c>
      <c r="J189" s="19">
        <f>+J187-J146</f>
        <v>-1.1641532182693481E-10</v>
      </c>
      <c r="K189" s="19">
        <f>+K187-K146</f>
        <v>-7545462.8300000057</v>
      </c>
      <c r="M189" s="20"/>
      <c r="S189" s="18"/>
    </row>
    <row r="190" spans="1:19" hidden="1" x14ac:dyDescent="0.2">
      <c r="B190" s="18"/>
      <c r="C190" s="18"/>
      <c r="F190" s="19"/>
      <c r="G190" s="148"/>
      <c r="H190" s="19"/>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A193" s="100" t="s">
        <v>63</v>
      </c>
      <c r="B193" s="18"/>
      <c r="C193" s="18"/>
      <c r="D193" s="4" t="s">
        <v>63</v>
      </c>
      <c r="F193" s="19"/>
      <c r="G193" s="148">
        <f>+G34+G42+G44+G46+G48+G90+G57+G59+G15+G50+G66+G55+G65</f>
        <v>-5273</v>
      </c>
      <c r="H193" s="19">
        <f>+H34+H52+H42+H44+H46+H48+H90+H57+H59+H15+H50+H66+H55</f>
        <v>0</v>
      </c>
      <c r="I193" s="19"/>
      <c r="J193" s="19"/>
      <c r="K193" s="19"/>
      <c r="M193" s="20"/>
      <c r="S193" s="18"/>
    </row>
    <row r="194" spans="1:19" hidden="1" x14ac:dyDescent="0.2">
      <c r="A194" s="100" t="s">
        <v>64</v>
      </c>
      <c r="B194" s="18"/>
      <c r="C194" s="18"/>
      <c r="D194" s="34" t="s">
        <v>64</v>
      </c>
      <c r="F194" s="19"/>
      <c r="G194" s="148">
        <f>+G9+G100+G10</f>
        <v>0</v>
      </c>
      <c r="H194" s="19">
        <f>+H9+H100+H10</f>
        <v>0</v>
      </c>
      <c r="I194" s="19"/>
      <c r="J194" s="19"/>
      <c r="K194" s="19"/>
      <c r="M194" s="20"/>
      <c r="S194" s="18"/>
    </row>
    <row r="195" spans="1:19" hidden="1" x14ac:dyDescent="0.2">
      <c r="A195" s="100" t="s">
        <v>65</v>
      </c>
      <c r="B195" s="18"/>
      <c r="C195" s="18"/>
      <c r="D195" s="34" t="s">
        <v>65</v>
      </c>
      <c r="F195" s="19"/>
      <c r="G195" s="148">
        <f>+G108+G109+G110+G111+G107+G112</f>
        <v>205511.23000000004</v>
      </c>
      <c r="H195" s="19">
        <f>+H108+H109+H110+H111+H107</f>
        <v>-247484.15000000002</v>
      </c>
      <c r="I195" s="19"/>
      <c r="J195" s="19"/>
      <c r="K195" s="19"/>
      <c r="M195" s="20"/>
      <c r="S195" s="18"/>
    </row>
    <row r="196" spans="1:19" hidden="1" x14ac:dyDescent="0.2">
      <c r="B196" s="18"/>
      <c r="C196" s="18"/>
      <c r="F196" s="19"/>
      <c r="G196" s="148"/>
      <c r="H196" s="19"/>
      <c r="I196" s="19"/>
      <c r="J196" s="19"/>
      <c r="K196" s="19"/>
      <c r="M196" s="20"/>
      <c r="S196" s="18"/>
    </row>
    <row r="197" spans="1:19" hidden="1" x14ac:dyDescent="0.2">
      <c r="B197" s="18"/>
      <c r="C197" s="18"/>
      <c r="F197" s="19"/>
      <c r="G197" s="167">
        <f>+G193+G194+G195-G150</f>
        <v>200238.23000000004</v>
      </c>
      <c r="H197" s="110">
        <f>+H193+H194+H195-H150</f>
        <v>-247484.15000000002</v>
      </c>
      <c r="I197" s="19"/>
      <c r="J197" s="19"/>
      <c r="K197" s="19"/>
      <c r="M197" s="20"/>
      <c r="S197" s="18"/>
    </row>
    <row r="198" spans="1:19" hidden="1" x14ac:dyDescent="0.2">
      <c r="B198" s="18"/>
      <c r="C198" s="18"/>
      <c r="F198" s="19"/>
      <c r="H198" s="29">
        <f>+H194+H195+H193+G193+G194+G195</f>
        <v>-47245.919999999984</v>
      </c>
      <c r="I198" s="19"/>
      <c r="J198" s="19"/>
      <c r="K198" s="19"/>
      <c r="M198" s="20"/>
      <c r="S198" s="18"/>
    </row>
    <row r="199" spans="1:19" hidden="1" x14ac:dyDescent="0.2">
      <c r="B199" s="18"/>
      <c r="C199" s="18"/>
      <c r="F199" s="19"/>
      <c r="G199" s="148"/>
      <c r="H199" s="29">
        <f>+H198-G150-H150</f>
        <v>-47245.919999999984</v>
      </c>
      <c r="I199" s="19"/>
      <c r="J199" s="19"/>
      <c r="K199" s="19"/>
      <c r="M199" s="20"/>
      <c r="S199" s="18"/>
    </row>
    <row r="200" spans="1:19" x14ac:dyDescent="0.2">
      <c r="B200" s="18"/>
      <c r="C200" s="18"/>
      <c r="F200" s="19"/>
      <c r="G200" s="148"/>
      <c r="H200" s="19"/>
      <c r="I200" s="19"/>
      <c r="J200" s="19"/>
      <c r="K200" s="19"/>
      <c r="M200" s="20"/>
      <c r="S200" s="18"/>
    </row>
    <row r="201" spans="1:19" ht="12.75" hidden="1" customHeight="1" x14ac:dyDescent="0.2">
      <c r="B201" s="18"/>
      <c r="C201" s="18"/>
      <c r="F201" s="19"/>
      <c r="G201" s="148"/>
      <c r="H201" s="19"/>
      <c r="I201" s="19"/>
      <c r="J201" s="19"/>
      <c r="K201" s="19"/>
      <c r="M201" s="20"/>
      <c r="S201" s="18"/>
    </row>
    <row r="202" spans="1:19" ht="12.75" hidden="1" customHeight="1" x14ac:dyDescent="0.2">
      <c r="A202" s="101" t="s">
        <v>144</v>
      </c>
      <c r="B202" s="18"/>
      <c r="C202" s="18"/>
      <c r="D202" s="22" t="s">
        <v>144</v>
      </c>
      <c r="E202" s="4" t="s">
        <v>121</v>
      </c>
      <c r="F202" s="19" t="s">
        <v>147</v>
      </c>
      <c r="G202" s="148" t="s">
        <v>148</v>
      </c>
      <c r="H202" s="19"/>
      <c r="I202" s="19"/>
      <c r="J202" s="19"/>
      <c r="K202" s="19"/>
      <c r="M202" s="20"/>
      <c r="S202" s="18"/>
    </row>
    <row r="203" spans="1:19" ht="12.75" hidden="1" customHeight="1" x14ac:dyDescent="0.2">
      <c r="A203" s="101" t="s">
        <v>145</v>
      </c>
      <c r="B203" s="18"/>
      <c r="C203" s="18"/>
      <c r="D203" s="22" t="s">
        <v>145</v>
      </c>
      <c r="E203" s="19">
        <v>19066028.010000002</v>
      </c>
      <c r="F203" s="19">
        <v>62319564.710000008</v>
      </c>
      <c r="G203" s="148">
        <v>-43253536.700000003</v>
      </c>
      <c r="H203" s="19"/>
      <c r="I203" s="19"/>
      <c r="J203" s="19"/>
      <c r="K203" s="19"/>
      <c r="M203" s="20"/>
      <c r="S203" s="18"/>
    </row>
    <row r="204" spans="1:19" ht="12.75" hidden="1" customHeight="1" x14ac:dyDescent="0.2">
      <c r="A204" s="101" t="s">
        <v>146</v>
      </c>
      <c r="B204" s="18"/>
      <c r="C204" s="18"/>
      <c r="D204" s="22" t="s">
        <v>146</v>
      </c>
      <c r="F204" s="19"/>
      <c r="G204" s="148"/>
      <c r="H204" s="19"/>
      <c r="I204" s="19"/>
      <c r="J204" s="19"/>
      <c r="K204" s="19"/>
      <c r="M204" s="20"/>
      <c r="S204" s="18"/>
    </row>
    <row r="205" spans="1:19" ht="12.75" hidden="1" customHeight="1" x14ac:dyDescent="0.2">
      <c r="A205" s="100" t="s">
        <v>149</v>
      </c>
      <c r="B205" s="18"/>
      <c r="C205" s="18"/>
      <c r="D205" s="4" t="s">
        <v>149</v>
      </c>
      <c r="E205" s="29">
        <f>SUM(F205:G205)</f>
        <v>905563</v>
      </c>
      <c r="F205" s="19">
        <v>905563</v>
      </c>
      <c r="G205" s="148"/>
      <c r="H205" s="19"/>
      <c r="I205" s="19"/>
      <c r="J205" s="19"/>
      <c r="K205" s="19"/>
      <c r="M205" s="20"/>
      <c r="S205" s="18"/>
    </row>
    <row r="206" spans="1:19" ht="12.75" hidden="1" customHeight="1" x14ac:dyDescent="0.2">
      <c r="A206" s="100" t="s">
        <v>150</v>
      </c>
      <c r="B206" s="18"/>
      <c r="C206" s="18"/>
      <c r="D206" s="4" t="s">
        <v>150</v>
      </c>
      <c r="E206" s="29">
        <f>SUM(F206:G206)</f>
        <v>-905563</v>
      </c>
      <c r="G206" s="148">
        <v>-905563</v>
      </c>
      <c r="H206" s="19"/>
      <c r="I206" s="19"/>
      <c r="J206" s="19"/>
      <c r="K206" s="19"/>
      <c r="M206" s="20"/>
      <c r="S206" s="18"/>
    </row>
    <row r="207" spans="1:19" ht="12.75" hidden="1" customHeight="1" x14ac:dyDescent="0.2">
      <c r="B207" s="18"/>
      <c r="C207" s="18"/>
      <c r="F207" s="19"/>
      <c r="G207" s="148"/>
      <c r="H207" s="19"/>
      <c r="I207" s="19"/>
      <c r="J207" s="19"/>
      <c r="K207" s="19"/>
      <c r="M207" s="20"/>
      <c r="S207" s="18"/>
    </row>
    <row r="208" spans="1:19" ht="12.75" hidden="1" customHeight="1" x14ac:dyDescent="0.2">
      <c r="B208" s="18"/>
      <c r="C208" s="18"/>
      <c r="E208" s="94"/>
      <c r="F208" s="95"/>
      <c r="G208" s="169"/>
      <c r="H208" s="19"/>
      <c r="I208" s="19"/>
      <c r="J208" s="19"/>
      <c r="K208" s="19"/>
      <c r="M208" s="20"/>
      <c r="S208" s="18"/>
    </row>
    <row r="209" spans="1:19" ht="12.75" hidden="1" customHeight="1" x14ac:dyDescent="0.2">
      <c r="B209" s="18"/>
      <c r="C209" s="18"/>
      <c r="E209" s="29">
        <f>SUM(E203:E208)</f>
        <v>19066028.010000002</v>
      </c>
      <c r="F209" s="29">
        <f>SUM(F203:F208)</f>
        <v>63225127.710000008</v>
      </c>
      <c r="G209" s="151">
        <f>SUM(G203:G208)</f>
        <v>-44159099.700000003</v>
      </c>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83"/>
      <c r="F211" s="19"/>
      <c r="G211" s="232"/>
      <c r="H211" s="19"/>
      <c r="I211" s="19"/>
      <c r="J211" s="19"/>
      <c r="K211" s="19"/>
      <c r="M211" s="20"/>
      <c r="S211" s="18"/>
    </row>
    <row r="212" spans="1:19" x14ac:dyDescent="0.2">
      <c r="B212" s="18"/>
      <c r="C212" s="18"/>
      <c r="E212" s="83"/>
      <c r="F212" s="19"/>
      <c r="G212" s="148"/>
      <c r="H212" s="19"/>
      <c r="I212" s="19"/>
      <c r="J212" s="19"/>
      <c r="K212" s="19"/>
      <c r="M212" s="20"/>
      <c r="S212" s="18"/>
    </row>
    <row r="213" spans="1:19" x14ac:dyDescent="0.2">
      <c r="B213" s="18"/>
      <c r="C213" s="18"/>
      <c r="E213" s="234"/>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x14ac:dyDescent="0.2">
      <c r="H329" s="19"/>
    </row>
  </sheetData>
  <mergeCells count="1">
    <mergeCell ref="Q5:R5"/>
  </mergeCells>
  <conditionalFormatting sqref="H197 G199">
    <cfRule type="cellIs" dxfId="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9"/>
  <sheetViews>
    <sheetView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6" t="s">
        <v>66</v>
      </c>
    </row>
    <row r="4" spans="1:22" x14ac:dyDescent="0.2">
      <c r="A4" s="99"/>
      <c r="B4" s="7"/>
      <c r="C4" s="3"/>
      <c r="D4" s="3"/>
      <c r="E4" s="212"/>
      <c r="F4" s="8"/>
      <c r="G4" s="215"/>
      <c r="H4" s="216"/>
      <c r="I4" s="202"/>
      <c r="J4" s="202"/>
      <c r="K4" s="202"/>
      <c r="M4" s="10"/>
      <c r="P4" s="286" t="s">
        <v>1</v>
      </c>
    </row>
    <row r="5" spans="1:22" x14ac:dyDescent="0.2">
      <c r="E5" s="217" t="s">
        <v>208</v>
      </c>
      <c r="F5" s="286" t="s">
        <v>3</v>
      </c>
      <c r="G5" s="286" t="s">
        <v>4</v>
      </c>
      <c r="H5" s="286"/>
      <c r="I5" s="204" t="s">
        <v>208</v>
      </c>
      <c r="J5" s="261" t="s">
        <v>180</v>
      </c>
      <c r="K5" s="204" t="s">
        <v>209</v>
      </c>
      <c r="L5" s="286" t="s">
        <v>5</v>
      </c>
      <c r="M5" s="11" t="s">
        <v>6</v>
      </c>
      <c r="N5" s="11" t="s">
        <v>0</v>
      </c>
      <c r="O5" s="11" t="s">
        <v>8</v>
      </c>
      <c r="P5" s="286" t="s">
        <v>9</v>
      </c>
      <c r="Q5" s="576" t="s">
        <v>10</v>
      </c>
      <c r="R5" s="576"/>
      <c r="U5" s="12" t="s">
        <v>11</v>
      </c>
    </row>
    <row r="6" spans="1:22" x14ac:dyDescent="0.2">
      <c r="E6" s="218">
        <v>42855</v>
      </c>
      <c r="F6" s="13" t="s">
        <v>12</v>
      </c>
      <c r="G6" s="14" t="s">
        <v>13</v>
      </c>
      <c r="H6" s="14" t="s">
        <v>8</v>
      </c>
      <c r="I6" s="205">
        <v>42886</v>
      </c>
      <c r="J6" s="261" t="s">
        <v>210</v>
      </c>
      <c r="K6" s="205">
        <f>I6</f>
        <v>42886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Apr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Apr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Apr 2017'!$A$1:$I$251,9,FALSE)</f>
        <v>648693.81000000006</v>
      </c>
      <c r="F15" s="30">
        <v>0</v>
      </c>
      <c r="G15" s="33">
        <v>0</v>
      </c>
      <c r="H15" s="30">
        <v>0</v>
      </c>
      <c r="I15" s="115">
        <f>E15+F15+G15+H15</f>
        <v>648693.81000000006</v>
      </c>
      <c r="J15" s="30">
        <v>0</v>
      </c>
      <c r="K15" s="115">
        <f>I15+J15</f>
        <v>648693.81000000006</v>
      </c>
      <c r="L15" s="210" t="s">
        <v>22</v>
      </c>
      <c r="M15" s="20"/>
      <c r="S15" s="18"/>
    </row>
    <row r="16" spans="1:22" x14ac:dyDescent="0.2">
      <c r="A16" s="100" t="s">
        <v>157</v>
      </c>
      <c r="B16" s="28"/>
      <c r="C16" s="28" t="s">
        <v>37</v>
      </c>
      <c r="D16" s="4" t="s">
        <v>192</v>
      </c>
      <c r="E16" s="32">
        <f>VLOOKUP(A16,'DEK Apr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Apr 2017'!$A$1:$I$251,9,FALSE)</f>
        <v>0</v>
      </c>
      <c r="F17" s="30">
        <v>0</v>
      </c>
      <c r="G17" s="33">
        <v>0</v>
      </c>
      <c r="H17" s="33">
        <v>0</v>
      </c>
      <c r="I17" s="115">
        <f>E17+F17+G17+H17</f>
        <v>0</v>
      </c>
      <c r="J17" s="268">
        <v>1198291.6399999999</v>
      </c>
      <c r="K17" s="115">
        <f t="shared" ref="K17" si="1">I17+J17</f>
        <v>1198291.6399999999</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0</v>
      </c>
      <c r="H19" s="29">
        <f t="shared" si="2"/>
        <v>0</v>
      </c>
      <c r="I19" s="269">
        <f t="shared" si="2"/>
        <v>1996956.81</v>
      </c>
      <c r="J19" s="49">
        <f t="shared" si="2"/>
        <v>1198291.6399999999</v>
      </c>
      <c r="K19" s="269">
        <f>SUM(K15:K18)</f>
        <v>3195248.45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Apr 2017'!$A$1:$I$251,9,FALSE)</f>
        <v>1366081.1100000013</v>
      </c>
      <c r="F22" s="33">
        <v>0</v>
      </c>
      <c r="G22" s="33">
        <v>0</v>
      </c>
      <c r="H22" s="33">
        <v>-22206.17</v>
      </c>
      <c r="I22" s="115">
        <f>E22+F22+G22+H22</f>
        <v>1343874.9400000013</v>
      </c>
      <c r="J22" s="30">
        <v>-266474.03999999998</v>
      </c>
      <c r="K22" s="115">
        <f>I22+J22</f>
        <v>1077400.9000000013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1366081.1100000013</v>
      </c>
      <c r="F24" s="29">
        <f t="shared" ref="F24:K24" si="3">SUM(F22:F23)</f>
        <v>0</v>
      </c>
      <c r="G24" s="29">
        <f t="shared" si="3"/>
        <v>0</v>
      </c>
      <c r="H24" s="29">
        <f t="shared" si="3"/>
        <v>-22206.17</v>
      </c>
      <c r="I24" s="269">
        <f t="shared" si="3"/>
        <v>1343874.9400000013</v>
      </c>
      <c r="J24" s="49">
        <f t="shared" si="3"/>
        <v>-266474.03999999998</v>
      </c>
      <c r="K24" s="269">
        <f t="shared" si="3"/>
        <v>1077400.9000000013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Apr 2017'!$A$1:$I$251,9,FALSE)</f>
        <v>2231675</v>
      </c>
      <c r="F27" s="33">
        <v>0</v>
      </c>
      <c r="G27" s="33">
        <v>35522</v>
      </c>
      <c r="H27" s="29">
        <v>0</v>
      </c>
      <c r="I27" s="115">
        <f>E27+F27+G27+H27</f>
        <v>2267197</v>
      </c>
      <c r="J27" s="33">
        <v>0</v>
      </c>
      <c r="K27" s="115">
        <f>I27+J27</f>
        <v>2267197</v>
      </c>
      <c r="L27" s="210" t="s">
        <v>22</v>
      </c>
      <c r="M27" s="226"/>
      <c r="S27" s="28" t="s">
        <v>23</v>
      </c>
    </row>
    <row r="28" spans="1:21" ht="13.5" customHeight="1" x14ac:dyDescent="0.2">
      <c r="A28" s="100" t="s">
        <v>80</v>
      </c>
      <c r="B28" s="28"/>
      <c r="C28" s="28" t="s">
        <v>24</v>
      </c>
      <c r="D28" s="4" t="s">
        <v>204</v>
      </c>
      <c r="E28" s="32">
        <f>VLOOKUP(A28,'DEK Apr 2017'!$A$1:$I$251,9,FALSE)</f>
        <v>-424138.79999999981</v>
      </c>
      <c r="F28" s="33">
        <v>0</v>
      </c>
      <c r="G28" s="33">
        <v>424139</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1807536.2000000002</v>
      </c>
      <c r="F30" s="44">
        <f t="shared" ref="F30:K30" si="4">SUM(F27:F28)</f>
        <v>0</v>
      </c>
      <c r="G30" s="33">
        <f t="shared" si="4"/>
        <v>459661</v>
      </c>
      <c r="H30" s="33">
        <f t="shared" si="4"/>
        <v>0</v>
      </c>
      <c r="I30" s="269">
        <f t="shared" si="4"/>
        <v>2267197.2000000002</v>
      </c>
      <c r="J30" s="33">
        <f t="shared" si="4"/>
        <v>0</v>
      </c>
      <c r="K30" s="269">
        <f t="shared" si="4"/>
        <v>2267197.2000000002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Apr 2017'!$A$1:$I$251,9,FALSE)</f>
        <v>2248201.2800000017</v>
      </c>
      <c r="F52" s="33">
        <v>0</v>
      </c>
      <c r="G52" s="33">
        <v>908722.75</v>
      </c>
      <c r="H52" s="33">
        <v>0</v>
      </c>
      <c r="I52" s="115">
        <f>E52+F52+G52+H52</f>
        <v>3156924.0300000017</v>
      </c>
      <c r="J52" s="30">
        <v>-931817.6</v>
      </c>
      <c r="K52" s="115">
        <f>I52+J52</f>
        <v>2225106.4300000016</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Apr 2017'!$A$1:$I$251,9,FALSE)</f>
        <v>4670462</v>
      </c>
      <c r="F53" s="33">
        <v>0</v>
      </c>
      <c r="G53" s="33">
        <v>0</v>
      </c>
      <c r="H53" s="33">
        <v>0</v>
      </c>
      <c r="I53" s="115">
        <f>E53+F53+G53+H53</f>
        <v>4670462</v>
      </c>
      <c r="J53" s="33">
        <v>0</v>
      </c>
      <c r="K53" s="115">
        <f>I53+J53</f>
        <v>4670462</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Apr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Apr 2017'!$A$1:$I$251,9,FALSE)</f>
        <v>1650000</v>
      </c>
      <c r="F59" s="33">
        <v>0</v>
      </c>
      <c r="G59" s="33">
        <v>0</v>
      </c>
      <c r="H59" s="33">
        <v>0</v>
      </c>
      <c r="I59" s="115">
        <f>E59+F59+G59+H59</f>
        <v>1650000</v>
      </c>
      <c r="J59" s="33">
        <v>0</v>
      </c>
      <c r="K59" s="115">
        <f>I59+J59</f>
        <v>1650000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Apr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Apr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2" si="5">E64+F64+G64+H64</f>
        <v>0</v>
      </c>
      <c r="J64" s="33"/>
      <c r="K64" s="115">
        <f t="shared" ref="K64:K72" si="6">I64+J64</f>
        <v>0</v>
      </c>
      <c r="M64" s="20"/>
      <c r="S64" s="18"/>
    </row>
    <row r="65" spans="1:19" ht="12.75" hidden="1" customHeight="1" x14ac:dyDescent="0.2">
      <c r="A65" s="100" t="s">
        <v>178</v>
      </c>
      <c r="B65" s="28"/>
      <c r="C65" s="28" t="s">
        <v>177</v>
      </c>
      <c r="D65" s="4" t="s">
        <v>178</v>
      </c>
      <c r="E65" s="32">
        <f>VLOOKUP(A65,'DEK Apr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Apr 2017'!$A$1:$I$251,9,FALSE)</f>
        <v>26731421.449999999</v>
      </c>
      <c r="F67" s="172"/>
      <c r="G67" s="33">
        <v>1278134.6299999999</v>
      </c>
      <c r="H67" s="172"/>
      <c r="I67" s="115">
        <f t="shared" si="5"/>
        <v>28009556.079999998</v>
      </c>
      <c r="J67" s="172"/>
      <c r="K67" s="115">
        <f t="shared" si="6"/>
        <v>28009556.079999998</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Apr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12.75" customHeight="1" x14ac:dyDescent="0.35">
      <c r="B71" s="28"/>
      <c r="C71" s="28"/>
      <c r="E71" s="32" t="s">
        <v>222</v>
      </c>
      <c r="F71" s="172"/>
      <c r="G71" s="33"/>
      <c r="H71" s="33"/>
      <c r="I71" s="115"/>
      <c r="J71" s="33"/>
      <c r="K71" s="115"/>
      <c r="L71" s="210"/>
      <c r="M71" s="20"/>
      <c r="S71" s="18"/>
    </row>
    <row r="72" spans="1:19" ht="12.75" customHeight="1" x14ac:dyDescent="0.35">
      <c r="A72" s="100" t="s">
        <v>257</v>
      </c>
      <c r="B72" s="28"/>
      <c r="C72" s="28" t="s">
        <v>256</v>
      </c>
      <c r="D72" s="4" t="s">
        <v>257</v>
      </c>
      <c r="E72" s="32">
        <f>VLOOKUP(A72,'DEK Apr 2017'!$A$1:$I$251,9,FALSE)</f>
        <v>-384740.74</v>
      </c>
      <c r="F72" s="172"/>
      <c r="G72" s="33">
        <v>-37712.1</v>
      </c>
      <c r="H72" s="33">
        <v>0</v>
      </c>
      <c r="I72" s="115">
        <f t="shared" si="5"/>
        <v>-422452.83999999997</v>
      </c>
      <c r="J72" s="33"/>
      <c r="K72" s="115">
        <f t="shared" si="6"/>
        <v>-422452.83999999997</v>
      </c>
      <c r="L72" s="210"/>
      <c r="M72" s="20"/>
      <c r="S72" s="18"/>
    </row>
    <row r="73" spans="1:19" ht="12.75" customHeight="1" x14ac:dyDescent="0.35">
      <c r="B73" s="28"/>
      <c r="C73" s="28"/>
      <c r="E73" s="32" t="s">
        <v>222</v>
      </c>
      <c r="F73" s="172"/>
      <c r="G73" s="33"/>
      <c r="H73" s="33"/>
      <c r="I73" s="115"/>
      <c r="J73" s="33"/>
      <c r="K73" s="115" t="s">
        <v>222</v>
      </c>
      <c r="M73" s="20"/>
      <c r="S73" s="18"/>
    </row>
    <row r="74" spans="1:19" ht="12.75" customHeight="1" x14ac:dyDescent="0.35">
      <c r="A74" s="100" t="s">
        <v>283</v>
      </c>
      <c r="B74" s="28"/>
      <c r="C74" s="28" t="s">
        <v>282</v>
      </c>
      <c r="D74" s="4" t="s">
        <v>283</v>
      </c>
      <c r="E74" s="32">
        <f>VLOOKUP(A74,'DEK Apr 2017'!$A$1:$I$251,9,FALSE)</f>
        <v>348</v>
      </c>
      <c r="F74" s="172"/>
      <c r="G74" s="33">
        <v>-348</v>
      </c>
      <c r="H74" s="33">
        <v>0</v>
      </c>
      <c r="I74" s="115">
        <f t="shared" ref="I74" si="7">E74+F74+G74+H74</f>
        <v>0</v>
      </c>
      <c r="J74" s="33"/>
      <c r="K74" s="115">
        <f t="shared" ref="K74" si="8">I74+J74</f>
        <v>0</v>
      </c>
      <c r="L74" s="210"/>
      <c r="M74" s="20"/>
      <c r="S74" s="18"/>
    </row>
    <row r="75" spans="1:19" ht="12.75" customHeight="1" x14ac:dyDescent="0.35">
      <c r="B75" s="28"/>
      <c r="C75" s="28"/>
      <c r="E75" s="32"/>
      <c r="F75" s="172"/>
      <c r="G75" s="33"/>
      <c r="H75" s="33"/>
      <c r="I75" s="115"/>
      <c r="J75" s="33"/>
      <c r="K75" s="115"/>
      <c r="L75" s="210"/>
      <c r="M75" s="20"/>
      <c r="S75" s="18"/>
    </row>
    <row r="76" spans="1:19" ht="16.5" customHeight="1" x14ac:dyDescent="0.35">
      <c r="A76" s="100" t="s">
        <v>240</v>
      </c>
      <c r="B76" s="28"/>
      <c r="C76" s="28" t="s">
        <v>239</v>
      </c>
      <c r="D76" s="4" t="s">
        <v>240</v>
      </c>
      <c r="E76" s="32">
        <f>VLOOKUP(A76,'DEK Apr 2017'!$A$1:$I$251,9,FALSE)</f>
        <v>10256268.630000001</v>
      </c>
      <c r="F76" s="172"/>
      <c r="G76" s="33">
        <v>363139.34</v>
      </c>
      <c r="H76" s="33">
        <v>0</v>
      </c>
      <c r="I76" s="115">
        <f t="shared" ref="I76" si="9">E76+F76+G76+H76</f>
        <v>10619407.970000001</v>
      </c>
      <c r="J76" s="33"/>
      <c r="K76" s="115">
        <f t="shared" ref="K76" si="10">I76+J76</f>
        <v>10619407.970000001</v>
      </c>
      <c r="L76" s="210" t="s">
        <v>22</v>
      </c>
      <c r="M76" s="20" t="s">
        <v>247</v>
      </c>
      <c r="S76" s="18"/>
    </row>
    <row r="77" spans="1:19" ht="12.75" customHeight="1" x14ac:dyDescent="0.35">
      <c r="B77" s="28"/>
      <c r="C77" s="28"/>
      <c r="E77" s="32"/>
      <c r="F77" s="172"/>
      <c r="G77" s="33"/>
      <c r="H77" s="33"/>
      <c r="I77" s="115"/>
      <c r="J77" s="33"/>
      <c r="K77" s="115"/>
      <c r="M77" s="20"/>
      <c r="S77" s="18"/>
    </row>
    <row r="78" spans="1:19" ht="16.5" customHeight="1" x14ac:dyDescent="0.35">
      <c r="A78" s="100" t="s">
        <v>288</v>
      </c>
      <c r="B78" s="28"/>
      <c r="C78" s="28" t="s">
        <v>289</v>
      </c>
      <c r="D78" s="4" t="s">
        <v>288</v>
      </c>
      <c r="E78" s="32">
        <f>VLOOKUP(A78,'DEK Apr 2017'!$A$1:$I$251,9,FALSE)</f>
        <v>6610.1</v>
      </c>
      <c r="F78" s="172"/>
      <c r="G78" s="33">
        <v>61825.69</v>
      </c>
      <c r="H78" s="33">
        <v>0</v>
      </c>
      <c r="I78" s="115">
        <f t="shared" ref="I78" si="11">E78+F78+G78+H78</f>
        <v>68435.790000000008</v>
      </c>
      <c r="J78" s="33"/>
      <c r="K78" s="115">
        <f t="shared" ref="K78" si="12">I78+J78</f>
        <v>68435.790000000008</v>
      </c>
      <c r="L78" s="210" t="s">
        <v>22</v>
      </c>
      <c r="M78" s="20" t="s">
        <v>247</v>
      </c>
      <c r="S78" s="18"/>
    </row>
    <row r="79" spans="1:19" ht="16.5" hidden="1" customHeight="1" x14ac:dyDescent="0.35">
      <c r="B79" s="28"/>
      <c r="C79" s="28"/>
      <c r="E79" s="32"/>
      <c r="F79" s="172"/>
      <c r="G79" s="33"/>
      <c r="H79" s="33"/>
      <c r="I79" s="115"/>
      <c r="J79" s="33"/>
      <c r="K79" s="115"/>
      <c r="L79" s="210"/>
      <c r="M79" s="20"/>
      <c r="S79" s="18"/>
    </row>
    <row r="80" spans="1:19" ht="12.75" hidden="1" customHeight="1" x14ac:dyDescent="0.35">
      <c r="A80" s="100" t="s">
        <v>234</v>
      </c>
      <c r="B80" s="28"/>
      <c r="C80" s="28" t="s">
        <v>232</v>
      </c>
      <c r="D80" s="4" t="s">
        <v>233</v>
      </c>
      <c r="E80" s="32">
        <f>VLOOKUP(A80,'DEK Apr 2017'!$A$1:$I$251,9,FALSE)</f>
        <v>0</v>
      </c>
      <c r="F80" s="174"/>
      <c r="G80" s="33">
        <v>0</v>
      </c>
      <c r="H80" s="33">
        <v>0</v>
      </c>
      <c r="I80" s="115">
        <f t="shared" ref="I80:I82" si="13">E80+F80+G80+H80</f>
        <v>0</v>
      </c>
      <c r="J80" s="33"/>
      <c r="K80" s="115">
        <f t="shared" ref="K80:K82" si="14">I80+J80</f>
        <v>0</v>
      </c>
      <c r="M80" s="20"/>
      <c r="S80" s="18"/>
    </row>
    <row r="81" spans="1:21" ht="12.75" customHeight="1" x14ac:dyDescent="0.35">
      <c r="B81" s="28"/>
      <c r="C81" s="28"/>
      <c r="E81" s="32"/>
      <c r="F81" s="172"/>
      <c r="G81" s="33"/>
      <c r="H81" s="33"/>
      <c r="I81" s="115"/>
      <c r="J81" s="33"/>
      <c r="K81" s="115"/>
      <c r="M81" s="20"/>
      <c r="S81" s="18"/>
    </row>
    <row r="82" spans="1:21" ht="17.25" customHeight="1" x14ac:dyDescent="0.35">
      <c r="A82" s="100" t="s">
        <v>276</v>
      </c>
      <c r="B82" s="28"/>
      <c r="C82" s="28" t="s">
        <v>275</v>
      </c>
      <c r="D82" s="4" t="s">
        <v>276</v>
      </c>
      <c r="E82" s="35">
        <f>VLOOKUP(A82,'DEK Apr 2017'!$A$1:$I$251,9,FALSE)</f>
        <v>2378784.19</v>
      </c>
      <c r="F82" s="174"/>
      <c r="G82" s="36">
        <v>-191669.24</v>
      </c>
      <c r="H82" s="36">
        <v>0</v>
      </c>
      <c r="I82" s="116">
        <f t="shared" si="13"/>
        <v>2187114.9500000002</v>
      </c>
      <c r="J82" s="36"/>
      <c r="K82" s="116">
        <f t="shared" si="14"/>
        <v>2187114.9500000002</v>
      </c>
      <c r="M82" s="20"/>
      <c r="S82" s="18"/>
    </row>
    <row r="83" spans="1:21" x14ac:dyDescent="0.2">
      <c r="B83" s="54"/>
      <c r="C83" s="28"/>
      <c r="E83" s="221">
        <f>SUM(E42:E82)</f>
        <v>52470038.910000004</v>
      </c>
      <c r="F83" s="29">
        <f>SUM(F39:F65)+F36</f>
        <v>0</v>
      </c>
      <c r="G83" s="29">
        <f>SUM(G39:G82)+G36</f>
        <v>2382093.0699999994</v>
      </c>
      <c r="H83" s="29">
        <f>SUM(H39:H82)+H36</f>
        <v>0</v>
      </c>
      <c r="I83" s="269">
        <f>SUM(I39:I82)</f>
        <v>54852131.979999997</v>
      </c>
      <c r="J83" s="49">
        <f>SUM(J39:J82)+J36</f>
        <v>-931817.6</v>
      </c>
      <c r="K83" s="275">
        <f>SUM(K39:K82)</f>
        <v>53920314.379999995</v>
      </c>
      <c r="L83" s="280" t="s">
        <v>259</v>
      </c>
      <c r="M83" s="20"/>
      <c r="S83" s="18"/>
    </row>
    <row r="84" spans="1:21" x14ac:dyDescent="0.2">
      <c r="B84" s="54"/>
      <c r="C84" s="28"/>
      <c r="E84" s="32"/>
      <c r="F84" s="32"/>
      <c r="G84" s="157"/>
      <c r="H84" s="32"/>
      <c r="I84" s="123"/>
      <c r="J84" s="32"/>
      <c r="K84" s="123"/>
      <c r="L84" s="230"/>
      <c r="M84" s="20"/>
      <c r="S84" s="18"/>
    </row>
    <row r="85" spans="1:21" ht="16.5" customHeight="1" x14ac:dyDescent="0.35">
      <c r="A85" s="100" t="s">
        <v>255</v>
      </c>
      <c r="B85" s="28"/>
      <c r="C85" s="28" t="s">
        <v>254</v>
      </c>
      <c r="D85" s="4" t="s">
        <v>255</v>
      </c>
      <c r="E85" s="32">
        <f>VLOOKUP(A85,'DEK Apr 2017'!$A$1:$I$251,9,FALSE)</f>
        <v>9987002.2899999991</v>
      </c>
      <c r="F85" s="172"/>
      <c r="G85" s="33">
        <v>694725.77</v>
      </c>
      <c r="H85" s="33">
        <v>0</v>
      </c>
      <c r="I85" s="115">
        <f>E85+F85+G85+H85</f>
        <v>10681728.059999999</v>
      </c>
      <c r="J85" s="33"/>
      <c r="K85" s="115">
        <f>I85+J85</f>
        <v>10681728.059999999</v>
      </c>
      <c r="L85" s="210"/>
      <c r="M85" s="20"/>
      <c r="S85" s="18"/>
    </row>
    <row r="86" spans="1:21" x14ac:dyDescent="0.2">
      <c r="A86" s="100" t="s">
        <v>269</v>
      </c>
      <c r="B86" s="54"/>
      <c r="C86" s="28" t="s">
        <v>268</v>
      </c>
      <c r="D86" s="4" t="s">
        <v>269</v>
      </c>
      <c r="E86" s="35">
        <f>VLOOKUP(A86,'DEK Apr 2017'!$A$1:$I$251,9,FALSE)</f>
        <v>2905260.27</v>
      </c>
      <c r="F86" s="35"/>
      <c r="G86" s="35">
        <v>-377010.31</v>
      </c>
      <c r="H86" s="35">
        <v>0</v>
      </c>
      <c r="I86" s="267">
        <f>E86+F86+G86+H86</f>
        <v>2528249.96</v>
      </c>
      <c r="J86" s="274">
        <v>0</v>
      </c>
      <c r="K86" s="267">
        <f t="shared" ref="K86" si="15">I86+J86</f>
        <v>2528249.96</v>
      </c>
      <c r="L86" s="280" t="s">
        <v>279</v>
      </c>
      <c r="M86" s="20"/>
      <c r="S86" s="18"/>
    </row>
    <row r="87" spans="1:21" x14ac:dyDescent="0.2">
      <c r="B87" s="54"/>
      <c r="C87" s="28"/>
      <c r="E87" s="221">
        <f>SUM(E85:E86)</f>
        <v>12892262.559999999</v>
      </c>
      <c r="F87" s="32"/>
      <c r="G87" s="32">
        <f>SUM(G85:G86)</f>
        <v>317715.46000000002</v>
      </c>
      <c r="H87" s="32">
        <f>SUM(H85:H86)</f>
        <v>0</v>
      </c>
      <c r="I87" s="269">
        <f>SUM(I85:I86)</f>
        <v>13209978.02</v>
      </c>
      <c r="J87" s="221">
        <f>SUM(J86)</f>
        <v>0</v>
      </c>
      <c r="K87" s="269">
        <f>SUM(K85:K86)</f>
        <v>13209978.02</v>
      </c>
      <c r="L87" s="258"/>
      <c r="M87" s="20"/>
      <c r="S87" s="18"/>
    </row>
    <row r="88" spans="1:21" x14ac:dyDescent="0.2">
      <c r="B88" s="54"/>
      <c r="C88" s="28"/>
      <c r="E88" s="32"/>
      <c r="F88" s="29"/>
      <c r="G88" s="151"/>
      <c r="H88" s="29"/>
      <c r="I88" s="123"/>
      <c r="J88" s="49"/>
      <c r="K88" s="123"/>
      <c r="L88" s="230"/>
      <c r="M88" s="20"/>
      <c r="S88" s="18"/>
    </row>
    <row r="89" spans="1:21" s="22" customFormat="1" x14ac:dyDescent="0.2">
      <c r="A89" s="101"/>
      <c r="B89" s="54" t="s">
        <v>129</v>
      </c>
      <c r="C89" s="55"/>
      <c r="E89" s="220"/>
      <c r="F89" s="47"/>
      <c r="G89" s="162"/>
      <c r="H89" s="47"/>
      <c r="I89" s="124"/>
      <c r="J89" s="47"/>
      <c r="K89" s="124"/>
      <c r="M89" s="19"/>
      <c r="N89" s="48"/>
      <c r="O89" s="48"/>
      <c r="P89" s="56"/>
      <c r="R89" s="57"/>
      <c r="S89" s="57"/>
      <c r="T89" s="55"/>
      <c r="U89" s="55"/>
    </row>
    <row r="90" spans="1:21" ht="25.5" x14ac:dyDescent="0.2">
      <c r="A90" s="100" t="s">
        <v>125</v>
      </c>
      <c r="B90" s="28"/>
      <c r="C90" s="28" t="s">
        <v>73</v>
      </c>
      <c r="D90" s="4" t="s">
        <v>125</v>
      </c>
      <c r="E90" s="32">
        <f>VLOOKUP(A90,'DEK Apr 2017'!$A$1:$I$251,9,FALSE)</f>
        <v>23748700.719999999</v>
      </c>
      <c r="F90" s="30">
        <v>0</v>
      </c>
      <c r="G90" s="33">
        <v>-5273</v>
      </c>
      <c r="H90" s="30">
        <v>0</v>
      </c>
      <c r="I90" s="115">
        <f>E90+F90+G90+H90</f>
        <v>23743427.719999999</v>
      </c>
      <c r="J90" s="30">
        <v>0</v>
      </c>
      <c r="K90" s="115">
        <f t="shared" ref="K90:K97" si="16">I90+J90</f>
        <v>23743427.719999999</v>
      </c>
      <c r="L90" s="210"/>
      <c r="M90" s="20" t="s">
        <v>126</v>
      </c>
      <c r="P90" s="58"/>
      <c r="R90" s="4" t="s">
        <v>107</v>
      </c>
      <c r="S90" s="18">
        <v>182940</v>
      </c>
      <c r="U90" s="4" t="s">
        <v>36</v>
      </c>
    </row>
    <row r="91" spans="1:21" x14ac:dyDescent="0.2">
      <c r="A91" s="100" t="s">
        <v>291</v>
      </c>
      <c r="B91" s="28"/>
      <c r="C91" s="28" t="s">
        <v>290</v>
      </c>
      <c r="D91" s="4" t="s">
        <v>291</v>
      </c>
      <c r="E91" s="32">
        <f>VLOOKUP(A91,'DEK Apr 2017'!$A$1:$I$251,9,FALSE)</f>
        <v>2540163.5499999998</v>
      </c>
      <c r="F91" s="30">
        <v>0</v>
      </c>
      <c r="G91" s="33">
        <v>0</v>
      </c>
      <c r="H91" s="30">
        <v>0</v>
      </c>
      <c r="I91" s="115">
        <f t="shared" ref="I91:I97" si="17">E91+F91+G91+H91</f>
        <v>2540163.5499999998</v>
      </c>
      <c r="J91" s="30">
        <v>0</v>
      </c>
      <c r="K91" s="115">
        <f t="shared" si="16"/>
        <v>2540163.5499999998</v>
      </c>
      <c r="L91" s="210" t="s">
        <v>22</v>
      </c>
      <c r="M91" s="20"/>
      <c r="P91" s="58"/>
      <c r="S91" s="18">
        <v>186801</v>
      </c>
    </row>
    <row r="92" spans="1:21" x14ac:dyDescent="0.2">
      <c r="A92" s="100" t="s">
        <v>281</v>
      </c>
      <c r="B92" s="28"/>
      <c r="C92" s="28" t="s">
        <v>280</v>
      </c>
      <c r="D92" s="4" t="s">
        <v>281</v>
      </c>
      <c r="E92" s="32">
        <f>VLOOKUP(A92,'DEK Apr 2017'!$A$1:$I$251,9,FALSE)</f>
        <v>4744187.7200000007</v>
      </c>
      <c r="F92" s="30">
        <v>0</v>
      </c>
      <c r="G92" s="33">
        <v>-5862</v>
      </c>
      <c r="H92" s="30">
        <v>0</v>
      </c>
      <c r="I92" s="115">
        <f t="shared" si="17"/>
        <v>4738325.7200000007</v>
      </c>
      <c r="J92" s="30">
        <v>0</v>
      </c>
      <c r="K92" s="115">
        <f t="shared" si="16"/>
        <v>4738325.7200000007</v>
      </c>
      <c r="L92" s="210" t="s">
        <v>22</v>
      </c>
      <c r="M92" s="20"/>
      <c r="P92" s="58"/>
      <c r="S92" s="18">
        <v>186801</v>
      </c>
    </row>
    <row r="93" spans="1:21" x14ac:dyDescent="0.2">
      <c r="A93" s="100" t="s">
        <v>293</v>
      </c>
      <c r="B93" s="28"/>
      <c r="C93" s="28" t="s">
        <v>292</v>
      </c>
      <c r="D93" s="4" t="s">
        <v>293</v>
      </c>
      <c r="E93" s="32">
        <f>VLOOKUP(A93,'DEK Apr 2017'!$A$1:$I$251,9,FALSE)</f>
        <v>49947.05</v>
      </c>
      <c r="F93" s="30">
        <v>0</v>
      </c>
      <c r="G93" s="33">
        <v>0</v>
      </c>
      <c r="H93" s="30">
        <v>0</v>
      </c>
      <c r="I93" s="115">
        <f t="shared" si="17"/>
        <v>49947.05</v>
      </c>
      <c r="J93" s="30">
        <v>0</v>
      </c>
      <c r="K93" s="115">
        <f t="shared" si="16"/>
        <v>49947.05</v>
      </c>
      <c r="L93" s="210" t="s">
        <v>22</v>
      </c>
      <c r="M93" s="20"/>
      <c r="P93" s="58"/>
      <c r="S93" s="18"/>
    </row>
    <row r="94" spans="1:21" x14ac:dyDescent="0.2">
      <c r="A94" s="100" t="s">
        <v>161</v>
      </c>
      <c r="B94" s="28"/>
      <c r="C94" s="28" t="s">
        <v>72</v>
      </c>
      <c r="D94" s="4" t="s">
        <v>224</v>
      </c>
      <c r="E94" s="32">
        <f>VLOOKUP(A94,'DEK Apr 2017'!$A$1:$I$251,9,FALSE)</f>
        <v>-104110</v>
      </c>
      <c r="F94" s="30">
        <v>0</v>
      </c>
      <c r="G94" s="33">
        <v>-104110</v>
      </c>
      <c r="H94" s="30">
        <v>0</v>
      </c>
      <c r="I94" s="115">
        <f t="shared" si="17"/>
        <v>-208220</v>
      </c>
      <c r="J94" s="30">
        <v>0</v>
      </c>
      <c r="K94" s="115">
        <f t="shared" si="16"/>
        <v>-208220</v>
      </c>
      <c r="L94" s="210" t="s">
        <v>22</v>
      </c>
      <c r="M94" s="20"/>
      <c r="P94" s="58"/>
      <c r="S94" s="18"/>
    </row>
    <row r="95" spans="1:21" x14ac:dyDescent="0.2">
      <c r="A95" s="108" t="s">
        <v>171</v>
      </c>
      <c r="B95" s="28"/>
      <c r="C95" s="28" t="s">
        <v>122</v>
      </c>
      <c r="D95" s="4" t="s">
        <v>225</v>
      </c>
      <c r="E95" s="32">
        <f>VLOOKUP(A95,'DEK Apr 2017'!$A$1:$I$251,9,FALSE)</f>
        <v>-23330</v>
      </c>
      <c r="F95" s="30">
        <v>0</v>
      </c>
      <c r="G95" s="33">
        <v>-23330</v>
      </c>
      <c r="H95" s="30">
        <v>0</v>
      </c>
      <c r="I95" s="115">
        <f t="shared" si="17"/>
        <v>-46660</v>
      </c>
      <c r="J95" s="30">
        <v>0</v>
      </c>
      <c r="K95" s="115">
        <f t="shared" si="16"/>
        <v>-46660</v>
      </c>
      <c r="L95" s="210" t="s">
        <v>22</v>
      </c>
      <c r="M95" s="20"/>
      <c r="P95" s="58"/>
      <c r="S95" s="18"/>
    </row>
    <row r="96" spans="1:21" x14ac:dyDescent="0.2">
      <c r="A96" s="108" t="s">
        <v>284</v>
      </c>
      <c r="B96" s="28"/>
      <c r="C96" s="28" t="s">
        <v>285</v>
      </c>
      <c r="D96" s="4" t="s">
        <v>284</v>
      </c>
      <c r="E96" s="32">
        <f>VLOOKUP(A96,'DEK Apr 2017'!$A$1:$I$251,9,FALSE)</f>
        <v>-36260</v>
      </c>
      <c r="F96" s="30"/>
      <c r="G96" s="33">
        <v>-36260</v>
      </c>
      <c r="H96" s="30"/>
      <c r="I96" s="115">
        <f t="shared" si="17"/>
        <v>-72520</v>
      </c>
      <c r="J96" s="30"/>
      <c r="K96" s="115">
        <f t="shared" si="16"/>
        <v>-72520</v>
      </c>
      <c r="L96" s="210"/>
      <c r="M96" s="20"/>
      <c r="P96" s="58"/>
      <c r="S96" s="18"/>
    </row>
    <row r="97" spans="1:20" x14ac:dyDescent="0.2">
      <c r="A97" s="108" t="s">
        <v>172</v>
      </c>
      <c r="B97" s="28"/>
      <c r="C97" s="28" t="s">
        <v>123</v>
      </c>
      <c r="D97" s="4" t="s">
        <v>226</v>
      </c>
      <c r="E97" s="35">
        <f>VLOOKUP(A97,'DEK Apr 2017'!$A$1:$I$251,9,FALSE)</f>
        <v>-374</v>
      </c>
      <c r="F97" s="36"/>
      <c r="G97" s="36">
        <v>-374</v>
      </c>
      <c r="H97" s="36"/>
      <c r="I97" s="116">
        <f t="shared" si="17"/>
        <v>-748</v>
      </c>
      <c r="J97" s="36"/>
      <c r="K97" s="116">
        <f t="shared" si="16"/>
        <v>-748</v>
      </c>
      <c r="M97" s="20"/>
      <c r="P97" s="58"/>
      <c r="S97" s="18"/>
    </row>
    <row r="98" spans="1:20" x14ac:dyDescent="0.2">
      <c r="B98" s="28"/>
      <c r="C98" s="18"/>
      <c r="E98" s="221">
        <f t="shared" ref="E98:K98" si="18">SUM(E90:E97)</f>
        <v>30918925.040000003</v>
      </c>
      <c r="F98" s="29">
        <f t="shared" si="18"/>
        <v>0</v>
      </c>
      <c r="G98" s="29">
        <f>SUM(G90:G97)</f>
        <v>-175209</v>
      </c>
      <c r="H98" s="29">
        <f t="shared" si="18"/>
        <v>0</v>
      </c>
      <c r="I98" s="269">
        <f t="shared" si="18"/>
        <v>30743716.040000003</v>
      </c>
      <c r="J98" s="29">
        <f t="shared" si="18"/>
        <v>0</v>
      </c>
      <c r="K98" s="269">
        <f t="shared" si="18"/>
        <v>30743716.040000003</v>
      </c>
      <c r="L98" s="280" t="s">
        <v>260</v>
      </c>
      <c r="M98" s="20"/>
      <c r="S98" s="18"/>
    </row>
    <row r="99" spans="1:20" ht="12.75" hidden="1" customHeight="1" x14ac:dyDescent="0.2">
      <c r="B99" s="54" t="s">
        <v>135</v>
      </c>
      <c r="C99" s="18"/>
      <c r="E99" s="32"/>
      <c r="F99" s="29"/>
      <c r="G99" s="151"/>
      <c r="H99" s="151"/>
      <c r="I99" s="117"/>
      <c r="J99" s="29"/>
      <c r="K99" s="117"/>
      <c r="M99" s="20"/>
      <c r="S99" s="18"/>
    </row>
    <row r="100" spans="1:20" ht="12.75" hidden="1" customHeight="1" x14ac:dyDescent="0.2">
      <c r="A100" s="100" t="s">
        <v>108</v>
      </c>
      <c r="B100" s="28"/>
      <c r="C100" s="28" t="s">
        <v>71</v>
      </c>
      <c r="D100" s="4" t="s">
        <v>108</v>
      </c>
      <c r="E100" s="32">
        <v>0</v>
      </c>
      <c r="F100" s="30">
        <v>0</v>
      </c>
      <c r="G100" s="152">
        <v>0</v>
      </c>
      <c r="H100" s="152">
        <v>0</v>
      </c>
      <c r="I100" s="115">
        <f t="shared" ref="I100:K101" si="19">E100+F100+G100+H100</f>
        <v>0</v>
      </c>
      <c r="J100" s="30">
        <f t="shared" si="19"/>
        <v>0</v>
      </c>
      <c r="K100" s="115">
        <f t="shared" si="19"/>
        <v>0</v>
      </c>
      <c r="M100" s="20"/>
      <c r="S100" s="18">
        <v>174995</v>
      </c>
    </row>
    <row r="101" spans="1:20" ht="12.75" hidden="1" customHeight="1" x14ac:dyDescent="0.2">
      <c r="A101" s="100" t="s">
        <v>139</v>
      </c>
      <c r="B101" s="28"/>
      <c r="C101" s="28" t="s">
        <v>124</v>
      </c>
      <c r="D101" s="4" t="s">
        <v>139</v>
      </c>
      <c r="E101" s="32">
        <v>0</v>
      </c>
      <c r="F101" s="30">
        <v>0</v>
      </c>
      <c r="G101" s="152">
        <v>0</v>
      </c>
      <c r="H101" s="152">
        <v>0</v>
      </c>
      <c r="I101" s="115">
        <f t="shared" si="19"/>
        <v>0</v>
      </c>
      <c r="J101" s="30">
        <f t="shared" si="19"/>
        <v>0</v>
      </c>
      <c r="K101" s="115">
        <f t="shared" si="19"/>
        <v>0</v>
      </c>
      <c r="M101" s="20"/>
      <c r="S101" s="18"/>
    </row>
    <row r="102" spans="1:20" ht="7.5" hidden="1" customHeight="1" x14ac:dyDescent="0.2">
      <c r="B102" s="28"/>
      <c r="C102" s="18"/>
      <c r="D102" s="59"/>
      <c r="E102" s="32"/>
      <c r="F102" s="30"/>
      <c r="G102" s="152"/>
      <c r="H102" s="152"/>
      <c r="I102" s="115"/>
      <c r="J102" s="30"/>
      <c r="K102" s="115"/>
      <c r="M102" s="20"/>
      <c r="P102" s="58"/>
      <c r="S102" s="18"/>
    </row>
    <row r="103" spans="1:20" x14ac:dyDescent="0.2">
      <c r="B103" s="28"/>
      <c r="C103" s="18"/>
      <c r="E103" s="32"/>
      <c r="F103" s="30"/>
      <c r="G103" s="152"/>
      <c r="H103" s="152"/>
      <c r="I103" s="115"/>
      <c r="J103" s="30"/>
      <c r="K103" s="115"/>
      <c r="M103" s="20"/>
      <c r="S103" s="18"/>
    </row>
    <row r="104" spans="1:20" x14ac:dyDescent="0.2">
      <c r="B104" s="18"/>
      <c r="C104" s="131" t="s">
        <v>41</v>
      </c>
      <c r="D104" s="135"/>
      <c r="E104" s="133">
        <f>+E12+E24+E30+E83+E87+E98+E100+E19+E101</f>
        <v>101451800.63000001</v>
      </c>
      <c r="F104" s="133">
        <f>+F12+F24+F30+F83+F98+F100+F19+F101</f>
        <v>0</v>
      </c>
      <c r="G104" s="133">
        <f>+G12+G24+G30+G83+G87+G98+G100+G19+G101</f>
        <v>2984260.5299999993</v>
      </c>
      <c r="H104" s="133">
        <f>+H12+H24+H30+H83+H87+H98+H100+H19+H101</f>
        <v>-22206.17</v>
      </c>
      <c r="I104" s="134">
        <f>+I12+I24+I30+I83+I87+I98+I100+I19+I101</f>
        <v>104413854.99000001</v>
      </c>
      <c r="J104" s="133">
        <f>+J12+J24+J30+J83+J87+J98+J100+J19+J101</f>
        <v>0</v>
      </c>
      <c r="K104" s="134">
        <f>+K12+K24+K30+K83+K87+K98+K100+K19+K101</f>
        <v>104413854.99000001</v>
      </c>
      <c r="M104" s="45"/>
      <c r="N104" s="143"/>
      <c r="S104" s="18"/>
    </row>
    <row r="105" spans="1:20" x14ac:dyDescent="0.2">
      <c r="A105" s="105"/>
      <c r="B105" s="18"/>
      <c r="C105" s="18"/>
      <c r="D105" s="12"/>
      <c r="E105" s="221"/>
      <c r="F105" s="50"/>
      <c r="G105" s="145"/>
      <c r="H105" s="145"/>
      <c r="I105" s="115"/>
      <c r="J105" s="30"/>
      <c r="K105" s="115"/>
      <c r="M105" s="45"/>
      <c r="S105" s="18"/>
    </row>
    <row r="106" spans="1:20" s="22" customFormat="1" x14ac:dyDescent="0.2">
      <c r="A106" s="106"/>
      <c r="B106" s="21" t="s">
        <v>130</v>
      </c>
      <c r="C106" s="46"/>
      <c r="D106" s="27"/>
      <c r="E106" s="222"/>
      <c r="F106" s="50"/>
      <c r="G106" s="145"/>
      <c r="H106" s="145"/>
      <c r="I106" s="113"/>
      <c r="J106" s="19"/>
      <c r="K106" s="113"/>
      <c r="M106" s="19"/>
      <c r="N106" s="20"/>
      <c r="O106" s="48"/>
      <c r="R106" s="57"/>
      <c r="S106" s="57"/>
    </row>
    <row r="107" spans="1:20" x14ac:dyDescent="0.2">
      <c r="A107" s="100" t="s">
        <v>114</v>
      </c>
      <c r="B107" s="18"/>
      <c r="C107" s="28" t="s">
        <v>52</v>
      </c>
      <c r="D107" s="4" t="s">
        <v>114</v>
      </c>
      <c r="E107" s="32">
        <f>VLOOKUP(A107,'DEK Apr 2017'!$A$1:$I$252,9,FALSE)</f>
        <v>-579128.24999999953</v>
      </c>
      <c r="F107" s="30">
        <v>0</v>
      </c>
      <c r="G107" s="33">
        <f>-869490.62+134993.44</f>
        <v>-734497.17999999993</v>
      </c>
      <c r="H107" s="33">
        <v>-134993.44</v>
      </c>
      <c r="I107" s="115">
        <f t="shared" ref="I107:I112" si="20">E107+F107+G107+H107</f>
        <v>-1448618.8699999994</v>
      </c>
      <c r="J107" s="30">
        <v>0</v>
      </c>
      <c r="K107" s="115">
        <f t="shared" ref="K107:K112" si="21">I107+J107</f>
        <v>-1448618.8699999994</v>
      </c>
      <c r="L107" s="210" t="s">
        <v>22</v>
      </c>
      <c r="M107" s="33"/>
      <c r="N107" s="42"/>
      <c r="O107" s="42"/>
      <c r="S107" s="18">
        <v>191400</v>
      </c>
      <c r="T107" s="58"/>
    </row>
    <row r="108" spans="1:20" x14ac:dyDescent="0.2">
      <c r="A108" s="100" t="s">
        <v>115</v>
      </c>
      <c r="B108" s="18"/>
      <c r="C108" s="28" t="s">
        <v>53</v>
      </c>
      <c r="D108" s="4" t="s">
        <v>115</v>
      </c>
      <c r="E108" s="32">
        <f>VLOOKUP(A108,'DEK Apr 2017'!$A$1:$I$252,9,FALSE)</f>
        <v>-1484648.8</v>
      </c>
      <c r="F108" s="30">
        <v>0</v>
      </c>
      <c r="G108" s="33">
        <v>651937.78</v>
      </c>
      <c r="H108" s="33">
        <v>0</v>
      </c>
      <c r="I108" s="115">
        <f t="shared" si="20"/>
        <v>-832711.02</v>
      </c>
      <c r="J108" s="30">
        <v>0</v>
      </c>
      <c r="K108" s="115">
        <f t="shared" si="21"/>
        <v>-832711.02</v>
      </c>
      <c r="L108" s="210" t="s">
        <v>22</v>
      </c>
      <c r="M108" s="30"/>
      <c r="N108" s="42"/>
      <c r="O108" s="42"/>
      <c r="S108" s="18">
        <v>191800</v>
      </c>
      <c r="T108" s="58"/>
    </row>
    <row r="109" spans="1:20" ht="12.75" customHeight="1" x14ac:dyDescent="0.2">
      <c r="A109" s="100" t="s">
        <v>117</v>
      </c>
      <c r="B109" s="18"/>
      <c r="C109" s="28" t="s">
        <v>77</v>
      </c>
      <c r="D109" s="4" t="s">
        <v>117</v>
      </c>
      <c r="E109" s="32">
        <f>VLOOKUP(A109,'DEK Apr 2017'!$A$1:$I$252,9,FALSE)</f>
        <v>-515493.64999999991</v>
      </c>
      <c r="F109" s="30">
        <v>0</v>
      </c>
      <c r="G109" s="30">
        <v>-386961</v>
      </c>
      <c r="H109" s="33">
        <v>0</v>
      </c>
      <c r="I109" s="115">
        <f t="shared" si="20"/>
        <v>-902454.64999999991</v>
      </c>
      <c r="J109" s="30">
        <v>0</v>
      </c>
      <c r="K109" s="115">
        <f t="shared" si="21"/>
        <v>-902454.64999999991</v>
      </c>
      <c r="L109" s="210" t="s">
        <v>22</v>
      </c>
      <c r="M109" s="20"/>
      <c r="N109" s="42"/>
      <c r="O109" s="42"/>
      <c r="S109" s="18">
        <v>242995</v>
      </c>
      <c r="T109" s="58"/>
    </row>
    <row r="110" spans="1:20" x14ac:dyDescent="0.2">
      <c r="A110" s="100" t="s">
        <v>119</v>
      </c>
      <c r="B110" s="18"/>
      <c r="C110" s="28" t="s">
        <v>118</v>
      </c>
      <c r="D110" s="4" t="s">
        <v>119</v>
      </c>
      <c r="E110" s="32">
        <f>VLOOKUP(A110,'DEK Apr 2017'!$A$1:$I$252,9,FALSE)</f>
        <v>-946915.88000000059</v>
      </c>
      <c r="F110" s="30">
        <v>0</v>
      </c>
      <c r="G110" s="30">
        <v>684720.92</v>
      </c>
      <c r="H110" s="33">
        <v>0</v>
      </c>
      <c r="I110" s="115">
        <f t="shared" si="20"/>
        <v>-262194.96000000054</v>
      </c>
      <c r="J110" s="30">
        <v>0</v>
      </c>
      <c r="K110" s="115">
        <f t="shared" si="21"/>
        <v>-262194.96000000054</v>
      </c>
      <c r="L110" s="210" t="s">
        <v>22</v>
      </c>
      <c r="M110" s="20"/>
      <c r="N110" s="42"/>
      <c r="O110" s="42"/>
      <c r="S110" s="18">
        <v>242997</v>
      </c>
      <c r="T110" s="58"/>
    </row>
    <row r="111" spans="1:20" x14ac:dyDescent="0.2">
      <c r="A111" s="100" t="s">
        <v>120</v>
      </c>
      <c r="B111" s="18"/>
      <c r="C111" s="28" t="s">
        <v>54</v>
      </c>
      <c r="D111" s="4" t="s">
        <v>120</v>
      </c>
      <c r="E111" s="32">
        <f>VLOOKUP(A111,'DEK Apr 2017'!$A$1:$I$252,9,FALSE)</f>
        <v>-50249.639999999796</v>
      </c>
      <c r="F111" s="33">
        <v>0</v>
      </c>
      <c r="G111" s="33">
        <f>414590.42-10090.23</f>
        <v>404500.19</v>
      </c>
      <c r="H111" s="33">
        <v>10090.23</v>
      </c>
      <c r="I111" s="115">
        <f t="shared" si="20"/>
        <v>364340.7800000002</v>
      </c>
      <c r="J111" s="33">
        <v>0</v>
      </c>
      <c r="K111" s="115">
        <f t="shared" si="21"/>
        <v>364340.7800000002</v>
      </c>
      <c r="L111" s="210" t="s">
        <v>22</v>
      </c>
      <c r="M111" s="42"/>
      <c r="N111" s="42"/>
      <c r="O111" s="42"/>
      <c r="S111" s="18">
        <v>253130</v>
      </c>
      <c r="T111" s="58"/>
    </row>
    <row r="112" spans="1:20" x14ac:dyDescent="0.2">
      <c r="A112" s="100" t="s">
        <v>156</v>
      </c>
      <c r="B112" s="18"/>
      <c r="C112" s="28" t="s">
        <v>116</v>
      </c>
      <c r="D112" s="4" t="s">
        <v>211</v>
      </c>
      <c r="E112" s="32">
        <f>VLOOKUP(A112,'DEK Apr 2017'!$A$1:$I$252,9,FALSE)</f>
        <v>-4774254.2299999995</v>
      </c>
      <c r="F112" s="33"/>
      <c r="G112" s="33">
        <v>2760567.17</v>
      </c>
      <c r="H112" s="33">
        <v>0</v>
      </c>
      <c r="I112" s="115">
        <f t="shared" si="20"/>
        <v>-2013687.0599999996</v>
      </c>
      <c r="J112" s="30">
        <v>0</v>
      </c>
      <c r="K112" s="115">
        <f t="shared" si="21"/>
        <v>-2013687.0599999996</v>
      </c>
      <c r="M112" s="42"/>
      <c r="N112" s="42"/>
      <c r="O112" s="42"/>
      <c r="S112" s="18"/>
      <c r="T112" s="58"/>
    </row>
    <row r="113" spans="1:21" x14ac:dyDescent="0.2">
      <c r="B113" s="18"/>
      <c r="C113" s="28"/>
      <c r="E113" s="32"/>
      <c r="F113" s="33"/>
      <c r="G113" s="33"/>
      <c r="H113" s="33"/>
      <c r="I113" s="115"/>
      <c r="J113" s="30"/>
      <c r="K113" s="115"/>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6"/>
      <c r="F115" s="36"/>
      <c r="G115" s="150"/>
      <c r="H115" s="150"/>
      <c r="I115" s="116"/>
      <c r="J115" s="36"/>
      <c r="K115" s="116"/>
      <c r="M115" s="42"/>
      <c r="N115" s="42"/>
      <c r="O115" s="42"/>
      <c r="S115" s="18"/>
      <c r="T115" s="58"/>
    </row>
    <row r="116" spans="1:21" x14ac:dyDescent="0.2">
      <c r="B116" s="18"/>
      <c r="C116" s="61"/>
      <c r="D116" s="34"/>
      <c r="E116" s="44">
        <f t="shared" ref="E116:K116" si="22">SUM(E107:E115)</f>
        <v>-8350690.4499999993</v>
      </c>
      <c r="F116" s="33">
        <f t="shared" si="22"/>
        <v>0</v>
      </c>
      <c r="G116" s="33">
        <f t="shared" si="22"/>
        <v>3380267.88</v>
      </c>
      <c r="H116" s="33">
        <f t="shared" si="22"/>
        <v>-124903.21</v>
      </c>
      <c r="I116" s="269">
        <f t="shared" si="22"/>
        <v>-5095325.7799999993</v>
      </c>
      <c r="J116" s="33">
        <f t="shared" si="22"/>
        <v>0</v>
      </c>
      <c r="K116" s="269">
        <f t="shared" si="22"/>
        <v>-5095325.7799999993</v>
      </c>
      <c r="L116" s="280" t="s">
        <v>263</v>
      </c>
      <c r="M116" s="42"/>
      <c r="N116" s="42"/>
      <c r="O116" s="42"/>
      <c r="S116" s="18"/>
      <c r="T116" s="58"/>
    </row>
    <row r="117" spans="1:21" hidden="1" x14ac:dyDescent="0.2">
      <c r="B117" s="21" t="s">
        <v>188</v>
      </c>
      <c r="C117" s="61"/>
      <c r="D117" s="34"/>
      <c r="E117" s="33"/>
      <c r="F117" s="33"/>
      <c r="G117" s="144"/>
      <c r="H117" s="144"/>
      <c r="I117" s="115"/>
      <c r="J117" s="33"/>
      <c r="K117" s="115"/>
      <c r="M117" s="42"/>
      <c r="N117" s="42"/>
      <c r="O117" s="42"/>
      <c r="S117" s="18"/>
      <c r="T117" s="58"/>
    </row>
    <row r="118" spans="1:21" hidden="1" x14ac:dyDescent="0.2">
      <c r="A118" s="100" t="s">
        <v>185</v>
      </c>
      <c r="B118" s="18"/>
      <c r="C118" s="28" t="s">
        <v>186</v>
      </c>
      <c r="D118" s="4" t="s">
        <v>213</v>
      </c>
      <c r="E118" s="32">
        <v>0</v>
      </c>
      <c r="F118" s="33">
        <v>0</v>
      </c>
      <c r="G118" s="144">
        <v>0</v>
      </c>
      <c r="H118" s="144">
        <v>0</v>
      </c>
      <c r="I118" s="115">
        <f>E118+F118+G118+H118</f>
        <v>0</v>
      </c>
      <c r="J118" s="33">
        <v>0</v>
      </c>
      <c r="K118" s="115">
        <f>I118+J118</f>
        <v>0</v>
      </c>
      <c r="M118" s="42"/>
      <c r="N118" s="42"/>
      <c r="O118" s="42"/>
      <c r="S118" s="18"/>
      <c r="T118" s="58"/>
    </row>
    <row r="119" spans="1:21" ht="12.75" hidden="1" customHeight="1" x14ac:dyDescent="0.2">
      <c r="A119" s="100" t="s">
        <v>181</v>
      </c>
      <c r="B119" s="18"/>
      <c r="C119" s="28" t="s">
        <v>182</v>
      </c>
      <c r="D119" s="4" t="s">
        <v>213</v>
      </c>
      <c r="E119" s="32">
        <f>VLOOKUP(A119,'[23]DEK Jul 2013'!$A$1:$I$252,9,FALSE)</f>
        <v>0</v>
      </c>
      <c r="F119" s="33">
        <v>0</v>
      </c>
      <c r="G119" s="144">
        <v>0</v>
      </c>
      <c r="H119" s="144">
        <v>0</v>
      </c>
      <c r="I119" s="115">
        <f>E119+F119+G119+H119</f>
        <v>0</v>
      </c>
      <c r="J119" s="30">
        <v>0</v>
      </c>
      <c r="K119" s="115">
        <f>I119+J119</f>
        <v>0</v>
      </c>
      <c r="L119" s="4" t="s">
        <v>22</v>
      </c>
      <c r="M119" s="42"/>
      <c r="N119" s="42"/>
      <c r="O119" s="42"/>
      <c r="S119" s="18">
        <v>253130</v>
      </c>
      <c r="T119" s="58"/>
    </row>
    <row r="120" spans="1:21" hidden="1" x14ac:dyDescent="0.2">
      <c r="B120" s="18"/>
      <c r="C120" s="28"/>
      <c r="E120" s="33"/>
      <c r="F120" s="36"/>
      <c r="G120" s="150"/>
      <c r="H120" s="150"/>
      <c r="I120" s="116"/>
      <c r="J120" s="36"/>
      <c r="K120" s="116"/>
      <c r="M120" s="42"/>
      <c r="N120" s="42"/>
      <c r="O120" s="42"/>
      <c r="S120" s="18"/>
      <c r="T120" s="58"/>
    </row>
    <row r="121" spans="1:21" hidden="1" x14ac:dyDescent="0.2">
      <c r="B121" s="18"/>
      <c r="C121" s="28"/>
      <c r="E121" s="33">
        <f>SUM(E118:E119)</f>
        <v>0</v>
      </c>
      <c r="F121" s="33">
        <f t="shared" ref="F121:L121" si="23">SUM(F118:F119)</f>
        <v>0</v>
      </c>
      <c r="G121" s="144">
        <f t="shared" si="23"/>
        <v>0</v>
      </c>
      <c r="H121" s="144">
        <f t="shared" si="23"/>
        <v>0</v>
      </c>
      <c r="I121" s="128">
        <f>SUM(I118:I119)</f>
        <v>0</v>
      </c>
      <c r="J121" s="33">
        <f t="shared" si="23"/>
        <v>0</v>
      </c>
      <c r="K121" s="128">
        <f t="shared" si="23"/>
        <v>0</v>
      </c>
      <c r="L121" s="33">
        <f t="shared" si="23"/>
        <v>0</v>
      </c>
      <c r="M121" s="42"/>
      <c r="N121" s="42"/>
      <c r="O121" s="42"/>
      <c r="S121" s="18"/>
      <c r="T121" s="58"/>
    </row>
    <row r="122" spans="1:21" hidden="1" x14ac:dyDescent="0.2">
      <c r="B122" s="18"/>
      <c r="C122" s="61"/>
      <c r="D122" s="34"/>
      <c r="E122" s="33"/>
      <c r="F122" s="33"/>
      <c r="G122" s="144"/>
      <c r="H122" s="144"/>
      <c r="I122" s="115"/>
      <c r="J122" s="33"/>
      <c r="K122" s="115"/>
      <c r="M122" s="42"/>
      <c r="N122" s="42"/>
      <c r="O122" s="42"/>
      <c r="S122" s="18"/>
      <c r="T122" s="58"/>
    </row>
    <row r="123" spans="1:21" s="22" customFormat="1" x14ac:dyDescent="0.2">
      <c r="A123" s="101"/>
      <c r="B123" s="21" t="s">
        <v>214</v>
      </c>
      <c r="C123" s="63"/>
      <c r="D123" s="64"/>
      <c r="E123" s="33"/>
      <c r="F123" s="30"/>
      <c r="G123" s="152" t="s">
        <v>187</v>
      </c>
      <c r="H123" s="152"/>
      <c r="I123" s="113"/>
      <c r="J123" s="19"/>
      <c r="K123" s="113"/>
      <c r="M123" s="19"/>
      <c r="N123" s="42"/>
      <c r="O123" s="48"/>
      <c r="T123" s="46"/>
      <c r="U123" s="46"/>
    </row>
    <row r="124" spans="1:21" x14ac:dyDescent="0.2">
      <c r="A124" s="100" t="s">
        <v>162</v>
      </c>
      <c r="B124" s="18"/>
      <c r="C124" s="28" t="s">
        <v>76</v>
      </c>
      <c r="D124" s="4" t="s">
        <v>194</v>
      </c>
      <c r="E124" s="32">
        <f>VLOOKUP(A124,'DEK Apr 2017'!$A$1:$I$252,9,FALSE)</f>
        <v>0</v>
      </c>
      <c r="F124" s="30">
        <v>0</v>
      </c>
      <c r="G124" s="33">
        <v>0</v>
      </c>
      <c r="H124" s="33">
        <v>0</v>
      </c>
      <c r="I124" s="123">
        <f>E124+G124+H124+F124</f>
        <v>0</v>
      </c>
      <c r="J124" s="91">
        <v>0</v>
      </c>
      <c r="K124" s="123">
        <f>I124+J124</f>
        <v>0</v>
      </c>
      <c r="L124" s="259"/>
      <c r="M124" s="67"/>
      <c r="P124" s="51"/>
      <c r="Q124" s="18"/>
      <c r="R124" s="58"/>
      <c r="S124" s="18"/>
    </row>
    <row r="125" spans="1:21" x14ac:dyDescent="0.2">
      <c r="A125" s="100" t="s">
        <v>287</v>
      </c>
      <c r="B125" s="18"/>
      <c r="C125" s="28" t="s">
        <v>286</v>
      </c>
      <c r="D125" s="4" t="s">
        <v>287</v>
      </c>
      <c r="E125" s="35">
        <f>VLOOKUP(A125,'DEK Apr 2017'!$A$1:$I$252,9,FALSE)</f>
        <v>-5346799.7300000004</v>
      </c>
      <c r="F125" s="36">
        <v>0</v>
      </c>
      <c r="G125" s="36">
        <v>50719</v>
      </c>
      <c r="H125" s="36">
        <v>0</v>
      </c>
      <c r="I125" s="267">
        <f>E125+G125+H125+F125</f>
        <v>-5296080.7300000004</v>
      </c>
      <c r="J125" s="266">
        <v>0</v>
      </c>
      <c r="K125" s="267">
        <f>I125+J125</f>
        <v>-5296080.7300000004</v>
      </c>
      <c r="L125" s="210" t="s">
        <v>22</v>
      </c>
      <c r="M125" s="67"/>
      <c r="P125" s="51"/>
      <c r="Q125" s="18"/>
      <c r="R125" s="58"/>
      <c r="S125" s="18"/>
    </row>
    <row r="126" spans="1:21" ht="15" x14ac:dyDescent="0.25">
      <c r="B126" s="18"/>
      <c r="C126" s="28"/>
      <c r="D126" s="65"/>
      <c r="E126" s="234">
        <f>SUM(E124:E125)</f>
        <v>-5346799.7300000004</v>
      </c>
      <c r="F126" s="30"/>
      <c r="G126" s="33">
        <f>SUM(G124:G125)</f>
        <v>50719</v>
      </c>
      <c r="H126" s="33">
        <f>SUM(H124:H125)</f>
        <v>0</v>
      </c>
      <c r="I126" s="271">
        <f>SUM(I124:I125)</f>
        <v>-5296080.7300000004</v>
      </c>
      <c r="J126" s="1"/>
      <c r="K126" s="271">
        <f>SUM(K124:K125)</f>
        <v>-5296080.7300000004</v>
      </c>
      <c r="L126" s="281" t="s">
        <v>264</v>
      </c>
      <c r="M126" s="67"/>
      <c r="P126" s="51"/>
      <c r="Q126" s="18"/>
      <c r="R126" s="58"/>
      <c r="S126" s="18"/>
    </row>
    <row r="127" spans="1:21" x14ac:dyDescent="0.2">
      <c r="B127" s="21" t="s">
        <v>227</v>
      </c>
      <c r="C127" s="28"/>
      <c r="E127" s="83"/>
      <c r="F127" s="30"/>
      <c r="G127" s="152"/>
      <c r="H127" s="30"/>
      <c r="I127" s="115"/>
      <c r="J127" s="30"/>
      <c r="K127" s="115"/>
      <c r="M127" s="20"/>
      <c r="N127" s="42"/>
      <c r="O127" s="42"/>
      <c r="R127" s="58"/>
      <c r="S127" s="18"/>
      <c r="T127" s="58"/>
    </row>
    <row r="128" spans="1:21" x14ac:dyDescent="0.2">
      <c r="A128" s="100" t="s">
        <v>163</v>
      </c>
      <c r="B128" s="18"/>
      <c r="C128" s="28" t="s">
        <v>48</v>
      </c>
      <c r="D128" s="4" t="s">
        <v>195</v>
      </c>
      <c r="E128" s="32">
        <f>VLOOKUP(A128,'DEK Apr 2017'!$A$1:$I$252,9,FALSE)</f>
        <v>0</v>
      </c>
      <c r="F128" s="30">
        <v>0</v>
      </c>
      <c r="G128" s="33">
        <v>-415963</v>
      </c>
      <c r="H128" s="33">
        <v>0</v>
      </c>
      <c r="I128" s="115">
        <f>E128+F128+G128+H128</f>
        <v>-415963</v>
      </c>
      <c r="J128" s="30">
        <v>0</v>
      </c>
      <c r="K128" s="115">
        <f t="shared" ref="K128:K130" si="24">I128+J128</f>
        <v>-415963</v>
      </c>
      <c r="M128" s="62"/>
      <c r="P128" s="51"/>
      <c r="Q128" s="18"/>
      <c r="R128" s="58"/>
      <c r="S128" s="18">
        <v>254998</v>
      </c>
    </row>
    <row r="129" spans="1:23" x14ac:dyDescent="0.2">
      <c r="A129" s="100" t="s">
        <v>179</v>
      </c>
      <c r="B129" s="18"/>
      <c r="C129" s="28" t="s">
        <v>47</v>
      </c>
      <c r="D129" s="4" t="s">
        <v>196</v>
      </c>
      <c r="E129" s="32">
        <f>VLOOKUP(A129,'DEK Apr 2017'!$A$1:$I$252,9,FALSE)</f>
        <v>0</v>
      </c>
      <c r="F129" s="30">
        <v>0</v>
      </c>
      <c r="G129" s="30">
        <v>0</v>
      </c>
      <c r="H129" s="33">
        <v>0</v>
      </c>
      <c r="I129" s="115">
        <f>E129+F129+G129+H129</f>
        <v>0</v>
      </c>
      <c r="J129" s="30">
        <v>0</v>
      </c>
      <c r="K129" s="115">
        <f t="shared" si="24"/>
        <v>0</v>
      </c>
      <c r="M129" s="62"/>
      <c r="P129" s="51"/>
      <c r="Q129" s="18"/>
      <c r="R129" s="58"/>
      <c r="S129" s="18">
        <v>254998</v>
      </c>
      <c r="W129" s="47"/>
    </row>
    <row r="130" spans="1:23" x14ac:dyDescent="0.2">
      <c r="A130" s="100" t="s">
        <v>164</v>
      </c>
      <c r="B130" s="18"/>
      <c r="C130" s="28" t="s">
        <v>75</v>
      </c>
      <c r="D130" s="4" t="s">
        <v>215</v>
      </c>
      <c r="E130" s="32">
        <f>VLOOKUP(A130,'DEK Apr 2017'!$A$1:$I$252,9,FALSE)</f>
        <v>-14528.750000000004</v>
      </c>
      <c r="F130" s="30">
        <v>0</v>
      </c>
      <c r="G130" s="33">
        <v>36.32</v>
      </c>
      <c r="H130" s="33">
        <v>0</v>
      </c>
      <c r="I130" s="117">
        <f>E130+F130+G130+H130</f>
        <v>-14492.430000000004</v>
      </c>
      <c r="J130" s="30">
        <v>0</v>
      </c>
      <c r="K130" s="117">
        <f t="shared" si="24"/>
        <v>-14492.430000000004</v>
      </c>
      <c r="L130" s="230"/>
      <c r="M130" s="62"/>
      <c r="P130" s="51"/>
      <c r="Q130" s="18"/>
      <c r="R130" s="58"/>
      <c r="S130" s="18">
        <v>254210</v>
      </c>
    </row>
    <row r="131" spans="1:23" x14ac:dyDescent="0.2">
      <c r="B131" s="18"/>
      <c r="C131" s="28"/>
      <c r="D131" s="65"/>
      <c r="E131" s="36"/>
      <c r="F131" s="36"/>
      <c r="G131" s="150"/>
      <c r="H131" s="36"/>
      <c r="I131" s="116"/>
      <c r="J131" s="36"/>
      <c r="K131" s="116"/>
      <c r="M131" s="62"/>
      <c r="P131" s="51"/>
      <c r="Q131" s="18"/>
      <c r="R131" s="58"/>
      <c r="S131" s="18"/>
    </row>
    <row r="132" spans="1:23" x14ac:dyDescent="0.2">
      <c r="B132" s="18"/>
      <c r="C132" s="28"/>
      <c r="E132" s="44">
        <f t="shared" ref="E132" si="25">SUM(E128:E131)</f>
        <v>-14528.750000000004</v>
      </c>
      <c r="F132" s="30">
        <f t="shared" ref="F132:K132" si="26">SUM(F128:F131)</f>
        <v>0</v>
      </c>
      <c r="G132" s="30">
        <f t="shared" si="26"/>
        <v>-415926.68</v>
      </c>
      <c r="H132" s="30">
        <f t="shared" si="26"/>
        <v>0</v>
      </c>
      <c r="I132" s="270">
        <f t="shared" si="26"/>
        <v>-430455.43</v>
      </c>
      <c r="J132" s="30">
        <f t="shared" si="26"/>
        <v>0</v>
      </c>
      <c r="K132" s="270">
        <f t="shared" si="26"/>
        <v>-430455.43</v>
      </c>
      <c r="L132" s="281" t="s">
        <v>265</v>
      </c>
      <c r="M132" s="20"/>
      <c r="N132" s="42"/>
      <c r="O132" s="42"/>
      <c r="R132" s="58"/>
      <c r="S132" s="18"/>
      <c r="T132" s="58"/>
    </row>
    <row r="133" spans="1:23" x14ac:dyDescent="0.2">
      <c r="B133" s="21" t="s">
        <v>216</v>
      </c>
      <c r="C133" s="28"/>
      <c r="E133" s="33"/>
      <c r="F133" s="30"/>
      <c r="G133" s="152"/>
      <c r="H133" s="152"/>
      <c r="I133" s="115"/>
      <c r="J133" s="30"/>
      <c r="K133" s="115"/>
      <c r="M133" s="20"/>
      <c r="N133" s="42"/>
      <c r="O133" s="42"/>
      <c r="R133" s="58"/>
      <c r="S133" s="18"/>
      <c r="T133" s="58"/>
    </row>
    <row r="134" spans="1:23" x14ac:dyDescent="0.2">
      <c r="A134" s="100" t="s">
        <v>165</v>
      </c>
      <c r="B134" s="18"/>
      <c r="C134" s="28" t="s">
        <v>45</v>
      </c>
      <c r="D134" s="4" t="s">
        <v>197</v>
      </c>
      <c r="E134" s="32">
        <f>VLOOKUP(A134,'DEK Apr 2017'!$A$1:$I$252,9,FALSE)</f>
        <v>-18411007.240000002</v>
      </c>
      <c r="F134" s="30">
        <v>0</v>
      </c>
      <c r="G134" s="30">
        <v>-63609.37</v>
      </c>
      <c r="H134" s="30">
        <v>0</v>
      </c>
      <c r="I134" s="115">
        <f>E134+F134+G134+H134</f>
        <v>-18474616.610000003</v>
      </c>
      <c r="J134" s="30">
        <v>0</v>
      </c>
      <c r="K134" s="115">
        <f t="shared" ref="K134:K140" si="27">I134+J134</f>
        <v>-18474616.610000003</v>
      </c>
      <c r="L134" s="210" t="s">
        <v>241</v>
      </c>
      <c r="M134" s="20"/>
      <c r="N134" s="42"/>
      <c r="O134" s="42"/>
      <c r="Q134" s="286">
        <v>75086</v>
      </c>
      <c r="R134" s="58" t="s">
        <v>44</v>
      </c>
      <c r="S134" s="18">
        <v>108201</v>
      </c>
      <c r="T134" s="58"/>
    </row>
    <row r="135" spans="1:23" x14ac:dyDescent="0.2">
      <c r="A135" s="100" t="s">
        <v>166</v>
      </c>
      <c r="B135" s="18"/>
      <c r="C135" s="28" t="s">
        <v>45</v>
      </c>
      <c r="D135" s="4" t="s">
        <v>198</v>
      </c>
      <c r="E135" s="32">
        <f>VLOOKUP(A135,'DEK Apr 2017'!$A$1:$I$252,9,FALSE)</f>
        <v>-48236538.170000002</v>
      </c>
      <c r="F135" s="30">
        <v>0</v>
      </c>
      <c r="G135" s="30">
        <f>-166696.98+63609.37</f>
        <v>-103087.61000000002</v>
      </c>
      <c r="H135" s="30">
        <v>0</v>
      </c>
      <c r="I135" s="115">
        <f t="shared" ref="I135:I140" si="28">E135+F135+G135+H135</f>
        <v>-48339625.780000001</v>
      </c>
      <c r="J135" s="30">
        <v>0</v>
      </c>
      <c r="K135" s="115">
        <f t="shared" si="27"/>
        <v>-48339625.780000001</v>
      </c>
      <c r="L135" s="210" t="s">
        <v>242</v>
      </c>
      <c r="M135" s="20"/>
      <c r="N135" s="42"/>
      <c r="O135" s="42"/>
      <c r="R135" s="58" t="s">
        <v>44</v>
      </c>
      <c r="S135" s="18">
        <v>108301</v>
      </c>
      <c r="T135" s="58"/>
    </row>
    <row r="136" spans="1:23" x14ac:dyDescent="0.2">
      <c r="A136" s="100" t="s">
        <v>167</v>
      </c>
      <c r="B136" s="18"/>
      <c r="C136" s="28" t="s">
        <v>46</v>
      </c>
      <c r="D136" s="4" t="s">
        <v>199</v>
      </c>
      <c r="E136" s="32">
        <f>VLOOKUP(A136,'DEK Apr 2017'!$A$1:$I$252,9,FALSE)</f>
        <v>10239178.849999998</v>
      </c>
      <c r="F136" s="30">
        <v>0</v>
      </c>
      <c r="G136" s="30">
        <v>470647.31</v>
      </c>
      <c r="H136" s="30">
        <v>0</v>
      </c>
      <c r="I136" s="115">
        <f t="shared" si="28"/>
        <v>10709826.159999998</v>
      </c>
      <c r="J136" s="30">
        <v>0</v>
      </c>
      <c r="K136" s="115">
        <f>I136+J136</f>
        <v>10709826.159999998</v>
      </c>
      <c r="L136" s="210" t="s">
        <v>242</v>
      </c>
      <c r="M136" s="20"/>
      <c r="N136" s="42"/>
      <c r="O136" s="42"/>
      <c r="S136" s="18">
        <v>108410</v>
      </c>
      <c r="T136" s="58"/>
    </row>
    <row r="137" spans="1:23" x14ac:dyDescent="0.2">
      <c r="A137" s="100" t="s">
        <v>168</v>
      </c>
      <c r="B137" s="18"/>
      <c r="C137" s="28" t="s">
        <v>74</v>
      </c>
      <c r="D137" s="4" t="s">
        <v>217</v>
      </c>
      <c r="E137" s="32">
        <f>VLOOKUP(A137,'DEK Apr 2017'!$A$1:$I$252,9,FALSE)</f>
        <v>2448394.48</v>
      </c>
      <c r="F137" s="30">
        <v>0</v>
      </c>
      <c r="G137" s="30">
        <v>21696.3</v>
      </c>
      <c r="H137" s="30">
        <v>0</v>
      </c>
      <c r="I137" s="115">
        <f t="shared" si="28"/>
        <v>2470090.7799999998</v>
      </c>
      <c r="J137" s="30">
        <v>0</v>
      </c>
      <c r="K137" s="115">
        <f>I137+J137</f>
        <v>2470090.7799999998</v>
      </c>
      <c r="M137" s="20"/>
      <c r="N137" s="42"/>
      <c r="O137" s="42"/>
      <c r="Q137" s="4" t="s">
        <v>50</v>
      </c>
      <c r="R137" s="4" t="s">
        <v>51</v>
      </c>
      <c r="S137" s="18">
        <v>182303</v>
      </c>
      <c r="T137" s="58"/>
    </row>
    <row r="138" spans="1:23" x14ac:dyDescent="0.2">
      <c r="A138" s="100" t="s">
        <v>169</v>
      </c>
      <c r="B138" s="18"/>
      <c r="C138" s="28" t="s">
        <v>49</v>
      </c>
      <c r="D138" s="4" t="s">
        <v>218</v>
      </c>
      <c r="E138" s="32">
        <f>VLOOKUP(A138,'DEK Apr 2017'!$A$1:$I$252,9,FALSE)</f>
        <v>4740862.8800000027</v>
      </c>
      <c r="F138" s="30">
        <v>0</v>
      </c>
      <c r="G138" s="30">
        <v>29273.08</v>
      </c>
      <c r="H138" s="30">
        <v>0</v>
      </c>
      <c r="I138" s="115">
        <f t="shared" si="28"/>
        <v>4770135.9600000028</v>
      </c>
      <c r="J138" s="30">
        <v>0</v>
      </c>
      <c r="K138" s="115">
        <f t="shared" si="27"/>
        <v>4770135.9600000028</v>
      </c>
      <c r="M138" s="20"/>
      <c r="N138" s="42"/>
      <c r="O138" s="42"/>
      <c r="Q138" s="4" t="s">
        <v>50</v>
      </c>
      <c r="S138" s="18">
        <v>182304</v>
      </c>
      <c r="T138" s="58"/>
    </row>
    <row r="139" spans="1:23" x14ac:dyDescent="0.2">
      <c r="A139" s="100" t="s">
        <v>170</v>
      </c>
      <c r="B139" s="18"/>
      <c r="C139" s="28" t="s">
        <v>42</v>
      </c>
      <c r="D139" s="4" t="s">
        <v>200</v>
      </c>
      <c r="E139" s="32">
        <f>VLOOKUP(A139,'DEK Apr 2017'!$A$1:$I$252,9,FALSE)</f>
        <v>-245387.45000000004</v>
      </c>
      <c r="F139" s="30">
        <v>0</v>
      </c>
      <c r="G139" s="30">
        <v>-6112.76</v>
      </c>
      <c r="H139" s="30">
        <v>0</v>
      </c>
      <c r="I139" s="115">
        <f t="shared" si="28"/>
        <v>-251500.21000000005</v>
      </c>
      <c r="J139" s="30">
        <v>0</v>
      </c>
      <c r="K139" s="115">
        <f t="shared" si="27"/>
        <v>-251500.21000000005</v>
      </c>
      <c r="L139" s="210" t="s">
        <v>241</v>
      </c>
      <c r="M139" s="20"/>
      <c r="N139" s="42"/>
      <c r="O139" s="42"/>
      <c r="R139" s="58" t="s">
        <v>44</v>
      </c>
      <c r="S139" s="18">
        <v>108101</v>
      </c>
      <c r="T139" s="58"/>
    </row>
    <row r="140" spans="1:23" x14ac:dyDescent="0.2">
      <c r="A140" s="100" t="s">
        <v>272</v>
      </c>
      <c r="B140" s="18"/>
      <c r="C140" s="28" t="s">
        <v>271</v>
      </c>
      <c r="D140" s="4" t="s">
        <v>272</v>
      </c>
      <c r="E140" s="32">
        <f>VLOOKUP(A140,'DEK Apr 2017'!$A$1:$I$252,9,FALSE)</f>
        <v>0</v>
      </c>
      <c r="F140" s="30">
        <v>0</v>
      </c>
      <c r="G140" s="30">
        <v>751.54</v>
      </c>
      <c r="H140" s="30">
        <v>0</v>
      </c>
      <c r="I140" s="115">
        <f t="shared" si="28"/>
        <v>751.54</v>
      </c>
      <c r="J140" s="30">
        <v>0</v>
      </c>
      <c r="K140" s="115">
        <f t="shared" si="27"/>
        <v>751.54</v>
      </c>
      <c r="L140" s="210" t="s">
        <v>241</v>
      </c>
      <c r="M140" s="20"/>
      <c r="N140" s="42"/>
      <c r="O140" s="42"/>
      <c r="R140" s="58" t="s">
        <v>44</v>
      </c>
      <c r="S140" s="18">
        <v>108101</v>
      </c>
      <c r="T140" s="58"/>
    </row>
    <row r="141" spans="1:23" x14ac:dyDescent="0.2">
      <c r="B141" s="18"/>
      <c r="C141" s="28"/>
      <c r="E141" s="36"/>
      <c r="F141" s="36"/>
      <c r="G141" s="150"/>
      <c r="H141" s="150"/>
      <c r="I141" s="127"/>
      <c r="J141" s="68"/>
      <c r="K141" s="127"/>
      <c r="M141" s="62"/>
      <c r="P141" s="51"/>
      <c r="Q141" s="18"/>
      <c r="R141" s="58"/>
      <c r="S141" s="18">
        <v>254401</v>
      </c>
    </row>
    <row r="142" spans="1:23" x14ac:dyDescent="0.2">
      <c r="B142" s="18"/>
      <c r="C142" s="28"/>
      <c r="E142" s="44">
        <f t="shared" ref="E142:K142" si="29">SUM(E134:E141)</f>
        <v>-49464496.650000006</v>
      </c>
      <c r="F142" s="33">
        <f t="shared" si="29"/>
        <v>0</v>
      </c>
      <c r="G142" s="33">
        <f t="shared" si="29"/>
        <v>349558.48999999993</v>
      </c>
      <c r="H142" s="33">
        <f t="shared" si="29"/>
        <v>0</v>
      </c>
      <c r="I142" s="269">
        <f t="shared" si="29"/>
        <v>-49114938.160000004</v>
      </c>
      <c r="J142" s="33">
        <f t="shared" si="29"/>
        <v>0</v>
      </c>
      <c r="K142" s="269">
        <f t="shared" si="29"/>
        <v>-49114938.160000004</v>
      </c>
      <c r="L142" s="281" t="s">
        <v>266</v>
      </c>
      <c r="M142" s="62"/>
      <c r="P142" s="51"/>
      <c r="Q142" s="18"/>
      <c r="R142" s="58"/>
      <c r="S142" s="18"/>
    </row>
    <row r="143" spans="1:23" ht="15" x14ac:dyDescent="0.25">
      <c r="B143" s="18"/>
      <c r="C143" s="28"/>
      <c r="D143" s="65"/>
      <c r="E143" s="33"/>
      <c r="F143" s="30"/>
      <c r="G143" s="144"/>
      <c r="H143" s="33"/>
      <c r="I143" s="126"/>
      <c r="J143" s="1"/>
      <c r="K143" s="126"/>
      <c r="L143" s="66"/>
      <c r="M143" s="67"/>
      <c r="P143" s="51"/>
      <c r="Q143" s="18"/>
      <c r="R143" s="58"/>
      <c r="S143" s="18"/>
    </row>
    <row r="144" spans="1:23" x14ac:dyDescent="0.2">
      <c r="A144" s="105" t="s">
        <v>55</v>
      </c>
      <c r="B144" s="18"/>
      <c r="C144" s="131" t="s">
        <v>55</v>
      </c>
      <c r="D144" s="132"/>
      <c r="E144" s="133">
        <f>+E116+E126+E132+E142+E121</f>
        <v>-63176515.580000006</v>
      </c>
      <c r="F144" s="133">
        <f t="shared" ref="F144" si="30">+F116+F124+F132+F142+F121</f>
        <v>0</v>
      </c>
      <c r="G144" s="133">
        <f>+G116+G126+G132+G142+G121</f>
        <v>3364618.6899999995</v>
      </c>
      <c r="H144" s="133">
        <f>+H116+H126+H132+H142+H121</f>
        <v>-124903.21</v>
      </c>
      <c r="I144" s="134">
        <f>+I116+I126+I132+I142+I121</f>
        <v>-59936800.100000001</v>
      </c>
      <c r="J144" s="133">
        <f>+J116+J124+J132+J142+J121</f>
        <v>0</v>
      </c>
      <c r="K144" s="134">
        <f>+K116+K126+K132+K142+K121</f>
        <v>-59936800.100000001</v>
      </c>
      <c r="M144" s="20"/>
      <c r="N144" s="69"/>
      <c r="R144" s="58"/>
      <c r="S144" s="18"/>
    </row>
    <row r="145" spans="1:22" x14ac:dyDescent="0.2">
      <c r="A145" s="105"/>
      <c r="B145" s="18"/>
      <c r="C145" s="18"/>
      <c r="D145" s="12"/>
      <c r="E145" s="221"/>
      <c r="F145" s="50"/>
      <c r="G145" s="145"/>
      <c r="H145" s="50"/>
      <c r="I145" s="122"/>
      <c r="J145" s="50"/>
      <c r="K145" s="122"/>
      <c r="M145" s="45"/>
      <c r="S145" s="18"/>
    </row>
    <row r="146" spans="1:22" x14ac:dyDescent="0.2">
      <c r="A146" s="105" t="s">
        <v>56</v>
      </c>
      <c r="B146" s="18"/>
      <c r="C146" s="18"/>
      <c r="D146" s="136" t="s">
        <v>219</v>
      </c>
      <c r="E146" s="137">
        <f>E144+E104</f>
        <v>38275285.050000004</v>
      </c>
      <c r="F146" s="137">
        <f>F144+F104</f>
        <v>0</v>
      </c>
      <c r="G146" s="137">
        <f>G144+G104</f>
        <v>6348879.2199999988</v>
      </c>
      <c r="H146" s="137">
        <f>H144+H104</f>
        <v>-147109.38</v>
      </c>
      <c r="I146" s="138">
        <f>I104+I144</f>
        <v>44477054.890000008</v>
      </c>
      <c r="J146" s="137">
        <f>J144+J104</f>
        <v>0</v>
      </c>
      <c r="K146" s="138">
        <f>K104+K144</f>
        <v>44477054.890000008</v>
      </c>
      <c r="L146" s="50">
        <v>0</v>
      </c>
      <c r="M146" s="70"/>
      <c r="N146" s="70"/>
      <c r="O146" s="70"/>
      <c r="P146" s="50"/>
      <c r="Q146" s="50"/>
      <c r="R146" s="50"/>
      <c r="S146" s="18"/>
      <c r="T146" s="29">
        <f>+G146+H146+F146</f>
        <v>6201769.8399999989</v>
      </c>
      <c r="U146" s="19">
        <v>13111056.41</v>
      </c>
      <c r="V146" s="29">
        <f>+T146-U146</f>
        <v>-6909286.5700000012</v>
      </c>
    </row>
    <row r="147" spans="1:22" hidden="1" x14ac:dyDescent="0.2">
      <c r="A147" s="105"/>
      <c r="B147" s="18"/>
      <c r="C147" s="18"/>
      <c r="D147" s="12"/>
      <c r="E147" s="221"/>
      <c r="F147" s="50"/>
      <c r="G147" s="145"/>
      <c r="H147" s="50"/>
      <c r="I147" s="50"/>
      <c r="J147" s="50"/>
      <c r="K147" s="50"/>
      <c r="M147" s="45"/>
      <c r="S147" s="18"/>
    </row>
    <row r="148" spans="1:22" s="75" customFormat="1" ht="12.75" hidden="1" customHeight="1" x14ac:dyDescent="0.2">
      <c r="A148" s="107" t="s">
        <v>57</v>
      </c>
      <c r="B148" s="71"/>
      <c r="C148" s="18"/>
      <c r="D148" s="140" t="s">
        <v>57</v>
      </c>
      <c r="E148" s="223"/>
      <c r="F148" s="142"/>
      <c r="G148" s="163" t="e">
        <f>-G139-G134-G135-G136-G137-G138-#REF!-G16-G128-G30-G22-G53-G130-G93-G95-G124-G129-G52</f>
        <v>#REF!</v>
      </c>
      <c r="H148" s="139" t="e">
        <f>-H139-H134-H135-H136-H137-H138-#REF!-H16-H128-H30-H22-H53-H130-H93-H95-H124-H129-H52</f>
        <v>#REF!</v>
      </c>
      <c r="I148" s="74"/>
      <c r="J148" s="74"/>
      <c r="K148" s="74"/>
      <c r="M148" s="76"/>
      <c r="N148" s="77"/>
      <c r="O148" s="77"/>
      <c r="S148" s="18"/>
    </row>
    <row r="149" spans="1:22" ht="12.75" customHeight="1" x14ac:dyDescent="0.2">
      <c r="A149" s="107"/>
      <c r="B149" s="18"/>
      <c r="C149" s="18"/>
      <c r="D149" s="72"/>
      <c r="E149" s="224"/>
      <c r="F149" s="50"/>
      <c r="G149" s="185">
        <f>G146+H146</f>
        <v>6201769.8399999989</v>
      </c>
      <c r="H149" s="145"/>
      <c r="I149" s="145"/>
      <c r="J149" s="50"/>
      <c r="K149" s="50"/>
      <c r="M149" s="20"/>
      <c r="S149" s="18"/>
    </row>
    <row r="150" spans="1:22" ht="12.75" customHeight="1" x14ac:dyDescent="0.2">
      <c r="A150" s="107" t="s">
        <v>58</v>
      </c>
      <c r="B150" s="18"/>
      <c r="C150" s="71"/>
      <c r="D150" s="72"/>
      <c r="E150" s="73"/>
      <c r="F150" s="50"/>
      <c r="G150" s="145"/>
      <c r="H150" s="50"/>
      <c r="I150" s="50"/>
      <c r="J150" s="50"/>
      <c r="K150" s="30"/>
      <c r="M150" s="20"/>
      <c r="S150" s="71"/>
    </row>
    <row r="151" spans="1:22" ht="12.75" customHeight="1" x14ac:dyDescent="0.2">
      <c r="A151" s="107"/>
      <c r="B151" s="18"/>
      <c r="C151" s="18"/>
      <c r="D151" s="72"/>
      <c r="E151" s="83"/>
      <c r="F151" s="50"/>
      <c r="G151" s="30"/>
      <c r="H151" s="50"/>
      <c r="I151" s="50"/>
      <c r="J151" s="50"/>
      <c r="K151" s="33"/>
      <c r="M151" s="20"/>
      <c r="S151" s="18"/>
    </row>
    <row r="152" spans="1:22" ht="12.75" customHeight="1" x14ac:dyDescent="0.2">
      <c r="A152" s="107"/>
      <c r="B152" s="18"/>
      <c r="C152" s="18"/>
      <c r="D152" s="72"/>
      <c r="E152" s="83"/>
      <c r="F152" s="50"/>
      <c r="G152" s="30"/>
      <c r="H152" s="50"/>
      <c r="I152" s="50"/>
      <c r="J152" s="50"/>
      <c r="K152" s="33"/>
      <c r="M152" s="20"/>
      <c r="S152" s="18"/>
    </row>
    <row r="153" spans="1:22" ht="12.75" customHeight="1" x14ac:dyDescent="0.2">
      <c r="A153" s="107"/>
      <c r="B153" s="18"/>
      <c r="C153" s="18"/>
      <c r="D153" s="72"/>
      <c r="E153" s="236"/>
      <c r="F153" s="50"/>
      <c r="G153" s="44"/>
      <c r="H153" s="50"/>
      <c r="I153" s="50"/>
      <c r="J153" s="50"/>
      <c r="K153" s="161"/>
      <c r="M153" s="20"/>
      <c r="S153" s="18"/>
    </row>
    <row r="154" spans="1:22" ht="12.75" customHeight="1" x14ac:dyDescent="0.2">
      <c r="A154" s="107"/>
      <c r="B154" s="18"/>
      <c r="C154" s="18"/>
      <c r="D154" s="72"/>
      <c r="E154" s="224"/>
      <c r="F154" s="50"/>
      <c r="G154" s="145"/>
      <c r="H154" s="50"/>
      <c r="I154" s="50"/>
      <c r="J154" s="50"/>
      <c r="K154" s="44"/>
      <c r="M154" s="20"/>
      <c r="S154" s="18"/>
    </row>
    <row r="155" spans="1:22" ht="12.75" customHeight="1" x14ac:dyDescent="0.2">
      <c r="A155" s="107"/>
      <c r="B155" s="18"/>
      <c r="C155" s="18"/>
      <c r="D155" s="264"/>
      <c r="E155" s="73"/>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50"/>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5"/>
      <c r="E162" s="73"/>
      <c r="F162" s="50"/>
      <c r="G162" s="145"/>
      <c r="H162" s="50"/>
      <c r="I162" s="50"/>
      <c r="J162" s="50"/>
      <c r="K162" s="50"/>
      <c r="M162" s="20"/>
      <c r="S162" s="18"/>
    </row>
    <row r="163" spans="1:19" ht="12.75" customHeight="1" x14ac:dyDescent="0.2">
      <c r="A163" s="107"/>
      <c r="B163" s="18"/>
      <c r="C163" s="18"/>
      <c r="D163" s="72"/>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hidden="1" customHeight="1" x14ac:dyDescent="0.2">
      <c r="A170" s="107" t="s">
        <v>59</v>
      </c>
      <c r="B170" s="18"/>
      <c r="C170" s="18"/>
      <c r="D170" s="72" t="s">
        <v>59</v>
      </c>
      <c r="E170" s="73"/>
      <c r="F170" s="50"/>
      <c r="G170" s="145" t="e">
        <f>+G146+H146+G148+H148</f>
        <v>#REF!</v>
      </c>
      <c r="H170" s="50"/>
      <c r="I170" s="50"/>
      <c r="J170" s="50"/>
      <c r="K170" s="50"/>
      <c r="M170" s="20"/>
      <c r="S170" s="18"/>
    </row>
    <row r="171" spans="1:19" hidden="1" x14ac:dyDescent="0.2">
      <c r="B171" s="18"/>
      <c r="C171" s="18"/>
      <c r="E171" s="29"/>
      <c r="F171" s="19"/>
      <c r="G171" s="148"/>
      <c r="H171" s="19"/>
      <c r="I171" s="19"/>
      <c r="J171" s="19"/>
      <c r="K171" s="19"/>
      <c r="M171" s="20"/>
      <c r="S171" s="18"/>
    </row>
    <row r="172" spans="1:19" hidden="1" x14ac:dyDescent="0.2">
      <c r="A172" s="109" t="s">
        <v>60</v>
      </c>
      <c r="B172" s="18"/>
      <c r="C172" s="18"/>
      <c r="D172" s="78" t="s">
        <v>60</v>
      </c>
      <c r="E172" s="79"/>
      <c r="F172" s="80"/>
      <c r="G172" s="164"/>
      <c r="H172" s="80"/>
      <c r="I172" s="81"/>
      <c r="J172" s="81"/>
      <c r="K172" s="81"/>
      <c r="M172" s="20"/>
      <c r="S172" s="18"/>
    </row>
    <row r="173" spans="1:19" hidden="1" x14ac:dyDescent="0.2">
      <c r="A173" s="109" t="s">
        <v>138</v>
      </c>
      <c r="B173" s="18"/>
      <c r="C173" s="18"/>
      <c r="D173" s="82" t="s">
        <v>138</v>
      </c>
      <c r="E173" s="32">
        <v>0</v>
      </c>
      <c r="F173" s="32">
        <f>+F100+F101</f>
        <v>0</v>
      </c>
      <c r="G173" s="157"/>
      <c r="H173" s="32">
        <f>+H100+H101</f>
        <v>0</v>
      </c>
      <c r="I173" s="84">
        <f>+I100+I101</f>
        <v>0</v>
      </c>
      <c r="J173" s="84">
        <f>+J100+J101</f>
        <v>0</v>
      </c>
      <c r="K173" s="84">
        <f>+K100+K101</f>
        <v>0</v>
      </c>
      <c r="M173" s="20"/>
      <c r="S173" s="18"/>
    </row>
    <row r="174" spans="1:19" hidden="1" x14ac:dyDescent="0.2">
      <c r="A174" s="109" t="s">
        <v>140</v>
      </c>
      <c r="B174" s="18"/>
      <c r="C174" s="18"/>
      <c r="D174" s="82" t="s">
        <v>140</v>
      </c>
      <c r="E174" s="83">
        <f>+E12</f>
        <v>-1.1641532182693481E-9</v>
      </c>
      <c r="F174" s="32">
        <f>+F101+F102</f>
        <v>0</v>
      </c>
      <c r="G174" s="165"/>
      <c r="H174" s="83"/>
      <c r="I174" s="84">
        <f>+I12</f>
        <v>-1.1641532182693481E-9</v>
      </c>
      <c r="J174" s="84">
        <f>+J12</f>
        <v>0</v>
      </c>
      <c r="K174" s="84">
        <f>+K12</f>
        <v>-1.1641532182693481E-9</v>
      </c>
      <c r="M174" s="20"/>
      <c r="S174" s="18"/>
    </row>
    <row r="175" spans="1:19" hidden="1" x14ac:dyDescent="0.2">
      <c r="A175" s="109" t="s">
        <v>142</v>
      </c>
      <c r="B175" s="18"/>
      <c r="C175" s="18"/>
      <c r="D175" s="82" t="s">
        <v>142</v>
      </c>
      <c r="E175" s="83">
        <f>+E19</f>
        <v>1996956.81</v>
      </c>
      <c r="F175" s="32">
        <f t="shared" ref="F175:F180" si="31">+F102+F103</f>
        <v>0</v>
      </c>
      <c r="G175" s="165"/>
      <c r="H175" s="83"/>
      <c r="I175" s="84">
        <f>+I19</f>
        <v>1996956.81</v>
      </c>
      <c r="J175" s="84">
        <f>+J19</f>
        <v>1198291.6399999999</v>
      </c>
      <c r="K175" s="84">
        <f>+K19</f>
        <v>3195248.45</v>
      </c>
      <c r="M175" s="20"/>
      <c r="S175" s="18"/>
    </row>
    <row r="176" spans="1:19" hidden="1" x14ac:dyDescent="0.2">
      <c r="A176" s="109" t="s">
        <v>141</v>
      </c>
      <c r="B176" s="18"/>
      <c r="C176" s="18"/>
      <c r="D176" s="82" t="s">
        <v>141</v>
      </c>
      <c r="E176" s="83">
        <f>+E24</f>
        <v>1366081.1100000013</v>
      </c>
      <c r="F176" s="32">
        <f t="shared" si="31"/>
        <v>0</v>
      </c>
      <c r="G176" s="165"/>
      <c r="H176" s="83"/>
      <c r="I176" s="84">
        <f>+I24</f>
        <v>1343874.9400000013</v>
      </c>
      <c r="J176" s="84">
        <f>+J24</f>
        <v>-266474.03999999998</v>
      </c>
      <c r="K176" s="84">
        <f>+K24</f>
        <v>1077400.9000000013</v>
      </c>
      <c r="M176" s="20"/>
      <c r="S176" s="18"/>
    </row>
    <row r="177" spans="1:19" hidden="1" x14ac:dyDescent="0.2">
      <c r="A177" s="109" t="s">
        <v>61</v>
      </c>
      <c r="B177" s="18"/>
      <c r="C177" s="18"/>
      <c r="D177" s="82" t="s">
        <v>61</v>
      </c>
      <c r="E177" s="32">
        <f>+E30</f>
        <v>1807536.2000000002</v>
      </c>
      <c r="F177" s="32">
        <f t="shared" si="31"/>
        <v>0</v>
      </c>
      <c r="G177" s="157"/>
      <c r="H177" s="32"/>
      <c r="I177" s="84">
        <f>+I30</f>
        <v>2267197.2000000002</v>
      </c>
      <c r="J177" s="84">
        <f>+J30</f>
        <v>0</v>
      </c>
      <c r="K177" s="84">
        <f>+K30</f>
        <v>2267197.2000000002</v>
      </c>
      <c r="M177" s="20"/>
      <c r="S177" s="18"/>
    </row>
    <row r="178" spans="1:19" hidden="1" x14ac:dyDescent="0.2">
      <c r="A178" s="109" t="s">
        <v>143</v>
      </c>
      <c r="B178" s="18"/>
      <c r="C178" s="18"/>
      <c r="D178" s="82" t="s">
        <v>143</v>
      </c>
      <c r="E178" s="32">
        <f>+E83</f>
        <v>52470038.910000004</v>
      </c>
      <c r="F178" s="32">
        <f t="shared" si="31"/>
        <v>0</v>
      </c>
      <c r="G178" s="157"/>
      <c r="H178" s="32"/>
      <c r="I178" s="84">
        <f>+I83</f>
        <v>54852131.979999997</v>
      </c>
      <c r="J178" s="84">
        <f>+J83</f>
        <v>-931817.6</v>
      </c>
      <c r="K178" s="84">
        <f>+K83</f>
        <v>53920314.379999995</v>
      </c>
      <c r="M178" s="20"/>
      <c r="S178" s="18"/>
    </row>
    <row r="179" spans="1:19" hidden="1" x14ac:dyDescent="0.2">
      <c r="A179" s="109" t="s">
        <v>151</v>
      </c>
      <c r="B179" s="18"/>
      <c r="C179" s="18"/>
      <c r="D179" s="82" t="s">
        <v>151</v>
      </c>
      <c r="E179" s="32">
        <f>+E98</f>
        <v>30918925.040000003</v>
      </c>
      <c r="F179" s="32">
        <f t="shared" si="31"/>
        <v>0</v>
      </c>
      <c r="G179" s="157"/>
      <c r="H179" s="32"/>
      <c r="I179" s="84">
        <f>+I98</f>
        <v>30743716.040000003</v>
      </c>
      <c r="J179" s="84">
        <f>+J98</f>
        <v>0</v>
      </c>
      <c r="K179" s="84">
        <f>+K98</f>
        <v>30743716.040000003</v>
      </c>
      <c r="M179" s="20"/>
      <c r="S179" s="18"/>
    </row>
    <row r="180" spans="1:19" hidden="1" x14ac:dyDescent="0.2">
      <c r="A180" s="109" t="s">
        <v>62</v>
      </c>
      <c r="B180" s="18"/>
      <c r="C180" s="18"/>
      <c r="D180" s="82" t="s">
        <v>62</v>
      </c>
      <c r="E180" s="32">
        <v>0</v>
      </c>
      <c r="F180" s="32">
        <f t="shared" si="31"/>
        <v>0</v>
      </c>
      <c r="G180" s="157"/>
      <c r="H180" s="32"/>
      <c r="I180" s="84">
        <v>0</v>
      </c>
      <c r="J180" s="84">
        <v>0</v>
      </c>
      <c r="K180" s="84">
        <v>0</v>
      </c>
      <c r="M180" s="20"/>
      <c r="S180" s="18"/>
    </row>
    <row r="181" spans="1:19" hidden="1" x14ac:dyDescent="0.2">
      <c r="A181" s="109" t="s">
        <v>152</v>
      </c>
      <c r="B181" s="18"/>
      <c r="C181" s="18"/>
      <c r="D181" s="82" t="s">
        <v>152</v>
      </c>
      <c r="E181" s="32">
        <f>+E116</f>
        <v>-8350690.4499999993</v>
      </c>
      <c r="F181" s="32" t="e">
        <f>+F108+#REF!</f>
        <v>#REF!</v>
      </c>
      <c r="G181" s="157"/>
      <c r="H181" s="32"/>
      <c r="I181" s="84">
        <f>+I116</f>
        <v>-5095325.7799999993</v>
      </c>
      <c r="J181" s="84">
        <f>+J116</f>
        <v>0</v>
      </c>
      <c r="K181" s="84">
        <f>+K116</f>
        <v>-5095325.7799999993</v>
      </c>
      <c r="M181" s="20"/>
      <c r="S181" s="18"/>
    </row>
    <row r="182" spans="1:19" hidden="1" x14ac:dyDescent="0.2">
      <c r="A182" s="109"/>
      <c r="B182" s="18"/>
      <c r="C182" s="18"/>
      <c r="D182" s="82" t="s">
        <v>189</v>
      </c>
      <c r="E182" s="32">
        <f>E121</f>
        <v>0</v>
      </c>
      <c r="F182" s="32"/>
      <c r="G182" s="157"/>
      <c r="H182" s="32"/>
      <c r="I182" s="84">
        <f>I121</f>
        <v>0</v>
      </c>
      <c r="J182" s="84">
        <f>J121</f>
        <v>0</v>
      </c>
      <c r="K182" s="84">
        <f>K121</f>
        <v>0</v>
      </c>
      <c r="M182" s="20"/>
      <c r="S182" s="18"/>
    </row>
    <row r="183" spans="1:19" hidden="1" x14ac:dyDescent="0.2">
      <c r="A183" s="109" t="s">
        <v>154</v>
      </c>
      <c r="B183" s="18"/>
      <c r="C183" s="18"/>
      <c r="D183" s="82" t="s">
        <v>154</v>
      </c>
      <c r="E183" s="32">
        <f>+E124</f>
        <v>0</v>
      </c>
      <c r="F183" s="32" t="e">
        <f>+#REF!+#REF!</f>
        <v>#REF!</v>
      </c>
      <c r="G183" s="157"/>
      <c r="H183" s="32"/>
      <c r="I183" s="84">
        <f>+I124</f>
        <v>0</v>
      </c>
      <c r="J183" s="84">
        <f>+J124</f>
        <v>0</v>
      </c>
      <c r="K183" s="84">
        <f>+K124</f>
        <v>0</v>
      </c>
      <c r="M183" s="20"/>
      <c r="S183" s="18"/>
    </row>
    <row r="184" spans="1:19" hidden="1" x14ac:dyDescent="0.2">
      <c r="A184" s="109" t="s">
        <v>153</v>
      </c>
      <c r="B184" s="18"/>
      <c r="C184" s="18"/>
      <c r="D184" s="82" t="s">
        <v>153</v>
      </c>
      <c r="E184" s="32">
        <f>+E132</f>
        <v>-14528.750000000004</v>
      </c>
      <c r="F184" s="32" t="e">
        <f>+#REF!+F109</f>
        <v>#REF!</v>
      </c>
      <c r="G184" s="157"/>
      <c r="H184" s="32"/>
      <c r="I184" s="84">
        <f>+I132</f>
        <v>-430455.43</v>
      </c>
      <c r="J184" s="84">
        <f>+J132</f>
        <v>0</v>
      </c>
      <c r="K184" s="84">
        <f>+K132</f>
        <v>-430455.43</v>
      </c>
      <c r="M184" s="20"/>
      <c r="S184" s="18"/>
    </row>
    <row r="185" spans="1:19" hidden="1" x14ac:dyDescent="0.2">
      <c r="A185" s="109" t="s">
        <v>155</v>
      </c>
      <c r="B185" s="18"/>
      <c r="C185" s="18"/>
      <c r="D185" s="82" t="s">
        <v>155</v>
      </c>
      <c r="E185" s="32">
        <f>+E142</f>
        <v>-49464496.650000006</v>
      </c>
      <c r="F185" s="32">
        <f t="shared" ref="F185" si="32">+F109+F110</f>
        <v>0</v>
      </c>
      <c r="G185" s="157"/>
      <c r="H185" s="32"/>
      <c r="I185" s="84">
        <f>+I142</f>
        <v>-49114938.160000004</v>
      </c>
      <c r="J185" s="84">
        <f>+J142</f>
        <v>0</v>
      </c>
      <c r="K185" s="84">
        <f>+K142</f>
        <v>-49114938.160000004</v>
      </c>
      <c r="M185" s="20"/>
      <c r="S185" s="18"/>
    </row>
    <row r="186" spans="1:19" hidden="1" x14ac:dyDescent="0.2">
      <c r="A186" s="109"/>
      <c r="B186" s="18"/>
      <c r="C186" s="18"/>
      <c r="D186" s="85"/>
      <c r="E186" s="83"/>
      <c r="F186" s="83"/>
      <c r="G186" s="165"/>
      <c r="H186" s="83"/>
      <c r="I186" s="86"/>
      <c r="J186" s="86"/>
      <c r="K186" s="86"/>
      <c r="M186" s="20"/>
      <c r="S186" s="18"/>
    </row>
    <row r="187" spans="1:19" hidden="1" x14ac:dyDescent="0.2">
      <c r="A187" s="109" t="s">
        <v>121</v>
      </c>
      <c r="B187" s="18"/>
      <c r="C187" s="18"/>
      <c r="D187" s="87" t="s">
        <v>121</v>
      </c>
      <c r="E187" s="88">
        <f>SUM(E173:E186)</f>
        <v>30729822.219999999</v>
      </c>
      <c r="F187" s="88" t="e">
        <f>SUM(F177:F186)</f>
        <v>#REF!</v>
      </c>
      <c r="G187" s="166"/>
      <c r="H187" s="88"/>
      <c r="I187" s="89">
        <f>SUM(I173:I186)</f>
        <v>36563157.599999987</v>
      </c>
      <c r="J187" s="89">
        <f>SUM(J173:J186)</f>
        <v>-1.1641532182693481E-10</v>
      </c>
      <c r="K187" s="89">
        <f>SUM(K173:K186)</f>
        <v>36563157.599999987</v>
      </c>
      <c r="M187" s="20"/>
      <c r="S187" s="18"/>
    </row>
    <row r="188" spans="1:19" hidden="1" x14ac:dyDescent="0.2">
      <c r="B188" s="18"/>
      <c r="C188" s="18"/>
      <c r="F188" s="19"/>
      <c r="G188" s="148"/>
      <c r="H188" s="19"/>
      <c r="I188" s="19"/>
      <c r="J188" s="19"/>
      <c r="K188" s="19"/>
      <c r="M188" s="20"/>
      <c r="S188" s="18"/>
    </row>
    <row r="189" spans="1:19" hidden="1" x14ac:dyDescent="0.2">
      <c r="B189" s="18"/>
      <c r="C189" s="18"/>
      <c r="E189" s="19">
        <f>+E187-E146</f>
        <v>-7545462.8300000057</v>
      </c>
      <c r="F189" s="19"/>
      <c r="G189" s="148"/>
      <c r="H189" s="19"/>
      <c r="I189" s="19">
        <f>+I187-I146</f>
        <v>-7913897.2900000215</v>
      </c>
      <c r="J189" s="19">
        <f>+J187-J146</f>
        <v>-1.1641532182693481E-10</v>
      </c>
      <c r="K189" s="19">
        <f>+K187-K146</f>
        <v>-7913897.2900000215</v>
      </c>
      <c r="M189" s="20"/>
      <c r="S189" s="18"/>
    </row>
    <row r="190" spans="1:19" hidden="1" x14ac:dyDescent="0.2">
      <c r="B190" s="18"/>
      <c r="C190" s="18"/>
      <c r="F190" s="19"/>
      <c r="G190" s="148"/>
      <c r="H190" s="19"/>
      <c r="I190" s="19"/>
      <c r="J190" s="19"/>
      <c r="K190" s="19"/>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A193" s="100" t="s">
        <v>63</v>
      </c>
      <c r="B193" s="18"/>
      <c r="C193" s="18"/>
      <c r="D193" s="4" t="s">
        <v>63</v>
      </c>
      <c r="F193" s="19"/>
      <c r="G193" s="148">
        <f>+G34+G42+G44+G46+G48+G90+G57+G59+G15+G50+G66+G55+G65</f>
        <v>-5273</v>
      </c>
      <c r="H193" s="19">
        <f>+H34+H52+H42+H44+H46+H48+H90+H57+H59+H15+H50+H66+H55</f>
        <v>0</v>
      </c>
      <c r="I193" s="19"/>
      <c r="J193" s="19"/>
      <c r="K193" s="19"/>
      <c r="M193" s="20"/>
      <c r="S193" s="18"/>
    </row>
    <row r="194" spans="1:19" hidden="1" x14ac:dyDescent="0.2">
      <c r="A194" s="100" t="s">
        <v>64</v>
      </c>
      <c r="B194" s="18"/>
      <c r="C194" s="18"/>
      <c r="D194" s="34" t="s">
        <v>64</v>
      </c>
      <c r="F194" s="19"/>
      <c r="G194" s="148">
        <f>+G9+G100+G10</f>
        <v>0</v>
      </c>
      <c r="H194" s="19">
        <f>+H9+H100+H10</f>
        <v>0</v>
      </c>
      <c r="I194" s="19"/>
      <c r="J194" s="19"/>
      <c r="K194" s="19"/>
      <c r="M194" s="20"/>
      <c r="S194" s="18"/>
    </row>
    <row r="195" spans="1:19" hidden="1" x14ac:dyDescent="0.2">
      <c r="A195" s="100" t="s">
        <v>65</v>
      </c>
      <c r="B195" s="18"/>
      <c r="C195" s="18"/>
      <c r="D195" s="34" t="s">
        <v>65</v>
      </c>
      <c r="F195" s="19"/>
      <c r="G195" s="148">
        <f>+G108+G109+G110+G111+G107+G112</f>
        <v>3380267.88</v>
      </c>
      <c r="H195" s="19">
        <f>+H108+H109+H110+H111+H107</f>
        <v>-124903.21</v>
      </c>
      <c r="I195" s="19"/>
      <c r="J195" s="19"/>
      <c r="K195" s="19"/>
      <c r="M195" s="20"/>
      <c r="S195" s="18"/>
    </row>
    <row r="196" spans="1:19" hidden="1" x14ac:dyDescent="0.2">
      <c r="B196" s="18"/>
      <c r="C196" s="18"/>
      <c r="F196" s="19"/>
      <c r="G196" s="148"/>
      <c r="H196" s="19"/>
      <c r="I196" s="19"/>
      <c r="J196" s="19"/>
      <c r="K196" s="19"/>
      <c r="M196" s="20"/>
      <c r="S196" s="18"/>
    </row>
    <row r="197" spans="1:19" hidden="1" x14ac:dyDescent="0.2">
      <c r="B197" s="18"/>
      <c r="C197" s="18"/>
      <c r="F197" s="19"/>
      <c r="G197" s="167">
        <f>+G193+G194+G195-G150</f>
        <v>3374994.88</v>
      </c>
      <c r="H197" s="110">
        <f>+H193+H194+H195-H150</f>
        <v>-124903.21</v>
      </c>
      <c r="I197" s="19"/>
      <c r="J197" s="19"/>
      <c r="K197" s="19"/>
      <c r="M197" s="20"/>
      <c r="S197" s="18"/>
    </row>
    <row r="198" spans="1:19" hidden="1" x14ac:dyDescent="0.2">
      <c r="B198" s="18"/>
      <c r="C198" s="18"/>
      <c r="F198" s="19"/>
      <c r="H198" s="29">
        <f>+H194+H195+H193+G193+G194+G195</f>
        <v>3250091.67</v>
      </c>
      <c r="I198" s="19"/>
      <c r="J198" s="19"/>
      <c r="K198" s="19"/>
      <c r="M198" s="20"/>
      <c r="S198" s="18"/>
    </row>
    <row r="199" spans="1:19" hidden="1" x14ac:dyDescent="0.2">
      <c r="B199" s="18"/>
      <c r="C199" s="18"/>
      <c r="F199" s="19"/>
      <c r="G199" s="148"/>
      <c r="H199" s="29">
        <f>+H198-G150-H150</f>
        <v>3250091.67</v>
      </c>
      <c r="I199" s="19"/>
      <c r="J199" s="19"/>
      <c r="K199" s="19"/>
      <c r="M199" s="20"/>
      <c r="S199" s="18"/>
    </row>
    <row r="200" spans="1:19" x14ac:dyDescent="0.2">
      <c r="B200" s="18"/>
      <c r="C200" s="18"/>
      <c r="F200" s="19"/>
      <c r="G200" s="148"/>
      <c r="H200" s="19"/>
      <c r="I200" s="19"/>
      <c r="J200" s="19"/>
      <c r="K200" s="19"/>
      <c r="M200" s="20"/>
      <c r="S200" s="18"/>
    </row>
    <row r="201" spans="1:19" ht="12.75" hidden="1" customHeight="1" x14ac:dyDescent="0.2">
      <c r="B201" s="18"/>
      <c r="C201" s="18"/>
      <c r="F201" s="19"/>
      <c r="G201" s="148"/>
      <c r="H201" s="19"/>
      <c r="I201" s="19"/>
      <c r="J201" s="19"/>
      <c r="K201" s="19"/>
      <c r="M201" s="20"/>
      <c r="S201" s="18"/>
    </row>
    <row r="202" spans="1:19" ht="12.75" hidden="1" customHeight="1" x14ac:dyDescent="0.2">
      <c r="A202" s="101" t="s">
        <v>144</v>
      </c>
      <c r="B202" s="18"/>
      <c r="C202" s="18"/>
      <c r="D202" s="22" t="s">
        <v>144</v>
      </c>
      <c r="E202" s="4" t="s">
        <v>121</v>
      </c>
      <c r="F202" s="19" t="s">
        <v>147</v>
      </c>
      <c r="G202" s="148" t="s">
        <v>148</v>
      </c>
      <c r="H202" s="19"/>
      <c r="I202" s="19"/>
      <c r="J202" s="19"/>
      <c r="K202" s="19"/>
      <c r="M202" s="20"/>
      <c r="S202" s="18"/>
    </row>
    <row r="203" spans="1:19" ht="12.75" hidden="1" customHeight="1" x14ac:dyDescent="0.2">
      <c r="A203" s="101" t="s">
        <v>145</v>
      </c>
      <c r="B203" s="18"/>
      <c r="C203" s="18"/>
      <c r="D203" s="22" t="s">
        <v>145</v>
      </c>
      <c r="E203" s="19">
        <v>19066028.010000002</v>
      </c>
      <c r="F203" s="19">
        <v>62319564.710000008</v>
      </c>
      <c r="G203" s="148">
        <v>-43253536.700000003</v>
      </c>
      <c r="H203" s="19"/>
      <c r="I203" s="19"/>
      <c r="J203" s="19"/>
      <c r="K203" s="19"/>
      <c r="M203" s="20"/>
      <c r="S203" s="18"/>
    </row>
    <row r="204" spans="1:19" ht="12.75" hidden="1" customHeight="1" x14ac:dyDescent="0.2">
      <c r="A204" s="101" t="s">
        <v>146</v>
      </c>
      <c r="B204" s="18"/>
      <c r="C204" s="18"/>
      <c r="D204" s="22" t="s">
        <v>146</v>
      </c>
      <c r="F204" s="19"/>
      <c r="G204" s="148"/>
      <c r="H204" s="19"/>
      <c r="I204" s="19"/>
      <c r="J204" s="19"/>
      <c r="K204" s="19"/>
      <c r="M204" s="20"/>
      <c r="S204" s="18"/>
    </row>
    <row r="205" spans="1:19" ht="12.75" hidden="1" customHeight="1" x14ac:dyDescent="0.2">
      <c r="A205" s="100" t="s">
        <v>149</v>
      </c>
      <c r="B205" s="18"/>
      <c r="C205" s="18"/>
      <c r="D205" s="4" t="s">
        <v>149</v>
      </c>
      <c r="E205" s="29">
        <f>SUM(F205:G205)</f>
        <v>905563</v>
      </c>
      <c r="F205" s="19">
        <v>905563</v>
      </c>
      <c r="G205" s="148"/>
      <c r="H205" s="19"/>
      <c r="I205" s="19"/>
      <c r="J205" s="19"/>
      <c r="K205" s="19"/>
      <c r="M205" s="20"/>
      <c r="S205" s="18"/>
    </row>
    <row r="206" spans="1:19" ht="12.75" hidden="1" customHeight="1" x14ac:dyDescent="0.2">
      <c r="A206" s="100" t="s">
        <v>150</v>
      </c>
      <c r="B206" s="18"/>
      <c r="C206" s="18"/>
      <c r="D206" s="4" t="s">
        <v>150</v>
      </c>
      <c r="E206" s="29">
        <f>SUM(F206:G206)</f>
        <v>-905563</v>
      </c>
      <c r="G206" s="148">
        <v>-905563</v>
      </c>
      <c r="H206" s="19"/>
      <c r="I206" s="19"/>
      <c r="J206" s="19"/>
      <c r="K206" s="19"/>
      <c r="M206" s="20"/>
      <c r="S206" s="18"/>
    </row>
    <row r="207" spans="1:19" ht="12.75" hidden="1" customHeight="1" x14ac:dyDescent="0.2">
      <c r="B207" s="18"/>
      <c r="C207" s="18"/>
      <c r="F207" s="19"/>
      <c r="G207" s="148"/>
      <c r="H207" s="19"/>
      <c r="I207" s="19"/>
      <c r="J207" s="19"/>
      <c r="K207" s="19"/>
      <c r="M207" s="20"/>
      <c r="S207" s="18"/>
    </row>
    <row r="208" spans="1:19" ht="12.75" hidden="1" customHeight="1" x14ac:dyDescent="0.2">
      <c r="B208" s="18"/>
      <c r="C208" s="18"/>
      <c r="E208" s="94"/>
      <c r="F208" s="95"/>
      <c r="G208" s="169"/>
      <c r="H208" s="19"/>
      <c r="I208" s="19"/>
      <c r="J208" s="19"/>
      <c r="K208" s="19"/>
      <c r="M208" s="20"/>
      <c r="S208" s="18"/>
    </row>
    <row r="209" spans="1:19" ht="12.75" hidden="1" customHeight="1" x14ac:dyDescent="0.2">
      <c r="B209" s="18"/>
      <c r="C209" s="18"/>
      <c r="E209" s="29">
        <f>SUM(E203:E208)</f>
        <v>19066028.010000002</v>
      </c>
      <c r="F209" s="29">
        <f>SUM(F203:F208)</f>
        <v>63225127.710000008</v>
      </c>
      <c r="G209" s="151">
        <f>SUM(G203:G208)</f>
        <v>-44159099.700000003</v>
      </c>
      <c r="H209" s="19"/>
      <c r="I209" s="19"/>
      <c r="J209" s="19"/>
      <c r="K209" s="19"/>
      <c r="M209" s="20"/>
      <c r="S209" s="18"/>
    </row>
    <row r="210" spans="1:19" x14ac:dyDescent="0.2">
      <c r="B210" s="18"/>
      <c r="C210" s="18"/>
      <c r="E210" s="98"/>
      <c r="F210" s="19"/>
      <c r="G210" s="148"/>
      <c r="H210" s="19"/>
      <c r="I210" s="19"/>
      <c r="J210" s="19"/>
      <c r="K210" s="19"/>
      <c r="M210" s="20"/>
      <c r="S210" s="18"/>
    </row>
    <row r="211" spans="1:19" x14ac:dyDescent="0.2">
      <c r="B211" s="18"/>
      <c r="C211" s="18"/>
      <c r="E211" s="83"/>
      <c r="F211" s="19"/>
      <c r="G211" s="232"/>
      <c r="H211" s="19"/>
      <c r="I211" s="19"/>
      <c r="J211" s="19"/>
      <c r="K211" s="19"/>
      <c r="M211" s="20"/>
      <c r="S211" s="18"/>
    </row>
    <row r="212" spans="1:19" x14ac:dyDescent="0.2">
      <c r="B212" s="18"/>
      <c r="C212" s="18"/>
      <c r="E212" s="83"/>
      <c r="F212" s="19"/>
      <c r="G212" s="148"/>
      <c r="H212" s="19"/>
      <c r="I212" s="19"/>
      <c r="J212" s="19"/>
      <c r="K212" s="19"/>
      <c r="M212" s="20"/>
      <c r="S212" s="18"/>
    </row>
    <row r="213" spans="1:19" x14ac:dyDescent="0.2">
      <c r="B213" s="18"/>
      <c r="C213" s="18"/>
      <c r="E213" s="234"/>
      <c r="F213" s="19"/>
      <c r="G213" s="148"/>
      <c r="H213" s="19"/>
      <c r="I213" s="19"/>
      <c r="J213" s="19"/>
      <c r="K213" s="19"/>
      <c r="M213" s="20"/>
      <c r="S213" s="18"/>
    </row>
    <row r="214" spans="1:19" x14ac:dyDescent="0.2">
      <c r="B214" s="18"/>
      <c r="C214" s="18"/>
      <c r="E214" s="98"/>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x14ac:dyDescent="0.2">
      <c r="H329" s="19"/>
    </row>
  </sheetData>
  <mergeCells count="1">
    <mergeCell ref="Q5:R5"/>
  </mergeCells>
  <conditionalFormatting sqref="H197 G199">
    <cfRule type="cellIs" dxfId="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30"/>
  <sheetViews>
    <sheetView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7" t="s">
        <v>66</v>
      </c>
    </row>
    <row r="4" spans="1:22" x14ac:dyDescent="0.2">
      <c r="A4" s="99"/>
      <c r="B4" s="7"/>
      <c r="C4" s="3"/>
      <c r="D4" s="3"/>
      <c r="E4" s="212"/>
      <c r="F4" s="8"/>
      <c r="G4" s="215"/>
      <c r="H4" s="216"/>
      <c r="I4" s="202"/>
      <c r="J4" s="202"/>
      <c r="K4" s="202"/>
      <c r="M4" s="10"/>
      <c r="P4" s="287" t="s">
        <v>1</v>
      </c>
    </row>
    <row r="5" spans="1:22" x14ac:dyDescent="0.2">
      <c r="E5" s="217" t="s">
        <v>208</v>
      </c>
      <c r="F5" s="287" t="s">
        <v>3</v>
      </c>
      <c r="G5" s="287" t="s">
        <v>4</v>
      </c>
      <c r="H5" s="287"/>
      <c r="I5" s="204" t="s">
        <v>208</v>
      </c>
      <c r="J5" s="261" t="s">
        <v>180</v>
      </c>
      <c r="K5" s="204" t="s">
        <v>209</v>
      </c>
      <c r="L5" s="287" t="s">
        <v>5</v>
      </c>
      <c r="M5" s="11" t="s">
        <v>6</v>
      </c>
      <c r="N5" s="11" t="s">
        <v>0</v>
      </c>
      <c r="O5" s="11" t="s">
        <v>8</v>
      </c>
      <c r="P5" s="287" t="s">
        <v>9</v>
      </c>
      <c r="Q5" s="576" t="s">
        <v>10</v>
      </c>
      <c r="R5" s="576"/>
      <c r="U5" s="12" t="s">
        <v>11</v>
      </c>
    </row>
    <row r="6" spans="1:22" x14ac:dyDescent="0.2">
      <c r="E6" s="218">
        <v>42825</v>
      </c>
      <c r="F6" s="13" t="s">
        <v>12</v>
      </c>
      <c r="G6" s="14" t="s">
        <v>13</v>
      </c>
      <c r="H6" s="14" t="s">
        <v>8</v>
      </c>
      <c r="I6" s="205">
        <v>42916</v>
      </c>
      <c r="J6" s="261" t="s">
        <v>210</v>
      </c>
      <c r="K6" s="205">
        <f>I6</f>
        <v>42916</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Q1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Q1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Q1 2017'!$A$1:$I$251,9,FALSE)</f>
        <v>648693.81000000006</v>
      </c>
      <c r="F15" s="30">
        <v>0</v>
      </c>
      <c r="G15" s="33">
        <v>-291071</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Q1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Q1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1996956.81</v>
      </c>
      <c r="F19" s="29">
        <f t="shared" ref="F19:J19" si="2">SUM(F15:F18)</f>
        <v>0</v>
      </c>
      <c r="G19" s="29">
        <f t="shared" si="2"/>
        <v>-291071</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Q1 2017'!$A$1:$I$251,9,FALSE)</f>
        <v>1388287.2900000012</v>
      </c>
      <c r="F22" s="33">
        <v>0</v>
      </c>
      <c r="G22" s="33">
        <v>0</v>
      </c>
      <c r="H22" s="33">
        <v>-66618.52</v>
      </c>
      <c r="I22" s="115">
        <f>E22+F22+G22+H22</f>
        <v>1321668.7700000012</v>
      </c>
      <c r="J22" s="30">
        <v>-266474.03999999998</v>
      </c>
      <c r="K22" s="115">
        <f>I22+J22</f>
        <v>1055194.7300000011</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1388287.2900000012</v>
      </c>
      <c r="F24" s="29">
        <f t="shared" ref="F24:K24" si="3">SUM(F22:F23)</f>
        <v>0</v>
      </c>
      <c r="G24" s="29">
        <f t="shared" si="3"/>
        <v>0</v>
      </c>
      <c r="H24" s="29">
        <f t="shared" si="3"/>
        <v>-66618.52</v>
      </c>
      <c r="I24" s="269">
        <f t="shared" si="3"/>
        <v>1321668.7700000012</v>
      </c>
      <c r="J24" s="49">
        <f t="shared" si="3"/>
        <v>-266474.03999999998</v>
      </c>
      <c r="K24" s="269">
        <f t="shared" si="3"/>
        <v>1055194.7300000011</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Q1 2017'!$A$1:$I$251,9,FALSE)</f>
        <v>2231675</v>
      </c>
      <c r="F27" s="33">
        <v>0</v>
      </c>
      <c r="G27" s="33">
        <v>53283</v>
      </c>
      <c r="H27" s="29">
        <v>0</v>
      </c>
      <c r="I27" s="115">
        <f>E27+F27+G27+H27</f>
        <v>2284958</v>
      </c>
      <c r="J27" s="33">
        <v>0</v>
      </c>
      <c r="K27" s="115">
        <f>I27+J27</f>
        <v>2284958</v>
      </c>
      <c r="L27" s="210" t="s">
        <v>22</v>
      </c>
      <c r="M27" s="226"/>
      <c r="S27" s="28" t="s">
        <v>23</v>
      </c>
    </row>
    <row r="28" spans="1:21" ht="13.5" customHeight="1" x14ac:dyDescent="0.2">
      <c r="A28" s="100" t="s">
        <v>80</v>
      </c>
      <c r="B28" s="28"/>
      <c r="C28" s="28" t="s">
        <v>24</v>
      </c>
      <c r="D28" s="4" t="s">
        <v>204</v>
      </c>
      <c r="E28" s="32">
        <f>VLOOKUP(A28,'DEK Q1 2017'!$A$1:$I$251,9,FALSE)</f>
        <v>0.20000000018626451</v>
      </c>
      <c r="F28" s="33">
        <v>0</v>
      </c>
      <c r="G28" s="33">
        <v>-411875</v>
      </c>
      <c r="H28" s="32">
        <v>0</v>
      </c>
      <c r="I28" s="115">
        <f>E28+F28+G28+H28</f>
        <v>-411874.79999999981</v>
      </c>
      <c r="J28" s="33">
        <v>0</v>
      </c>
      <c r="K28" s="115">
        <f>I28+J28</f>
        <v>-411874.79999999981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2231675.2000000002</v>
      </c>
      <c r="F30" s="44">
        <f t="shared" ref="F30:K30" si="4">SUM(F27:F28)</f>
        <v>0</v>
      </c>
      <c r="G30" s="33">
        <f t="shared" si="4"/>
        <v>-358592</v>
      </c>
      <c r="H30" s="33">
        <f t="shared" si="4"/>
        <v>0</v>
      </c>
      <c r="I30" s="269">
        <f t="shared" si="4"/>
        <v>1873083.2000000002</v>
      </c>
      <c r="J30" s="33">
        <f t="shared" si="4"/>
        <v>0</v>
      </c>
      <c r="K30" s="269">
        <f t="shared" si="4"/>
        <v>1873083.2000000002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Q1 2017'!$A$1:$I$251,9,FALSE)</f>
        <v>931817.58000000182</v>
      </c>
      <c r="F52" s="33">
        <v>0</v>
      </c>
      <c r="G52" s="33">
        <v>2077574.25</v>
      </c>
      <c r="H52" s="33">
        <v>0</v>
      </c>
      <c r="I52" s="115">
        <f>E52+F52+G52+H52</f>
        <v>3009391.8300000019</v>
      </c>
      <c r="J52" s="30">
        <v>-2485884</v>
      </c>
      <c r="K52" s="115">
        <f>I52+J52</f>
        <v>523507.83000000194</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Q1 2017'!$A$1:$I$251,9,FALSE)</f>
        <v>4670462</v>
      </c>
      <c r="F53" s="33">
        <v>0</v>
      </c>
      <c r="G53" s="33">
        <v>349717</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Q1 2017'!$A$1:$I$251,9,FALSE)</f>
        <v>1650000</v>
      </c>
      <c r="F59" s="33">
        <v>0</v>
      </c>
      <c r="G59" s="33">
        <v>50000</v>
      </c>
      <c r="H59" s="33">
        <v>0</v>
      </c>
      <c r="I59" s="115">
        <f>E59+F59+G59+H59</f>
        <v>1700000</v>
      </c>
      <c r="J59" s="33">
        <v>0</v>
      </c>
      <c r="K59" s="115">
        <f>I59+J59</f>
        <v>1700000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Q1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Q1 2017'!$A$1:$I$251,9,FALSE)</f>
        <v>26061798.66</v>
      </c>
      <c r="F67" s="172"/>
      <c r="G67" s="33">
        <v>2757915.63</v>
      </c>
      <c r="H67" s="172"/>
      <c r="I67" s="115">
        <f t="shared" si="5"/>
        <v>28819714.289999999</v>
      </c>
      <c r="J67" s="172"/>
      <c r="K67" s="115">
        <f t="shared" si="6"/>
        <v>28819714.289999999</v>
      </c>
      <c r="L67" s="210" t="s">
        <v>250</v>
      </c>
      <c r="M67" s="20" t="s">
        <v>246</v>
      </c>
      <c r="S67" s="18"/>
    </row>
    <row r="68" spans="1:19" ht="12.75" customHeight="1" x14ac:dyDescent="0.35">
      <c r="B68" s="28"/>
      <c r="C68" s="28"/>
      <c r="E68" s="32" t="s">
        <v>222</v>
      </c>
      <c r="F68" s="172"/>
      <c r="G68" s="33"/>
      <c r="H68" s="172"/>
      <c r="I68" s="115"/>
      <c r="J68" s="172"/>
      <c r="K68" s="115"/>
      <c r="M68" s="20"/>
      <c r="S68" s="18"/>
    </row>
    <row r="69" spans="1:19" ht="20.25" customHeight="1" x14ac:dyDescent="0.35">
      <c r="A69" s="100" t="s">
        <v>238</v>
      </c>
      <c r="B69" s="28"/>
      <c r="C69" s="28" t="s">
        <v>236</v>
      </c>
      <c r="D69" s="4" t="s">
        <v>238</v>
      </c>
      <c r="E69" s="32">
        <f>VLOOKUP(A69,'DEK Q1 2017'!$A$1:$I$251,9,FALSE)</f>
        <v>0</v>
      </c>
      <c r="F69" s="172"/>
      <c r="G69" s="33">
        <v>0</v>
      </c>
      <c r="H69" s="33"/>
      <c r="I69" s="115">
        <f t="shared" si="5"/>
        <v>0</v>
      </c>
      <c r="J69" s="33"/>
      <c r="K69" s="115">
        <f t="shared" si="6"/>
        <v>0</v>
      </c>
      <c r="L69" s="210" t="s">
        <v>251</v>
      </c>
      <c r="M69" s="20"/>
      <c r="S69" s="18"/>
    </row>
    <row r="70" spans="1:19" ht="12.75" customHeight="1" x14ac:dyDescent="0.35">
      <c r="B70" s="28"/>
      <c r="C70" s="28"/>
      <c r="E70" s="32">
        <v>0</v>
      </c>
      <c r="F70" s="172"/>
      <c r="G70" s="33"/>
      <c r="H70" s="144"/>
      <c r="I70" s="115" t="s">
        <v>222</v>
      </c>
      <c r="J70" s="33"/>
      <c r="K70" s="115" t="s">
        <v>222</v>
      </c>
      <c r="L70" s="210"/>
      <c r="M70" s="20"/>
      <c r="S70" s="18"/>
    </row>
    <row r="71" spans="1:19" ht="20.25" customHeight="1" x14ac:dyDescent="0.35">
      <c r="A71" s="100" t="s">
        <v>296</v>
      </c>
      <c r="B71" s="28"/>
      <c r="C71" s="28" t="s">
        <v>297</v>
      </c>
      <c r="D71" s="4" t="s">
        <v>296</v>
      </c>
      <c r="E71" s="32">
        <v>0</v>
      </c>
      <c r="F71" s="172"/>
      <c r="G71" s="33">
        <v>7214175</v>
      </c>
      <c r="H71" s="33"/>
      <c r="I71" s="115">
        <f>E71+F71+G71+H71-7214175</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Q1 2017'!$A$1:$I$251,9,FALSE)</f>
        <v>-351808.9</v>
      </c>
      <c r="F73" s="172"/>
      <c r="G73" s="33">
        <v>-112192.85</v>
      </c>
      <c r="H73" s="33">
        <v>0</v>
      </c>
      <c r="I73" s="115">
        <f t="shared" si="5"/>
        <v>-464001.75</v>
      </c>
      <c r="J73" s="33"/>
      <c r="K73" s="115">
        <f t="shared" si="6"/>
        <v>-464001.75</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Q1 2017'!$A$1:$I$251,9,FALSE)</f>
        <v>348</v>
      </c>
      <c r="F75" s="172"/>
      <c r="G75" s="33">
        <v>-348</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Q1 2017'!$A$1:$I$251,9,FALSE)</f>
        <v>9893222.9600000009</v>
      </c>
      <c r="F77" s="172"/>
      <c r="G77" s="33">
        <v>1090023.9099999999</v>
      </c>
      <c r="H77" s="33">
        <v>0</v>
      </c>
      <c r="I77" s="115">
        <f t="shared" ref="I77" si="9">E77+F77+G77+H77</f>
        <v>10983246.870000001</v>
      </c>
      <c r="J77" s="33"/>
      <c r="K77" s="115">
        <f t="shared" ref="K77" si="10">I77+J77</f>
        <v>10983246.870000001</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Q1 2017'!$A$1:$I$251,9,FALSE)</f>
        <v>6610.1</v>
      </c>
      <c r="F79" s="172"/>
      <c r="G79" s="33">
        <v>138895.69</v>
      </c>
      <c r="H79" s="33">
        <v>0</v>
      </c>
      <c r="I79" s="115">
        <f t="shared" ref="I79" si="11">E79+F79+G79+H79</f>
        <v>145505.79</v>
      </c>
      <c r="J79" s="33"/>
      <c r="K79" s="115">
        <f t="shared" ref="K79" si="12">I79+J79</f>
        <v>145505.79</v>
      </c>
      <c r="L79" s="210" t="s">
        <v>22</v>
      </c>
      <c r="M79" s="20" t="s">
        <v>247</v>
      </c>
      <c r="S79" s="18"/>
    </row>
    <row r="80" spans="1:19" ht="16.5" hidden="1" customHeight="1" x14ac:dyDescent="0.35">
      <c r="B80" s="28"/>
      <c r="C80" s="28"/>
      <c r="E80" s="32"/>
      <c r="F80" s="172"/>
      <c r="G80" s="144"/>
      <c r="H80" s="33"/>
      <c r="I80" s="115"/>
      <c r="J80" s="33"/>
      <c r="K80" s="115"/>
      <c r="L80" s="210"/>
      <c r="M80" s="20"/>
      <c r="S80" s="18"/>
    </row>
    <row r="81" spans="1:21" ht="12.75" hidden="1" customHeight="1" x14ac:dyDescent="0.35">
      <c r="A81" s="100" t="s">
        <v>234</v>
      </c>
      <c r="B81" s="28"/>
      <c r="C81" s="28" t="s">
        <v>232</v>
      </c>
      <c r="D81" s="4" t="s">
        <v>233</v>
      </c>
      <c r="E81" s="32">
        <f>VLOOKUP(A81,'DEK Q1 2017'!$A$1:$I$251,9,FALSE)</f>
        <v>0</v>
      </c>
      <c r="F81" s="174"/>
      <c r="G81" s="144">
        <v>0</v>
      </c>
      <c r="H81" s="33">
        <v>0</v>
      </c>
      <c r="I81" s="115">
        <f t="shared" ref="I81:I83" si="13">E81+F81+G81+H81</f>
        <v>0</v>
      </c>
      <c r="J81" s="33"/>
      <c r="K81" s="115">
        <f t="shared" ref="K81:K83" si="14">I81+J81</f>
        <v>0</v>
      </c>
      <c r="M81" s="20"/>
      <c r="S81" s="18"/>
    </row>
    <row r="82" spans="1:21" ht="12.75" customHeight="1" x14ac:dyDescent="0.35">
      <c r="B82" s="28"/>
      <c r="C82" s="28"/>
      <c r="E82" s="32"/>
      <c r="F82" s="172"/>
      <c r="G82" s="144"/>
      <c r="H82" s="33"/>
      <c r="I82" s="115"/>
      <c r="J82" s="33"/>
      <c r="K82" s="115"/>
      <c r="M82" s="20"/>
      <c r="S82" s="18"/>
    </row>
    <row r="83" spans="1:21" ht="17.25" customHeight="1" x14ac:dyDescent="0.35">
      <c r="A83" s="100" t="s">
        <v>276</v>
      </c>
      <c r="B83" s="28"/>
      <c r="C83" s="28" t="s">
        <v>275</v>
      </c>
      <c r="D83" s="4" t="s">
        <v>276</v>
      </c>
      <c r="E83" s="35">
        <f>VLOOKUP(A83,'DEK Q1 2017'!$A$1:$I$251,9,FALSE)</f>
        <v>2172194.7599999998</v>
      </c>
      <c r="F83" s="174"/>
      <c r="G83" s="36">
        <v>0</v>
      </c>
      <c r="H83" s="36">
        <v>14920.19</v>
      </c>
      <c r="I83" s="116">
        <f t="shared" si="13"/>
        <v>2187114.9499999997</v>
      </c>
      <c r="J83" s="36"/>
      <c r="K83" s="116">
        <f t="shared" si="14"/>
        <v>2187114.9499999997</v>
      </c>
      <c r="M83" s="20"/>
      <c r="S83" s="18"/>
    </row>
    <row r="84" spans="1:21" x14ac:dyDescent="0.2">
      <c r="B84" s="54"/>
      <c r="C84" s="28"/>
      <c r="E84" s="221">
        <f>SUM(E42:E83)</f>
        <v>49947329.160000004</v>
      </c>
      <c r="F84" s="29">
        <f>SUM(F39:F65)+F36</f>
        <v>0</v>
      </c>
      <c r="G84" s="29">
        <f>SUM(G39:G83)+G36</f>
        <v>13565760.629999999</v>
      </c>
      <c r="H84" s="29">
        <f>SUM(H39:H83)+H36</f>
        <v>14920.19</v>
      </c>
      <c r="I84" s="269">
        <f>SUM(I39:I83)</f>
        <v>56313834.980000012</v>
      </c>
      <c r="J84" s="49">
        <f>SUM(J39:J83)+J36</f>
        <v>-2485884</v>
      </c>
      <c r="K84" s="275">
        <f>SUM(K39:K83)</f>
        <v>61042125.980000012</v>
      </c>
      <c r="L84" s="280" t="s">
        <v>259</v>
      </c>
      <c r="M84" s="20"/>
      <c r="S84" s="18"/>
    </row>
    <row r="85" spans="1:21" x14ac:dyDescent="0.2">
      <c r="B85" s="54"/>
      <c r="C85" s="28"/>
      <c r="E85" s="32"/>
      <c r="F85" s="32"/>
      <c r="G85" s="157"/>
      <c r="H85" s="32"/>
      <c r="I85" s="123"/>
      <c r="J85" s="32"/>
      <c r="K85" s="123"/>
      <c r="L85" s="230"/>
      <c r="M85" s="20"/>
      <c r="S85" s="18"/>
    </row>
    <row r="86" spans="1:21" ht="16.5" customHeight="1" x14ac:dyDescent="0.35">
      <c r="A86" s="100" t="s">
        <v>255</v>
      </c>
      <c r="B86" s="28"/>
      <c r="C86" s="28" t="s">
        <v>254</v>
      </c>
      <c r="D86" s="4" t="s">
        <v>255</v>
      </c>
      <c r="E86" s="32">
        <f>VLOOKUP(A86,'DEK Q1 2017'!$A$1:$I$251,9,FALSE)</f>
        <v>9657665.6999999993</v>
      </c>
      <c r="F86" s="172"/>
      <c r="G86" s="33">
        <v>1365257.32</v>
      </c>
      <c r="H86" s="33">
        <v>0</v>
      </c>
      <c r="I86" s="115">
        <f>E86+F86+G86+H86</f>
        <v>11022923.02</v>
      </c>
      <c r="J86" s="33"/>
      <c r="K86" s="115">
        <f>I86+J86</f>
        <v>11022923.02</v>
      </c>
      <c r="L86" s="210"/>
      <c r="M86" s="20"/>
      <c r="S86" s="18"/>
    </row>
    <row r="87" spans="1:21" x14ac:dyDescent="0.2">
      <c r="A87" s="100" t="s">
        <v>269</v>
      </c>
      <c r="B87" s="54"/>
      <c r="C87" s="28" t="s">
        <v>268</v>
      </c>
      <c r="D87" s="4" t="s">
        <v>269</v>
      </c>
      <c r="E87" s="35">
        <f>VLOOKUP(A87,'DEK Q1 2017'!$A$1:$I$251,9,FALSE)</f>
        <v>2922836.5</v>
      </c>
      <c r="F87" s="35"/>
      <c r="G87" s="35">
        <v>-440990.5</v>
      </c>
      <c r="H87" s="35">
        <v>0</v>
      </c>
      <c r="I87" s="267">
        <f>E87+F87+G87+H87</f>
        <v>2481846</v>
      </c>
      <c r="J87" s="274">
        <v>0</v>
      </c>
      <c r="K87" s="267">
        <f t="shared" ref="K87" si="15">I87+J87</f>
        <v>2481846</v>
      </c>
      <c r="L87" s="280" t="s">
        <v>279</v>
      </c>
      <c r="M87" s="20"/>
      <c r="S87" s="18"/>
    </row>
    <row r="88" spans="1:21" x14ac:dyDescent="0.2">
      <c r="B88" s="54"/>
      <c r="C88" s="28"/>
      <c r="E88" s="221">
        <f>SUM(E86:E87)</f>
        <v>12580502.199999999</v>
      </c>
      <c r="F88" s="32"/>
      <c r="G88" s="32">
        <f>SUM(G86:G87)</f>
        <v>924266.82000000007</v>
      </c>
      <c r="H88" s="32">
        <f>SUM(H86:H87)</f>
        <v>0</v>
      </c>
      <c r="I88" s="269">
        <f>SUM(I86:I87)</f>
        <v>13504769.02</v>
      </c>
      <c r="J88" s="221">
        <f>SUM(J87)</f>
        <v>0</v>
      </c>
      <c r="K88" s="269">
        <f>SUM(K86:K87)</f>
        <v>13504769.02</v>
      </c>
      <c r="L88" s="258"/>
      <c r="M88" s="20"/>
      <c r="S88" s="18"/>
    </row>
    <row r="89" spans="1:21" x14ac:dyDescent="0.2">
      <c r="B89" s="54"/>
      <c r="C89" s="28"/>
      <c r="E89" s="32"/>
      <c r="F89" s="29"/>
      <c r="G89" s="151"/>
      <c r="H89" s="29"/>
      <c r="I89" s="123"/>
      <c r="J89" s="49"/>
      <c r="K89" s="123"/>
      <c r="L89" s="230"/>
      <c r="M89" s="20"/>
      <c r="S89" s="18"/>
    </row>
    <row r="90" spans="1:21" s="22" customFormat="1" x14ac:dyDescent="0.2">
      <c r="A90" s="101"/>
      <c r="B90" s="54" t="s">
        <v>129</v>
      </c>
      <c r="C90" s="55"/>
      <c r="E90" s="220"/>
      <c r="F90" s="47"/>
      <c r="G90" s="162"/>
      <c r="H90" s="47"/>
      <c r="I90" s="124"/>
      <c r="J90" s="47"/>
      <c r="K90" s="124"/>
      <c r="M90" s="19"/>
      <c r="N90" s="48"/>
      <c r="O90" s="48"/>
      <c r="P90" s="56"/>
      <c r="R90" s="57"/>
      <c r="S90" s="57"/>
      <c r="T90" s="55"/>
      <c r="U90" s="55"/>
    </row>
    <row r="91" spans="1:21" ht="25.5" x14ac:dyDescent="0.2">
      <c r="A91" s="100" t="s">
        <v>125</v>
      </c>
      <c r="B91" s="28"/>
      <c r="C91" s="28" t="s">
        <v>73</v>
      </c>
      <c r="D91" s="4" t="s">
        <v>125</v>
      </c>
      <c r="E91" s="32">
        <f>VLOOKUP(A91,'DEK Q1 2017'!$A$1:$I$251,9,FALSE)</f>
        <v>23753973.719999999</v>
      </c>
      <c r="F91" s="30">
        <v>0</v>
      </c>
      <c r="G91" s="33">
        <v>-328149</v>
      </c>
      <c r="H91" s="30">
        <v>0</v>
      </c>
      <c r="I91" s="115">
        <f>E91+F91+G91+H91</f>
        <v>23425824.719999999</v>
      </c>
      <c r="J91" s="30">
        <v>0</v>
      </c>
      <c r="K91" s="115">
        <f t="shared" ref="K91:K98" si="16">I91+J91</f>
        <v>23425824.719999999</v>
      </c>
      <c r="L91" s="210"/>
      <c r="M91" s="20" t="s">
        <v>126</v>
      </c>
      <c r="P91" s="58"/>
      <c r="R91" s="4" t="s">
        <v>107</v>
      </c>
      <c r="S91" s="18">
        <v>182940</v>
      </c>
      <c r="U91" s="4" t="s">
        <v>36</v>
      </c>
    </row>
    <row r="92" spans="1:21" x14ac:dyDescent="0.2">
      <c r="A92" s="100" t="s">
        <v>291</v>
      </c>
      <c r="B92" s="28"/>
      <c r="C92" s="28" t="s">
        <v>290</v>
      </c>
      <c r="D92" s="4" t="s">
        <v>291</v>
      </c>
      <c r="E92" s="32">
        <f>VLOOKUP(A92,'DEK Q1 2017'!$A$1:$I$251,9,FALSE)</f>
        <v>2540163.5499999998</v>
      </c>
      <c r="F92" s="30">
        <v>0</v>
      </c>
      <c r="G92" s="33">
        <v>-69990</v>
      </c>
      <c r="H92" s="30">
        <v>0</v>
      </c>
      <c r="I92" s="115">
        <f t="shared" ref="I92:I98" si="17">E92+F92+G92+H92</f>
        <v>2470173.5499999998</v>
      </c>
      <c r="J92" s="30">
        <v>0</v>
      </c>
      <c r="K92" s="115">
        <f t="shared" si="16"/>
        <v>2470173.5499999998</v>
      </c>
      <c r="L92" s="210" t="s">
        <v>22</v>
      </c>
      <c r="M92" s="20"/>
      <c r="P92" s="58"/>
      <c r="S92" s="18">
        <v>186801</v>
      </c>
    </row>
    <row r="93" spans="1:21" x14ac:dyDescent="0.2">
      <c r="A93" s="100" t="s">
        <v>281</v>
      </c>
      <c r="B93" s="28"/>
      <c r="C93" s="28" t="s">
        <v>280</v>
      </c>
      <c r="D93" s="4" t="s">
        <v>281</v>
      </c>
      <c r="E93" s="32">
        <f>VLOOKUP(A93,'DEK Q1 2017'!$A$1:$I$251,9,FALSE)</f>
        <v>4750049.7200000007</v>
      </c>
      <c r="F93" s="30">
        <v>0</v>
      </c>
      <c r="G93" s="33">
        <v>-126366</v>
      </c>
      <c r="H93" s="30">
        <v>0</v>
      </c>
      <c r="I93" s="115">
        <f t="shared" si="17"/>
        <v>4623683.7200000007</v>
      </c>
      <c r="J93" s="30">
        <v>0</v>
      </c>
      <c r="K93" s="115">
        <f t="shared" si="16"/>
        <v>4623683.7200000007</v>
      </c>
      <c r="L93" s="210" t="s">
        <v>22</v>
      </c>
      <c r="M93" s="20"/>
      <c r="P93" s="58"/>
      <c r="S93" s="18">
        <v>186801</v>
      </c>
    </row>
    <row r="94" spans="1:21" x14ac:dyDescent="0.2">
      <c r="A94" s="100" t="s">
        <v>293</v>
      </c>
      <c r="B94" s="28"/>
      <c r="C94" s="28" t="s">
        <v>292</v>
      </c>
      <c r="D94" s="4" t="s">
        <v>293</v>
      </c>
      <c r="E94" s="32">
        <f>VLOOKUP(A94,'DEK Q1 2017'!$A$1:$I$251,9,FALSE)</f>
        <v>49947.05</v>
      </c>
      <c r="F94" s="30">
        <v>0</v>
      </c>
      <c r="G94" s="33">
        <v>-1122</v>
      </c>
      <c r="H94" s="30">
        <v>0</v>
      </c>
      <c r="I94" s="115">
        <f t="shared" si="17"/>
        <v>48825.05</v>
      </c>
      <c r="J94" s="30">
        <v>0</v>
      </c>
      <c r="K94" s="115">
        <f t="shared" si="16"/>
        <v>48825.05</v>
      </c>
      <c r="L94" s="210" t="s">
        <v>22</v>
      </c>
      <c r="M94" s="20"/>
      <c r="P94" s="58"/>
      <c r="S94" s="18"/>
    </row>
    <row r="95" spans="1:21" x14ac:dyDescent="0.2">
      <c r="A95" s="100" t="s">
        <v>161</v>
      </c>
      <c r="B95" s="28"/>
      <c r="C95" s="28" t="s">
        <v>72</v>
      </c>
      <c r="D95" s="4" t="s">
        <v>224</v>
      </c>
      <c r="E95" s="32">
        <f>VLOOKUP(A95,'DEK Q1 2017'!$A$1:$I$251,9,FALSE)</f>
        <v>0</v>
      </c>
      <c r="F95" s="30">
        <v>0</v>
      </c>
      <c r="G95" s="33">
        <v>0</v>
      </c>
      <c r="H95" s="30">
        <v>0</v>
      </c>
      <c r="I95" s="115">
        <f t="shared" si="17"/>
        <v>0</v>
      </c>
      <c r="J95" s="30">
        <v>0</v>
      </c>
      <c r="K95" s="115">
        <f t="shared" si="16"/>
        <v>0</v>
      </c>
      <c r="L95" s="210" t="s">
        <v>22</v>
      </c>
      <c r="M95" s="20"/>
      <c r="P95" s="58"/>
      <c r="S95" s="18"/>
    </row>
    <row r="96" spans="1:21" x14ac:dyDescent="0.2">
      <c r="A96" s="108" t="s">
        <v>171</v>
      </c>
      <c r="B96" s="28"/>
      <c r="C96" s="28" t="s">
        <v>122</v>
      </c>
      <c r="D96" s="4" t="s">
        <v>225</v>
      </c>
      <c r="E96" s="32">
        <f>VLOOKUP(A96,'DEK Q1 2017'!$A$1:$I$251,9,FALSE)</f>
        <v>0</v>
      </c>
      <c r="F96" s="30">
        <v>0</v>
      </c>
      <c r="G96" s="33">
        <v>0</v>
      </c>
      <c r="H96" s="30">
        <v>0</v>
      </c>
      <c r="I96" s="115">
        <f t="shared" si="17"/>
        <v>0</v>
      </c>
      <c r="J96" s="30">
        <v>0</v>
      </c>
      <c r="K96" s="115">
        <f t="shared" si="16"/>
        <v>0</v>
      </c>
      <c r="L96" s="210" t="s">
        <v>22</v>
      </c>
      <c r="M96" s="20"/>
      <c r="P96" s="58"/>
      <c r="S96" s="18"/>
    </row>
    <row r="97" spans="1:20" x14ac:dyDescent="0.2">
      <c r="A97" s="108" t="s">
        <v>284</v>
      </c>
      <c r="B97" s="28"/>
      <c r="C97" s="28" t="s">
        <v>285</v>
      </c>
      <c r="D97" s="4" t="s">
        <v>284</v>
      </c>
      <c r="E97" s="32">
        <f>VLOOKUP(A97,'DEK Q1 2017'!$A$1:$I$251,9,FALSE)</f>
        <v>0</v>
      </c>
      <c r="F97" s="30"/>
      <c r="G97" s="33">
        <v>0</v>
      </c>
      <c r="H97" s="30"/>
      <c r="I97" s="115">
        <f t="shared" si="17"/>
        <v>0</v>
      </c>
      <c r="J97" s="30"/>
      <c r="K97" s="115">
        <f t="shared" si="16"/>
        <v>0</v>
      </c>
      <c r="L97" s="210"/>
      <c r="M97" s="20"/>
      <c r="P97" s="58"/>
      <c r="S97" s="18"/>
    </row>
    <row r="98" spans="1:20" x14ac:dyDescent="0.2">
      <c r="A98" s="108" t="s">
        <v>172</v>
      </c>
      <c r="B98" s="28"/>
      <c r="C98" s="28" t="s">
        <v>123</v>
      </c>
      <c r="D98" s="4" t="s">
        <v>226</v>
      </c>
      <c r="E98" s="35">
        <f>VLOOKUP(A98,'DEK Q1 2017'!$A$1:$I$251,9,FALSE)</f>
        <v>0</v>
      </c>
      <c r="F98" s="36"/>
      <c r="G98" s="36">
        <v>0</v>
      </c>
      <c r="H98" s="36"/>
      <c r="I98" s="116">
        <f t="shared" si="17"/>
        <v>0</v>
      </c>
      <c r="J98" s="36"/>
      <c r="K98" s="116">
        <f t="shared" si="16"/>
        <v>0</v>
      </c>
      <c r="M98" s="20"/>
      <c r="P98" s="58"/>
      <c r="S98" s="18"/>
    </row>
    <row r="99" spans="1:20" x14ac:dyDescent="0.2">
      <c r="B99" s="28"/>
      <c r="C99" s="18"/>
      <c r="E99" s="221">
        <f t="shared" ref="E99:K99" si="18">SUM(E91:E98)</f>
        <v>31094134.040000003</v>
      </c>
      <c r="F99" s="29">
        <f t="shared" si="18"/>
        <v>0</v>
      </c>
      <c r="G99" s="29">
        <f>SUM(G91:G98)</f>
        <v>-525627</v>
      </c>
      <c r="H99" s="29">
        <f t="shared" si="18"/>
        <v>0</v>
      </c>
      <c r="I99" s="269">
        <f t="shared" si="18"/>
        <v>30568507.040000003</v>
      </c>
      <c r="J99" s="29">
        <f t="shared" si="18"/>
        <v>0</v>
      </c>
      <c r="K99" s="269">
        <f t="shared" si="18"/>
        <v>30568507.040000003</v>
      </c>
      <c r="L99" s="280" t="s">
        <v>260</v>
      </c>
      <c r="M99" s="20"/>
      <c r="S99" s="18"/>
    </row>
    <row r="100" spans="1:20" ht="12.75" hidden="1" customHeight="1" x14ac:dyDescent="0.2">
      <c r="B100" s="54" t="s">
        <v>135</v>
      </c>
      <c r="C100" s="18"/>
      <c r="E100" s="32"/>
      <c r="F100" s="29"/>
      <c r="G100" s="151"/>
      <c r="H100" s="151"/>
      <c r="I100" s="117"/>
      <c r="J100" s="29"/>
      <c r="K100" s="117"/>
      <c r="M100" s="20"/>
      <c r="S100" s="18"/>
    </row>
    <row r="101" spans="1:20" ht="12.75" hidden="1" customHeight="1" x14ac:dyDescent="0.2">
      <c r="A101" s="100" t="s">
        <v>108</v>
      </c>
      <c r="B101" s="28"/>
      <c r="C101" s="28" t="s">
        <v>71</v>
      </c>
      <c r="D101" s="4" t="s">
        <v>108</v>
      </c>
      <c r="E101" s="32">
        <v>0</v>
      </c>
      <c r="F101" s="30">
        <v>0</v>
      </c>
      <c r="G101" s="152">
        <v>0</v>
      </c>
      <c r="H101" s="152">
        <v>0</v>
      </c>
      <c r="I101" s="115">
        <f t="shared" ref="I101:K102" si="19">E101+F101+G101+H101</f>
        <v>0</v>
      </c>
      <c r="J101" s="30">
        <f t="shared" si="19"/>
        <v>0</v>
      </c>
      <c r="K101" s="115">
        <f t="shared" si="19"/>
        <v>0</v>
      </c>
      <c r="M101" s="20"/>
      <c r="S101" s="18">
        <v>174995</v>
      </c>
    </row>
    <row r="102" spans="1:20" ht="12.75" hidden="1" customHeight="1" x14ac:dyDescent="0.2">
      <c r="A102" s="100" t="s">
        <v>139</v>
      </c>
      <c r="B102" s="28"/>
      <c r="C102" s="28" t="s">
        <v>124</v>
      </c>
      <c r="D102" s="4" t="s">
        <v>139</v>
      </c>
      <c r="E102" s="32">
        <v>0</v>
      </c>
      <c r="F102" s="30">
        <v>0</v>
      </c>
      <c r="G102" s="152">
        <v>0</v>
      </c>
      <c r="H102" s="152">
        <v>0</v>
      </c>
      <c r="I102" s="115">
        <f t="shared" si="19"/>
        <v>0</v>
      </c>
      <c r="J102" s="30">
        <f t="shared" si="19"/>
        <v>0</v>
      </c>
      <c r="K102" s="115">
        <f t="shared" si="19"/>
        <v>0</v>
      </c>
      <c r="M102" s="20"/>
      <c r="S102" s="18"/>
    </row>
    <row r="103" spans="1:20" ht="7.5" hidden="1" customHeight="1" x14ac:dyDescent="0.2">
      <c r="B103" s="28"/>
      <c r="C103" s="18"/>
      <c r="D103" s="59"/>
      <c r="E103" s="32"/>
      <c r="F103" s="30"/>
      <c r="G103" s="152"/>
      <c r="H103" s="152"/>
      <c r="I103" s="115"/>
      <c r="J103" s="30"/>
      <c r="K103" s="115"/>
      <c r="M103" s="20"/>
      <c r="P103" s="58"/>
      <c r="S103" s="18"/>
    </row>
    <row r="104" spans="1:20" x14ac:dyDescent="0.2">
      <c r="B104" s="28"/>
      <c r="C104" s="18"/>
      <c r="E104" s="32"/>
      <c r="F104" s="30"/>
      <c r="G104" s="152"/>
      <c r="H104" s="152"/>
      <c r="I104" s="115"/>
      <c r="J104" s="30"/>
      <c r="K104" s="115"/>
      <c r="M104" s="20"/>
      <c r="S104" s="18"/>
    </row>
    <row r="105" spans="1:20" x14ac:dyDescent="0.2">
      <c r="B105" s="18"/>
      <c r="C105" s="131" t="s">
        <v>41</v>
      </c>
      <c r="D105" s="135"/>
      <c r="E105" s="133">
        <f>+E12+E24+E30+E84+E88+E99+E101+E19+E102</f>
        <v>99238884.700000018</v>
      </c>
      <c r="F105" s="133">
        <f>+F12+F24+F30+F84+F99+F101+F19+F102</f>
        <v>0</v>
      </c>
      <c r="G105" s="133">
        <f>+G12+G24+G30+G84+G88+G99+G101+G19+G102</f>
        <v>13314737.449999999</v>
      </c>
      <c r="H105" s="133">
        <f>+H12+H24+H30+H84+H88+H99+H101+H19+H102</f>
        <v>-51698.33</v>
      </c>
      <c r="I105" s="134">
        <f>+I12+I24+I30+I84+I88+I99+I101+I19+I102</f>
        <v>105287748.82000002</v>
      </c>
      <c r="J105" s="133">
        <f>+J12+J24+J30+J84+J88+J99+J101+J19+J102</f>
        <v>0</v>
      </c>
      <c r="K105" s="134">
        <f>+K12+K24+K30+K84+K88+K99+K101+K19+K102</f>
        <v>112501923.82000001</v>
      </c>
      <c r="M105" s="45"/>
      <c r="N105" s="143"/>
      <c r="S105" s="18"/>
    </row>
    <row r="106" spans="1:20" x14ac:dyDescent="0.2">
      <c r="A106" s="105"/>
      <c r="B106" s="18"/>
      <c r="C106" s="18"/>
      <c r="D106" s="12"/>
      <c r="E106" s="221"/>
      <c r="F106" s="50"/>
      <c r="G106" s="145"/>
      <c r="H106" s="145"/>
      <c r="I106" s="115"/>
      <c r="J106" s="30"/>
      <c r="K106" s="115"/>
      <c r="M106" s="45"/>
      <c r="S106" s="18"/>
    </row>
    <row r="107" spans="1:20" s="22" customFormat="1" x14ac:dyDescent="0.2">
      <c r="A107" s="106"/>
      <c r="B107" s="21" t="s">
        <v>130</v>
      </c>
      <c r="C107" s="46"/>
      <c r="D107" s="27"/>
      <c r="E107" s="222"/>
      <c r="F107" s="50"/>
      <c r="G107" s="145"/>
      <c r="H107" s="145"/>
      <c r="I107" s="113"/>
      <c r="J107" s="19"/>
      <c r="K107" s="113"/>
      <c r="M107" s="19"/>
      <c r="N107" s="20"/>
      <c r="O107" s="48"/>
      <c r="R107" s="57"/>
      <c r="S107" s="57"/>
    </row>
    <row r="108" spans="1:20" x14ac:dyDescent="0.2">
      <c r="A108" s="100" t="s">
        <v>114</v>
      </c>
      <c r="B108" s="18"/>
      <c r="C108" s="28" t="s">
        <v>52</v>
      </c>
      <c r="D108" s="4" t="s">
        <v>114</v>
      </c>
      <c r="E108" s="32">
        <f>VLOOKUP(A108,'DEK Q1 2017'!$A$1:$I$252,9,FALSE)</f>
        <v>1216828.7700000005</v>
      </c>
      <c r="F108" s="30">
        <v>0</v>
      </c>
      <c r="G108" s="33">
        <v>-2256781.13</v>
      </c>
      <c r="H108" s="33">
        <f>-422586.45</f>
        <v>-422586.45</v>
      </c>
      <c r="I108" s="115">
        <f t="shared" ref="I108:I113" si="20">E108+F108+G108+H108</f>
        <v>-1462538.8099999994</v>
      </c>
      <c r="J108" s="30">
        <v>0</v>
      </c>
      <c r="K108" s="115">
        <f t="shared" ref="K108:K113" si="21">I108+J108</f>
        <v>-1462538.8099999994</v>
      </c>
      <c r="L108" s="210" t="s">
        <v>22</v>
      </c>
      <c r="M108" s="33"/>
      <c r="N108" s="42"/>
      <c r="O108" s="42"/>
      <c r="S108" s="18">
        <v>191400</v>
      </c>
      <c r="T108" s="58"/>
    </row>
    <row r="109" spans="1:20" x14ac:dyDescent="0.2">
      <c r="A109" s="100" t="s">
        <v>115</v>
      </c>
      <c r="B109" s="18"/>
      <c r="C109" s="28" t="s">
        <v>53</v>
      </c>
      <c r="D109" s="4" t="s">
        <v>115</v>
      </c>
      <c r="E109" s="32">
        <f>VLOOKUP(A109,'DEK Q1 2017'!$A$1:$I$252,9,FALSE)</f>
        <v>-2445259.52</v>
      </c>
      <c r="F109" s="30">
        <v>0</v>
      </c>
      <c r="G109" s="33">
        <v>1946482.61</v>
      </c>
      <c r="H109" s="144">
        <v>0</v>
      </c>
      <c r="I109" s="115">
        <f t="shared" si="20"/>
        <v>-498776.90999999992</v>
      </c>
      <c r="J109" s="30">
        <v>0</v>
      </c>
      <c r="K109" s="115">
        <f t="shared" si="21"/>
        <v>-498776.90999999992</v>
      </c>
      <c r="L109" s="210" t="s">
        <v>22</v>
      </c>
      <c r="M109" s="30"/>
      <c r="N109" s="42"/>
      <c r="O109" s="42"/>
      <c r="S109" s="18">
        <v>191800</v>
      </c>
      <c r="T109" s="58"/>
    </row>
    <row r="110" spans="1:20" ht="12.75" customHeight="1" x14ac:dyDescent="0.2">
      <c r="A110" s="100" t="s">
        <v>117</v>
      </c>
      <c r="B110" s="18"/>
      <c r="C110" s="28" t="s">
        <v>77</v>
      </c>
      <c r="D110" s="4" t="s">
        <v>117</v>
      </c>
      <c r="E110" s="32">
        <f>VLOOKUP(A110,'DEK Q1 2017'!$A$1:$I$252,9,FALSE)</f>
        <v>-515493.64999999991</v>
      </c>
      <c r="F110" s="30">
        <v>0</v>
      </c>
      <c r="G110" s="30">
        <v>466912</v>
      </c>
      <c r="H110" s="144">
        <v>0</v>
      </c>
      <c r="I110" s="115">
        <f t="shared" si="20"/>
        <v>-48581.649999999907</v>
      </c>
      <c r="J110" s="30">
        <v>0</v>
      </c>
      <c r="K110" s="115">
        <f t="shared" si="21"/>
        <v>-48581.649999999907</v>
      </c>
      <c r="L110" s="210" t="s">
        <v>22</v>
      </c>
      <c r="M110" s="20"/>
      <c r="N110" s="42"/>
      <c r="O110" s="42"/>
      <c r="S110" s="18">
        <v>242995</v>
      </c>
      <c r="T110" s="58"/>
    </row>
    <row r="111" spans="1:20" x14ac:dyDescent="0.2">
      <c r="A111" s="100" t="s">
        <v>119</v>
      </c>
      <c r="B111" s="18"/>
      <c r="C111" s="28" t="s">
        <v>118</v>
      </c>
      <c r="D111" s="4" t="s">
        <v>119</v>
      </c>
      <c r="E111" s="32">
        <f>VLOOKUP(A111,'DEK Q1 2017'!$A$1:$I$252,9,FALSE)</f>
        <v>-1204516.9000000006</v>
      </c>
      <c r="F111" s="30">
        <v>0</v>
      </c>
      <c r="G111" s="30">
        <v>1068582.33</v>
      </c>
      <c r="H111" s="144">
        <v>0</v>
      </c>
      <c r="I111" s="115">
        <f t="shared" si="20"/>
        <v>-135934.57000000053</v>
      </c>
      <c r="J111" s="30">
        <v>0</v>
      </c>
      <c r="K111" s="115">
        <f t="shared" si="21"/>
        <v>-135934.57000000053</v>
      </c>
      <c r="L111" s="210" t="s">
        <v>22</v>
      </c>
      <c r="M111" s="20"/>
      <c r="N111" s="42"/>
      <c r="O111" s="42"/>
      <c r="S111" s="18">
        <v>242997</v>
      </c>
      <c r="T111" s="58"/>
    </row>
    <row r="112" spans="1:20" x14ac:dyDescent="0.2">
      <c r="A112" s="100" t="s">
        <v>120</v>
      </c>
      <c r="B112" s="18"/>
      <c r="C112" s="28" t="s">
        <v>54</v>
      </c>
      <c r="D112" s="4" t="s">
        <v>120</v>
      </c>
      <c r="E112" s="32">
        <f>VLOOKUP(A112,'DEK Q1 2017'!$A$1:$I$252,9,FALSE)</f>
        <v>-70195.559999999794</v>
      </c>
      <c r="F112" s="33">
        <v>0</v>
      </c>
      <c r="G112" s="33">
        <v>378339.86</v>
      </c>
      <c r="H112" s="33">
        <v>36419.96</v>
      </c>
      <c r="I112" s="115">
        <f t="shared" si="20"/>
        <v>344564.26000000018</v>
      </c>
      <c r="J112" s="33">
        <v>0</v>
      </c>
      <c r="K112" s="115">
        <f t="shared" si="21"/>
        <v>344564.26000000018</v>
      </c>
      <c r="L112" s="210" t="s">
        <v>22</v>
      </c>
      <c r="M112" s="42"/>
      <c r="N112" s="42"/>
      <c r="O112" s="42"/>
      <c r="S112" s="18">
        <v>253130</v>
      </c>
      <c r="T112" s="58"/>
    </row>
    <row r="113" spans="1:21" x14ac:dyDescent="0.2">
      <c r="A113" s="100" t="s">
        <v>156</v>
      </c>
      <c r="B113" s="18"/>
      <c r="C113" s="28" t="s">
        <v>116</v>
      </c>
      <c r="D113" s="4" t="s">
        <v>211</v>
      </c>
      <c r="E113" s="32">
        <f>VLOOKUP(A113,'DEK Q1 2017'!$A$1:$I$252,9,FALSE)</f>
        <v>-5290080.67</v>
      </c>
      <c r="F113" s="33"/>
      <c r="G113" s="33">
        <v>3392014.17</v>
      </c>
      <c r="H113" s="33">
        <v>0</v>
      </c>
      <c r="I113" s="115">
        <f t="shared" si="20"/>
        <v>-1898066.5</v>
      </c>
      <c r="J113" s="30">
        <v>0</v>
      </c>
      <c r="K113" s="115">
        <f t="shared" si="21"/>
        <v>-1898066.5</v>
      </c>
      <c r="M113" s="42"/>
      <c r="N113" s="42"/>
      <c r="O113" s="42"/>
      <c r="S113" s="18"/>
      <c r="T113" s="58"/>
    </row>
    <row r="114" spans="1:21" x14ac:dyDescent="0.2">
      <c r="B114" s="18"/>
      <c r="C114" s="28"/>
      <c r="E114" s="32"/>
      <c r="F114" s="33"/>
      <c r="G114" s="33"/>
      <c r="H114" s="33"/>
      <c r="I114" s="115"/>
      <c r="J114" s="30"/>
      <c r="K114" s="115"/>
      <c r="M114" s="42"/>
      <c r="N114" s="42"/>
      <c r="O114" s="42"/>
      <c r="S114" s="18"/>
      <c r="T114" s="58"/>
    </row>
    <row r="115" spans="1:21" x14ac:dyDescent="0.2">
      <c r="B115" s="18"/>
      <c r="C115" s="28"/>
      <c r="E115" s="32"/>
      <c r="F115" s="33"/>
      <c r="G115" s="33"/>
      <c r="H115" s="33"/>
      <c r="I115" s="115"/>
      <c r="J115" s="30"/>
      <c r="K115" s="115"/>
      <c r="M115" s="42"/>
      <c r="N115" s="42"/>
      <c r="O115" s="42"/>
      <c r="S115" s="18"/>
      <c r="T115" s="58"/>
    </row>
    <row r="116" spans="1:21" x14ac:dyDescent="0.2">
      <c r="B116" s="18"/>
      <c r="C116" s="28"/>
      <c r="E116" s="36"/>
      <c r="F116" s="36"/>
      <c r="G116" s="150"/>
      <c r="H116" s="150"/>
      <c r="I116" s="116"/>
      <c r="J116" s="36"/>
      <c r="K116" s="116"/>
      <c r="M116" s="42"/>
      <c r="N116" s="42"/>
      <c r="O116" s="42"/>
      <c r="S116" s="18"/>
      <c r="T116" s="58"/>
    </row>
    <row r="117" spans="1:21" x14ac:dyDescent="0.2">
      <c r="B117" s="18"/>
      <c r="C117" s="61"/>
      <c r="D117" s="34"/>
      <c r="E117" s="44">
        <f t="shared" ref="E117:K117" si="22">SUM(E108:E116)</f>
        <v>-8308717.5299999993</v>
      </c>
      <c r="F117" s="33">
        <f t="shared" si="22"/>
        <v>0</v>
      </c>
      <c r="G117" s="33">
        <f t="shared" si="22"/>
        <v>4995549.84</v>
      </c>
      <c r="H117" s="33">
        <f t="shared" si="22"/>
        <v>-386166.49</v>
      </c>
      <c r="I117" s="269">
        <f t="shared" si="22"/>
        <v>-3699334.1799999992</v>
      </c>
      <c r="J117" s="33">
        <f t="shared" si="22"/>
        <v>0</v>
      </c>
      <c r="K117" s="269">
        <f t="shared" si="22"/>
        <v>-3699334.1799999992</v>
      </c>
      <c r="L117" s="280" t="s">
        <v>263</v>
      </c>
      <c r="M117" s="42"/>
      <c r="N117" s="42"/>
      <c r="O117" s="42"/>
      <c r="S117" s="18"/>
      <c r="T117" s="58"/>
    </row>
    <row r="118" spans="1:21" hidden="1" x14ac:dyDescent="0.2">
      <c r="B118" s="21" t="s">
        <v>188</v>
      </c>
      <c r="C118" s="61"/>
      <c r="D118" s="34"/>
      <c r="E118" s="33"/>
      <c r="F118" s="33"/>
      <c r="G118" s="144"/>
      <c r="H118" s="144"/>
      <c r="I118" s="115"/>
      <c r="J118" s="33"/>
      <c r="K118" s="115"/>
      <c r="M118" s="42"/>
      <c r="N118" s="42"/>
      <c r="O118" s="42"/>
      <c r="S118" s="18"/>
      <c r="T118" s="58"/>
    </row>
    <row r="119" spans="1:21" hidden="1" x14ac:dyDescent="0.2">
      <c r="A119" s="100" t="s">
        <v>185</v>
      </c>
      <c r="B119" s="18"/>
      <c r="C119" s="28" t="s">
        <v>186</v>
      </c>
      <c r="D119" s="4" t="s">
        <v>213</v>
      </c>
      <c r="E119" s="32">
        <v>0</v>
      </c>
      <c r="F119" s="33">
        <v>0</v>
      </c>
      <c r="G119" s="144">
        <v>0</v>
      </c>
      <c r="H119" s="144">
        <v>0</v>
      </c>
      <c r="I119" s="115">
        <f>E119+F119+G119+H119</f>
        <v>0</v>
      </c>
      <c r="J119" s="33">
        <v>0</v>
      </c>
      <c r="K119" s="115">
        <f>I119+J119</f>
        <v>0</v>
      </c>
      <c r="M119" s="42"/>
      <c r="N119" s="42"/>
      <c r="O119" s="42"/>
      <c r="S119" s="18"/>
      <c r="T119" s="58"/>
    </row>
    <row r="120" spans="1:21" ht="12.75" hidden="1" customHeight="1" x14ac:dyDescent="0.2">
      <c r="A120" s="100" t="s">
        <v>181</v>
      </c>
      <c r="B120" s="18"/>
      <c r="C120" s="28" t="s">
        <v>182</v>
      </c>
      <c r="D120" s="4" t="s">
        <v>213</v>
      </c>
      <c r="E120" s="32">
        <f>VLOOKUP(A120,'[23]DEK Jul 2013'!$A$1:$I$252,9,FALSE)</f>
        <v>0</v>
      </c>
      <c r="F120" s="33">
        <v>0</v>
      </c>
      <c r="G120" s="144">
        <v>0</v>
      </c>
      <c r="H120" s="144">
        <v>0</v>
      </c>
      <c r="I120" s="115">
        <f>E120+F120+G120+H120</f>
        <v>0</v>
      </c>
      <c r="J120" s="30">
        <v>0</v>
      </c>
      <c r="K120" s="115">
        <f>I120+J120</f>
        <v>0</v>
      </c>
      <c r="L120" s="4" t="s">
        <v>22</v>
      </c>
      <c r="M120" s="42"/>
      <c r="N120" s="42"/>
      <c r="O120" s="42"/>
      <c r="S120" s="18">
        <v>253130</v>
      </c>
      <c r="T120" s="58"/>
    </row>
    <row r="121" spans="1:21" hidden="1" x14ac:dyDescent="0.2">
      <c r="B121" s="18"/>
      <c r="C121" s="28"/>
      <c r="E121" s="33"/>
      <c r="F121" s="36"/>
      <c r="G121" s="150"/>
      <c r="H121" s="150"/>
      <c r="I121" s="116"/>
      <c r="J121" s="36"/>
      <c r="K121" s="116"/>
      <c r="M121" s="42"/>
      <c r="N121" s="42"/>
      <c r="O121" s="42"/>
      <c r="S121" s="18"/>
      <c r="T121" s="58"/>
    </row>
    <row r="122" spans="1:21" hidden="1" x14ac:dyDescent="0.2">
      <c r="B122" s="18"/>
      <c r="C122" s="28"/>
      <c r="E122" s="33">
        <f>SUM(E119:E120)</f>
        <v>0</v>
      </c>
      <c r="F122" s="33">
        <f t="shared" ref="F122:L122" si="23">SUM(F119:F120)</f>
        <v>0</v>
      </c>
      <c r="G122" s="144">
        <f t="shared" si="23"/>
        <v>0</v>
      </c>
      <c r="H122" s="144">
        <f t="shared" si="23"/>
        <v>0</v>
      </c>
      <c r="I122" s="128">
        <f>SUM(I119:I120)</f>
        <v>0</v>
      </c>
      <c r="J122" s="33">
        <f t="shared" si="23"/>
        <v>0</v>
      </c>
      <c r="K122" s="128">
        <f t="shared" si="23"/>
        <v>0</v>
      </c>
      <c r="L122" s="33">
        <f t="shared" si="23"/>
        <v>0</v>
      </c>
      <c r="M122" s="42"/>
      <c r="N122" s="42"/>
      <c r="O122" s="42"/>
      <c r="S122" s="18"/>
      <c r="T122" s="58"/>
    </row>
    <row r="123" spans="1:21" hidden="1" x14ac:dyDescent="0.2">
      <c r="B123" s="18"/>
      <c r="C123" s="61"/>
      <c r="D123" s="34"/>
      <c r="E123" s="33"/>
      <c r="F123" s="33"/>
      <c r="G123" s="144"/>
      <c r="H123" s="144"/>
      <c r="I123" s="115"/>
      <c r="J123" s="33"/>
      <c r="K123" s="115"/>
      <c r="M123" s="42"/>
      <c r="N123" s="42"/>
      <c r="O123" s="42"/>
      <c r="S123" s="18"/>
      <c r="T123" s="58"/>
    </row>
    <row r="124" spans="1:21" s="22" customFormat="1" x14ac:dyDescent="0.2">
      <c r="A124" s="101"/>
      <c r="B124" s="21" t="s">
        <v>214</v>
      </c>
      <c r="C124" s="63"/>
      <c r="D124" s="64"/>
      <c r="E124" s="33"/>
      <c r="F124" s="30"/>
      <c r="G124" s="152" t="s">
        <v>187</v>
      </c>
      <c r="H124" s="152"/>
      <c r="I124" s="113"/>
      <c r="J124" s="19"/>
      <c r="K124" s="113"/>
      <c r="M124" s="19"/>
      <c r="N124" s="42"/>
      <c r="O124" s="48"/>
      <c r="T124" s="46"/>
      <c r="U124" s="46"/>
    </row>
    <row r="125" spans="1:21" x14ac:dyDescent="0.2">
      <c r="A125" s="100" t="s">
        <v>162</v>
      </c>
      <c r="B125" s="18"/>
      <c r="C125" s="28" t="s">
        <v>76</v>
      </c>
      <c r="D125" s="4" t="s">
        <v>194</v>
      </c>
      <c r="E125" s="32">
        <f>VLOOKUP(A125,'DEK Q1 2017'!$A$1:$I$252,9,FALSE)</f>
        <v>0</v>
      </c>
      <c r="F125" s="30">
        <v>0</v>
      </c>
      <c r="G125" s="33">
        <v>0</v>
      </c>
      <c r="H125" s="33">
        <v>0</v>
      </c>
      <c r="I125" s="123">
        <f>E125+G125+H125+F125</f>
        <v>0</v>
      </c>
      <c r="J125" s="91">
        <v>0</v>
      </c>
      <c r="K125" s="123">
        <f>I125+J125</f>
        <v>0</v>
      </c>
      <c r="L125" s="259"/>
      <c r="M125" s="67"/>
      <c r="P125" s="51"/>
      <c r="Q125" s="18"/>
      <c r="R125" s="58"/>
      <c r="S125" s="18"/>
    </row>
    <row r="126" spans="1:21" x14ac:dyDescent="0.2">
      <c r="A126" s="100" t="s">
        <v>287</v>
      </c>
      <c r="B126" s="18"/>
      <c r="C126" s="28" t="s">
        <v>286</v>
      </c>
      <c r="D126" s="4" t="s">
        <v>287</v>
      </c>
      <c r="E126" s="35">
        <f>VLOOKUP(A126,'DEK Q1 2017'!$A$1:$I$252,9,FALSE)</f>
        <v>-5397518.7300000004</v>
      </c>
      <c r="F126" s="36">
        <v>0</v>
      </c>
      <c r="G126" s="36">
        <v>152157</v>
      </c>
      <c r="H126" s="36">
        <v>0</v>
      </c>
      <c r="I126" s="267">
        <f>E126+G126+H126+F126</f>
        <v>-5245361.7300000004</v>
      </c>
      <c r="J126" s="266">
        <v>0</v>
      </c>
      <c r="K126" s="267">
        <f>I126+J126</f>
        <v>-5245361.7300000004</v>
      </c>
      <c r="L126" s="210" t="s">
        <v>22</v>
      </c>
      <c r="M126" s="67"/>
      <c r="P126" s="51"/>
      <c r="Q126" s="18"/>
      <c r="R126" s="58"/>
      <c r="S126" s="18"/>
    </row>
    <row r="127" spans="1:21" ht="15" x14ac:dyDescent="0.25">
      <c r="B127" s="18"/>
      <c r="C127" s="28"/>
      <c r="D127" s="65"/>
      <c r="E127" s="234">
        <f>SUM(E125:E126)</f>
        <v>-5397518.7300000004</v>
      </c>
      <c r="F127" s="30"/>
      <c r="G127" s="33">
        <f>SUM(G125:G126)</f>
        <v>152157</v>
      </c>
      <c r="H127" s="33">
        <f>SUM(H125:H126)</f>
        <v>0</v>
      </c>
      <c r="I127" s="271">
        <f>SUM(I125:I126)</f>
        <v>-5245361.7300000004</v>
      </c>
      <c r="J127" s="1"/>
      <c r="K127" s="271">
        <f>SUM(K125:K126)</f>
        <v>-5245361.7300000004</v>
      </c>
      <c r="L127" s="281" t="s">
        <v>264</v>
      </c>
      <c r="M127" s="67"/>
      <c r="P127" s="51"/>
      <c r="Q127" s="18"/>
      <c r="R127" s="58"/>
      <c r="S127" s="18"/>
    </row>
    <row r="128" spans="1:21" x14ac:dyDescent="0.2">
      <c r="B128" s="21" t="s">
        <v>227</v>
      </c>
      <c r="C128" s="28"/>
      <c r="E128" s="83"/>
      <c r="F128" s="30"/>
      <c r="G128" s="152"/>
      <c r="H128" s="30"/>
      <c r="I128" s="115"/>
      <c r="J128" s="30"/>
      <c r="K128" s="115"/>
      <c r="M128" s="20"/>
      <c r="N128" s="42"/>
      <c r="O128" s="42"/>
      <c r="R128" s="58"/>
      <c r="S128" s="18"/>
      <c r="T128" s="58"/>
    </row>
    <row r="129" spans="1:23" x14ac:dyDescent="0.2">
      <c r="A129" s="100" t="s">
        <v>163</v>
      </c>
      <c r="B129" s="18"/>
      <c r="C129" s="28" t="s">
        <v>48</v>
      </c>
      <c r="D129" s="4" t="s">
        <v>195</v>
      </c>
      <c r="E129" s="32">
        <f>VLOOKUP(A129,'DEK Q1 2017'!$A$1:$I$252,9,FALSE)</f>
        <v>-424139</v>
      </c>
      <c r="F129" s="30">
        <v>0</v>
      </c>
      <c r="G129" s="33">
        <v>424139</v>
      </c>
      <c r="H129" s="33">
        <v>0</v>
      </c>
      <c r="I129" s="115">
        <f>E129+F129+G129+H129</f>
        <v>0</v>
      </c>
      <c r="J129" s="30">
        <v>0</v>
      </c>
      <c r="K129" s="115">
        <f t="shared" ref="K129:K131" si="24">I129+J129</f>
        <v>0</v>
      </c>
      <c r="M129" s="62"/>
      <c r="P129" s="51"/>
      <c r="Q129" s="18"/>
      <c r="R129" s="58"/>
      <c r="S129" s="18">
        <v>254998</v>
      </c>
    </row>
    <row r="130" spans="1:23" x14ac:dyDescent="0.2">
      <c r="A130" s="100" t="s">
        <v>179</v>
      </c>
      <c r="B130" s="18"/>
      <c r="C130" s="28" t="s">
        <v>47</v>
      </c>
      <c r="D130" s="4" t="s">
        <v>196</v>
      </c>
      <c r="E130" s="32">
        <f>VLOOKUP(A130,'DEK Q1 2017'!$A$1:$I$252,9,FALSE)</f>
        <v>0</v>
      </c>
      <c r="F130" s="30">
        <v>0</v>
      </c>
      <c r="G130" s="152">
        <v>0</v>
      </c>
      <c r="H130" s="33">
        <v>0</v>
      </c>
      <c r="I130" s="115">
        <f>E130+F130+G130+H130</f>
        <v>0</v>
      </c>
      <c r="J130" s="30">
        <v>0</v>
      </c>
      <c r="K130" s="115">
        <f t="shared" si="24"/>
        <v>0</v>
      </c>
      <c r="M130" s="62"/>
      <c r="P130" s="51"/>
      <c r="Q130" s="18"/>
      <c r="R130" s="58"/>
      <c r="S130" s="18">
        <v>254998</v>
      </c>
      <c r="W130" s="47"/>
    </row>
    <row r="131" spans="1:23" x14ac:dyDescent="0.2">
      <c r="A131" s="100" t="s">
        <v>164</v>
      </c>
      <c r="B131" s="18"/>
      <c r="C131" s="28" t="s">
        <v>75</v>
      </c>
      <c r="D131" s="4" t="s">
        <v>215</v>
      </c>
      <c r="E131" s="32">
        <f>VLOOKUP(A131,'DEK Q1 2017'!$A$1:$I$252,9,FALSE)</f>
        <v>-14568.110000000004</v>
      </c>
      <c r="F131" s="30">
        <v>0</v>
      </c>
      <c r="G131" s="33">
        <v>102.08</v>
      </c>
      <c r="H131" s="33">
        <v>0</v>
      </c>
      <c r="I131" s="117">
        <f>E131+F131+G131+H131</f>
        <v>-14466.030000000004</v>
      </c>
      <c r="J131" s="30">
        <v>0</v>
      </c>
      <c r="K131" s="117">
        <f t="shared" si="24"/>
        <v>-14466.030000000004</v>
      </c>
      <c r="L131" s="230"/>
      <c r="M131" s="62"/>
      <c r="P131" s="51"/>
      <c r="Q131" s="18"/>
      <c r="R131" s="58"/>
      <c r="S131" s="18">
        <v>254210</v>
      </c>
    </row>
    <row r="132" spans="1:23" x14ac:dyDescent="0.2">
      <c r="B132" s="18"/>
      <c r="C132" s="28"/>
      <c r="D132" s="65"/>
      <c r="E132" s="36"/>
      <c r="F132" s="36"/>
      <c r="G132" s="150"/>
      <c r="H132" s="36"/>
      <c r="I132" s="116"/>
      <c r="J132" s="36"/>
      <c r="K132" s="116"/>
      <c r="M132" s="62"/>
      <c r="P132" s="51"/>
      <c r="Q132" s="18"/>
      <c r="R132" s="58"/>
      <c r="S132" s="18"/>
    </row>
    <row r="133" spans="1:23" x14ac:dyDescent="0.2">
      <c r="B133" s="18"/>
      <c r="C133" s="28"/>
      <c r="E133" s="44">
        <f t="shared" ref="E133" si="25">SUM(E129:E132)</f>
        <v>-438707.11</v>
      </c>
      <c r="F133" s="30">
        <f t="shared" ref="F133:K133" si="26">SUM(F129:F132)</f>
        <v>0</v>
      </c>
      <c r="G133" s="30">
        <f t="shared" si="26"/>
        <v>424241.08</v>
      </c>
      <c r="H133" s="30">
        <f t="shared" si="26"/>
        <v>0</v>
      </c>
      <c r="I133" s="270">
        <f t="shared" si="26"/>
        <v>-14466.030000000004</v>
      </c>
      <c r="J133" s="30">
        <f t="shared" si="26"/>
        <v>0</v>
      </c>
      <c r="K133" s="270">
        <f t="shared" si="26"/>
        <v>-14466.030000000004</v>
      </c>
      <c r="L133" s="281" t="s">
        <v>265</v>
      </c>
      <c r="M133" s="20"/>
      <c r="N133" s="42"/>
      <c r="O133" s="42"/>
      <c r="R133" s="58"/>
      <c r="S133" s="18"/>
      <c r="T133" s="58"/>
    </row>
    <row r="134" spans="1:23" x14ac:dyDescent="0.2">
      <c r="B134" s="21" t="s">
        <v>216</v>
      </c>
      <c r="C134" s="28"/>
      <c r="E134" s="33"/>
      <c r="F134" s="30"/>
      <c r="G134" s="152"/>
      <c r="H134" s="152"/>
      <c r="I134" s="115"/>
      <c r="J134" s="30"/>
      <c r="K134" s="115"/>
      <c r="M134" s="20"/>
      <c r="N134" s="42"/>
      <c r="O134" s="42"/>
      <c r="R134" s="58"/>
      <c r="S134" s="18"/>
      <c r="T134" s="58"/>
    </row>
    <row r="135" spans="1:23" x14ac:dyDescent="0.2">
      <c r="A135" s="100" t="s">
        <v>165</v>
      </c>
      <c r="B135" s="18"/>
      <c r="C135" s="28" t="s">
        <v>45</v>
      </c>
      <c r="D135" s="4" t="s">
        <v>294</v>
      </c>
      <c r="E135" s="32">
        <f>VLOOKUP(A135,'DEK Q1 2017'!$A$1:$I$252,9,FALSE)</f>
        <v>-18347887.660000004</v>
      </c>
      <c r="F135" s="30">
        <v>0</v>
      </c>
      <c r="G135" s="30">
        <v>-190887.42</v>
      </c>
      <c r="H135" s="30">
        <v>0</v>
      </c>
      <c r="I135" s="115">
        <f>E135+F135+G135+H135</f>
        <v>-18538775.080000006</v>
      </c>
      <c r="J135" s="30">
        <v>0</v>
      </c>
      <c r="K135" s="115">
        <f t="shared" ref="K135:K141" si="27">I135+J135</f>
        <v>-18538775.080000006</v>
      </c>
      <c r="L135" s="210" t="s">
        <v>241</v>
      </c>
      <c r="M135" s="20"/>
      <c r="N135" s="42"/>
      <c r="O135" s="42"/>
      <c r="Q135" s="287">
        <v>75086</v>
      </c>
      <c r="R135" s="58" t="s">
        <v>44</v>
      </c>
      <c r="S135" s="18">
        <v>108201</v>
      </c>
      <c r="T135" s="58"/>
    </row>
    <row r="136" spans="1:23" x14ac:dyDescent="0.2">
      <c r="A136" s="100" t="s">
        <v>166</v>
      </c>
      <c r="B136" s="18"/>
      <c r="C136" s="28" t="s">
        <v>45</v>
      </c>
      <c r="D136" s="4" t="s">
        <v>295</v>
      </c>
      <c r="E136" s="32">
        <f>VLOOKUP(A136,'DEK Q1 2017'!$A$1:$I$252,9,FALSE)</f>
        <v>-47962357.289999999</v>
      </c>
      <c r="F136" s="30">
        <v>0</v>
      </c>
      <c r="G136" s="30">
        <v>-591138.94999999995</v>
      </c>
      <c r="H136" s="30">
        <v>0</v>
      </c>
      <c r="I136" s="115">
        <f t="shared" ref="I136:I141" si="28">E136+F136+G136+H136</f>
        <v>-48553496.240000002</v>
      </c>
      <c r="J136" s="30">
        <v>0</v>
      </c>
      <c r="K136" s="115">
        <f t="shared" si="27"/>
        <v>-48553496.240000002</v>
      </c>
      <c r="L136" s="210" t="s">
        <v>242</v>
      </c>
      <c r="M136" s="20"/>
      <c r="N136" s="42"/>
      <c r="O136" s="42"/>
      <c r="R136" s="58" t="s">
        <v>44</v>
      </c>
      <c r="S136" s="18">
        <v>108301</v>
      </c>
      <c r="T136" s="58"/>
    </row>
    <row r="137" spans="1:23" x14ac:dyDescent="0.2">
      <c r="A137" s="100" t="s">
        <v>167</v>
      </c>
      <c r="B137" s="18"/>
      <c r="C137" s="28" t="s">
        <v>46</v>
      </c>
      <c r="D137" s="4" t="s">
        <v>199</v>
      </c>
      <c r="E137" s="32">
        <f>VLOOKUP(A137,'DEK Q1 2017'!$A$1:$I$252,9,FALSE)</f>
        <v>13442635.619999997</v>
      </c>
      <c r="F137" s="30">
        <v>0</v>
      </c>
      <c r="G137" s="30">
        <v>-2107798.33</v>
      </c>
      <c r="H137" s="30">
        <v>0</v>
      </c>
      <c r="I137" s="115">
        <f t="shared" si="28"/>
        <v>11334837.289999997</v>
      </c>
      <c r="J137" s="30">
        <v>0</v>
      </c>
      <c r="K137" s="115">
        <f>I137+J137</f>
        <v>11334837.289999997</v>
      </c>
      <c r="L137" s="210" t="s">
        <v>242</v>
      </c>
      <c r="M137" s="20"/>
      <c r="N137" s="42"/>
      <c r="O137" s="42"/>
      <c r="S137" s="18">
        <v>108410</v>
      </c>
      <c r="T137" s="58"/>
    </row>
    <row r="138" spans="1:23" x14ac:dyDescent="0.2">
      <c r="A138" s="100" t="s">
        <v>168</v>
      </c>
      <c r="B138" s="18"/>
      <c r="C138" s="28" t="s">
        <v>74</v>
      </c>
      <c r="D138" s="4" t="s">
        <v>217</v>
      </c>
      <c r="E138" s="32">
        <f>VLOOKUP(A138,'DEK Q1 2017'!$A$1:$I$252,9,FALSE)</f>
        <v>2426781.0299999998</v>
      </c>
      <c r="F138" s="30">
        <v>0</v>
      </c>
      <c r="G138" s="30">
        <v>65089.279999999999</v>
      </c>
      <c r="H138" s="30">
        <v>0</v>
      </c>
      <c r="I138" s="115">
        <f t="shared" si="28"/>
        <v>2491870.3099999996</v>
      </c>
      <c r="J138" s="30">
        <v>0</v>
      </c>
      <c r="K138" s="115">
        <f>I138+J138</f>
        <v>2491870.3099999996</v>
      </c>
      <c r="M138" s="20"/>
      <c r="N138" s="42"/>
      <c r="O138" s="42"/>
      <c r="Q138" s="4" t="s">
        <v>50</v>
      </c>
      <c r="R138" s="4" t="s">
        <v>51</v>
      </c>
      <c r="S138" s="18">
        <v>182303</v>
      </c>
      <c r="T138" s="58"/>
    </row>
    <row r="139" spans="1:23" x14ac:dyDescent="0.2">
      <c r="A139" s="100" t="s">
        <v>169</v>
      </c>
      <c r="B139" s="18"/>
      <c r="C139" s="28" t="s">
        <v>49</v>
      </c>
      <c r="D139" s="4" t="s">
        <v>218</v>
      </c>
      <c r="E139" s="32">
        <f>VLOOKUP(A139,'DEK Q1 2017'!$A$1:$I$252,9,FALSE)</f>
        <v>4711712.2500000028</v>
      </c>
      <c r="F139" s="30">
        <v>0</v>
      </c>
      <c r="G139" s="30">
        <v>87819.69</v>
      </c>
      <c r="H139" s="30">
        <v>0</v>
      </c>
      <c r="I139" s="115">
        <f t="shared" si="28"/>
        <v>4799531.9400000032</v>
      </c>
      <c r="J139" s="30">
        <v>0</v>
      </c>
      <c r="K139" s="115">
        <f t="shared" si="27"/>
        <v>4799531.9400000032</v>
      </c>
      <c r="M139" s="20"/>
      <c r="N139" s="42"/>
      <c r="O139" s="42"/>
      <c r="Q139" s="4" t="s">
        <v>50</v>
      </c>
      <c r="S139" s="18">
        <v>182304</v>
      </c>
      <c r="T139" s="58"/>
    </row>
    <row r="140" spans="1:23" x14ac:dyDescent="0.2">
      <c r="A140" s="100" t="s">
        <v>170</v>
      </c>
      <c r="B140" s="18"/>
      <c r="C140" s="28" t="s">
        <v>42</v>
      </c>
      <c r="D140" s="4" t="s">
        <v>200</v>
      </c>
      <c r="E140" s="32">
        <f>VLOOKUP(A140,'DEK Q1 2017'!$A$1:$I$252,9,FALSE)</f>
        <v>-239274.69000000003</v>
      </c>
      <c r="F140" s="30">
        <v>0</v>
      </c>
      <c r="G140" s="30">
        <v>-18338.28</v>
      </c>
      <c r="H140" s="30">
        <v>0</v>
      </c>
      <c r="I140" s="115">
        <f t="shared" si="28"/>
        <v>-257612.97000000003</v>
      </c>
      <c r="J140" s="30">
        <v>0</v>
      </c>
      <c r="K140" s="115">
        <f t="shared" si="27"/>
        <v>-257612.97000000003</v>
      </c>
      <c r="L140" s="210" t="s">
        <v>241</v>
      </c>
      <c r="M140" s="20"/>
      <c r="N140" s="42"/>
      <c r="O140" s="42"/>
      <c r="R140" s="58" t="s">
        <v>44</v>
      </c>
      <c r="S140" s="18">
        <v>108101</v>
      </c>
      <c r="T140" s="58"/>
    </row>
    <row r="141" spans="1:23" x14ac:dyDescent="0.2">
      <c r="A141" s="100" t="s">
        <v>272</v>
      </c>
      <c r="B141" s="18"/>
      <c r="C141" s="28" t="s">
        <v>271</v>
      </c>
      <c r="D141" s="4" t="s">
        <v>272</v>
      </c>
      <c r="E141" s="32">
        <f>VLOOKUP(A141,'DEK Q1 2017'!$A$1:$I$252,9,FALSE)</f>
        <v>0</v>
      </c>
      <c r="F141" s="30">
        <v>0</v>
      </c>
      <c r="G141" s="30">
        <v>751.54</v>
      </c>
      <c r="H141" s="30">
        <v>0</v>
      </c>
      <c r="I141" s="115">
        <f t="shared" si="28"/>
        <v>751.54</v>
      </c>
      <c r="J141" s="30">
        <v>0</v>
      </c>
      <c r="K141" s="115">
        <f t="shared" si="27"/>
        <v>751.54</v>
      </c>
      <c r="L141" s="210" t="s">
        <v>241</v>
      </c>
      <c r="M141" s="20"/>
      <c r="N141" s="42"/>
      <c r="O141" s="42"/>
      <c r="R141" s="58" t="s">
        <v>44</v>
      </c>
      <c r="S141" s="18">
        <v>108101</v>
      </c>
      <c r="T141" s="58"/>
    </row>
    <row r="142" spans="1:23" x14ac:dyDescent="0.2">
      <c r="B142" s="18"/>
      <c r="C142" s="28"/>
      <c r="E142" s="36"/>
      <c r="F142" s="36"/>
      <c r="G142" s="150"/>
      <c r="H142" s="150"/>
      <c r="I142" s="127"/>
      <c r="J142" s="68"/>
      <c r="K142" s="127"/>
      <c r="M142" s="62"/>
      <c r="P142" s="51"/>
      <c r="Q142" s="18"/>
      <c r="R142" s="58"/>
      <c r="S142" s="18">
        <v>254401</v>
      </c>
    </row>
    <row r="143" spans="1:23" x14ac:dyDescent="0.2">
      <c r="B143" s="18"/>
      <c r="C143" s="28"/>
      <c r="E143" s="44">
        <f t="shared" ref="E143:K143" si="29">SUM(E135:E142)</f>
        <v>-45968390.740000002</v>
      </c>
      <c r="F143" s="33">
        <f t="shared" si="29"/>
        <v>0</v>
      </c>
      <c r="G143" s="33">
        <f t="shared" si="29"/>
        <v>-2754502.47</v>
      </c>
      <c r="H143" s="33">
        <f t="shared" si="29"/>
        <v>0</v>
      </c>
      <c r="I143" s="269">
        <f t="shared" si="29"/>
        <v>-48722893.210000001</v>
      </c>
      <c r="J143" s="33">
        <f t="shared" si="29"/>
        <v>0</v>
      </c>
      <c r="K143" s="269">
        <f t="shared" si="29"/>
        <v>-48722893.210000001</v>
      </c>
      <c r="L143" s="281" t="s">
        <v>266</v>
      </c>
      <c r="M143" s="62"/>
      <c r="P143" s="51"/>
      <c r="Q143" s="18"/>
      <c r="R143" s="58"/>
      <c r="S143" s="18"/>
    </row>
    <row r="144" spans="1:23" ht="15" x14ac:dyDescent="0.25">
      <c r="B144" s="18"/>
      <c r="C144" s="28"/>
      <c r="D144" s="65"/>
      <c r="E144" s="33"/>
      <c r="F144" s="30"/>
      <c r="G144" s="144"/>
      <c r="H144" s="33"/>
      <c r="I144" s="126"/>
      <c r="J144" s="1"/>
      <c r="K144" s="126"/>
      <c r="L144" s="66"/>
      <c r="M144" s="67"/>
      <c r="P144" s="51"/>
      <c r="Q144" s="18"/>
      <c r="R144" s="58"/>
      <c r="S144" s="18"/>
    </row>
    <row r="145" spans="1:22" x14ac:dyDescent="0.2">
      <c r="A145" s="105" t="s">
        <v>55</v>
      </c>
      <c r="B145" s="18"/>
      <c r="C145" s="131" t="s">
        <v>55</v>
      </c>
      <c r="D145" s="132"/>
      <c r="E145" s="133">
        <f>+E117+E127+E133+E143+E122</f>
        <v>-60113334.109999999</v>
      </c>
      <c r="F145" s="133">
        <f t="shared" ref="F145" si="30">+F117+F125+F133+F143+F122</f>
        <v>0</v>
      </c>
      <c r="G145" s="133">
        <f>+G117+G127+G133+G143+G122</f>
        <v>2817445.4499999997</v>
      </c>
      <c r="H145" s="133">
        <f>+H117+H127+H133+H143+H122</f>
        <v>-386166.49</v>
      </c>
      <c r="I145" s="134">
        <f>+I117+I127+I133+I143+I122</f>
        <v>-57682055.149999999</v>
      </c>
      <c r="J145" s="133">
        <f>+J117+J125+J133+J143+J122</f>
        <v>0</v>
      </c>
      <c r="K145" s="134">
        <f>+K117+K127+K133+K143+K122</f>
        <v>-57682055.149999999</v>
      </c>
      <c r="M145" s="20"/>
      <c r="N145" s="69"/>
      <c r="R145" s="58"/>
      <c r="S145" s="18"/>
    </row>
    <row r="146" spans="1:22" x14ac:dyDescent="0.2">
      <c r="A146" s="105"/>
      <c r="B146" s="18"/>
      <c r="C146" s="18"/>
      <c r="D146" s="12"/>
      <c r="E146" s="221"/>
      <c r="F146" s="50"/>
      <c r="G146" s="145"/>
      <c r="H146" s="50"/>
      <c r="I146" s="122"/>
      <c r="J146" s="50"/>
      <c r="K146" s="122"/>
      <c r="M146" s="45"/>
      <c r="S146" s="18"/>
    </row>
    <row r="147" spans="1:22" x14ac:dyDescent="0.2">
      <c r="A147" s="105" t="s">
        <v>56</v>
      </c>
      <c r="B147" s="18"/>
      <c r="C147" s="18"/>
      <c r="D147" s="136" t="s">
        <v>219</v>
      </c>
      <c r="E147" s="137">
        <f>E145+E105</f>
        <v>39125550.590000018</v>
      </c>
      <c r="F147" s="137">
        <f>F145+F105</f>
        <v>0</v>
      </c>
      <c r="G147" s="137">
        <f>G145+G105</f>
        <v>16132182.899999999</v>
      </c>
      <c r="H147" s="137">
        <f>H145+H105</f>
        <v>-437864.82</v>
      </c>
      <c r="I147" s="138">
        <f>I105+I145</f>
        <v>47605693.670000024</v>
      </c>
      <c r="J147" s="137">
        <f>J145+J105</f>
        <v>0</v>
      </c>
      <c r="K147" s="138">
        <f>K105+K145</f>
        <v>54819868.670000009</v>
      </c>
      <c r="L147" s="50">
        <v>0</v>
      </c>
      <c r="M147" s="70"/>
      <c r="N147" s="70"/>
      <c r="O147" s="70"/>
      <c r="P147" s="50"/>
      <c r="Q147" s="50"/>
      <c r="R147" s="50"/>
      <c r="S147" s="18"/>
      <c r="T147" s="29">
        <f>+G147+H147+F147</f>
        <v>15694318.079999998</v>
      </c>
      <c r="U147" s="19">
        <v>13111056.41</v>
      </c>
      <c r="V147" s="29">
        <f>+T147-U147</f>
        <v>2583261.6699999981</v>
      </c>
    </row>
    <row r="148" spans="1:22" hidden="1" x14ac:dyDescent="0.2">
      <c r="A148" s="105"/>
      <c r="B148" s="18"/>
      <c r="C148" s="18"/>
      <c r="D148" s="12"/>
      <c r="E148" s="221"/>
      <c r="F148" s="50"/>
      <c r="G148" s="145"/>
      <c r="H148" s="50"/>
      <c r="I148" s="50"/>
      <c r="J148" s="50"/>
      <c r="K148" s="50"/>
      <c r="M148" s="45"/>
      <c r="S148" s="18"/>
    </row>
    <row r="149" spans="1:22" s="75" customFormat="1" ht="12.75" hidden="1" customHeight="1" x14ac:dyDescent="0.2">
      <c r="A149" s="107" t="s">
        <v>57</v>
      </c>
      <c r="B149" s="71"/>
      <c r="C149" s="18"/>
      <c r="D149" s="140" t="s">
        <v>57</v>
      </c>
      <c r="E149" s="223"/>
      <c r="F149" s="142"/>
      <c r="G149" s="163" t="e">
        <f>-G140-G135-G136-G137-G138-G139-#REF!-G16-G129-G30-G22-G53-G131-G94-G96-G125-G130-G52</f>
        <v>#REF!</v>
      </c>
      <c r="H149" s="139" t="e">
        <f>-H140-H135-H136-H137-H138-H139-#REF!-H16-H129-H30-H22-H53-H131-H94-H96-H125-H130-H52</f>
        <v>#REF!</v>
      </c>
      <c r="I149" s="74"/>
      <c r="J149" s="74"/>
      <c r="K149" s="74"/>
      <c r="M149" s="76"/>
      <c r="N149" s="77"/>
      <c r="O149" s="77"/>
      <c r="S149" s="18"/>
    </row>
    <row r="150" spans="1:22" ht="12.75" customHeight="1" x14ac:dyDescent="0.2">
      <c r="A150" s="107"/>
      <c r="B150" s="18"/>
      <c r="C150" s="18"/>
      <c r="D150" s="72"/>
      <c r="E150" s="224"/>
      <c r="F150" s="50"/>
      <c r="G150" s="152">
        <f>G147+H147-G71</f>
        <v>8480143.0799999982</v>
      </c>
      <c r="H150" s="145"/>
      <c r="I150" s="145">
        <f>I147-K147</f>
        <v>-7214174.9999999851</v>
      </c>
      <c r="J150" s="50"/>
      <c r="K150" s="50"/>
      <c r="M150" s="20"/>
      <c r="S150" s="18"/>
    </row>
    <row r="151" spans="1:22" ht="12.75" customHeight="1" x14ac:dyDescent="0.2">
      <c r="A151" s="107" t="s">
        <v>58</v>
      </c>
      <c r="B151" s="18"/>
      <c r="C151" s="71"/>
      <c r="D151" s="168" t="s">
        <v>296</v>
      </c>
      <c r="E151" s="73"/>
      <c r="F151" s="50"/>
      <c r="G151" s="152">
        <f>G71</f>
        <v>7214175</v>
      </c>
      <c r="H151" s="50"/>
      <c r="I151" s="50"/>
      <c r="J151" s="50"/>
      <c r="K151" s="30"/>
      <c r="M151" s="20"/>
      <c r="S151" s="71"/>
    </row>
    <row r="152" spans="1:22" ht="12.75" customHeight="1" x14ac:dyDescent="0.2">
      <c r="A152" s="107"/>
      <c r="B152" s="18"/>
      <c r="C152" s="18"/>
      <c r="D152" s="72"/>
      <c r="E152" s="83"/>
      <c r="F152" s="50"/>
      <c r="G152" s="145">
        <f>SUM(G150:G151)</f>
        <v>15694318.079999998</v>
      </c>
      <c r="H152" s="50"/>
      <c r="I152" s="50"/>
      <c r="J152" s="50"/>
      <c r="K152" s="33"/>
      <c r="M152" s="20"/>
      <c r="S152" s="18"/>
    </row>
    <row r="153" spans="1:22" ht="12.75" customHeight="1" x14ac:dyDescent="0.2">
      <c r="A153" s="107"/>
      <c r="B153" s="18"/>
      <c r="C153" s="18"/>
      <c r="D153" s="72"/>
      <c r="E153" s="83"/>
      <c r="F153" s="50"/>
      <c r="G153" s="30"/>
      <c r="H153" s="50"/>
      <c r="I153" s="50"/>
      <c r="J153" s="50"/>
      <c r="K153" s="33"/>
      <c r="M153" s="20"/>
      <c r="S153" s="18"/>
    </row>
    <row r="154" spans="1:22" ht="12.75" customHeight="1" x14ac:dyDescent="0.2">
      <c r="A154" s="107"/>
      <c r="B154" s="18"/>
      <c r="C154" s="18"/>
      <c r="D154" s="72"/>
      <c r="E154" s="236"/>
      <c r="F154" s="50"/>
      <c r="G154" s="44"/>
      <c r="H154" s="50"/>
      <c r="I154" s="50"/>
      <c r="J154" s="50"/>
      <c r="K154" s="161"/>
      <c r="M154" s="20"/>
      <c r="S154" s="18"/>
    </row>
    <row r="155" spans="1:22" ht="12.75" customHeight="1" x14ac:dyDescent="0.2">
      <c r="A155" s="107"/>
      <c r="B155" s="18"/>
      <c r="C155" s="18"/>
      <c r="D155" s="72"/>
      <c r="E155" s="224"/>
      <c r="F155" s="50"/>
      <c r="G155" s="145"/>
      <c r="H155" s="50"/>
      <c r="I155" s="50"/>
      <c r="J155" s="50"/>
      <c r="K155" s="44"/>
      <c r="M155" s="20"/>
      <c r="S155" s="18"/>
    </row>
    <row r="156" spans="1:22" ht="12.75" customHeight="1" x14ac:dyDescent="0.2">
      <c r="A156" s="107"/>
      <c r="B156" s="18"/>
      <c r="C156" s="18"/>
      <c r="D156" s="264"/>
      <c r="E156" s="73"/>
      <c r="F156" s="50"/>
      <c r="G156" s="145"/>
      <c r="H156" s="50"/>
      <c r="I156" s="50"/>
      <c r="J156" s="50"/>
      <c r="K156" s="44"/>
      <c r="M156" s="20"/>
      <c r="S156" s="18"/>
    </row>
    <row r="157" spans="1:22" ht="12.75" customHeight="1" x14ac:dyDescent="0.2">
      <c r="A157" s="107"/>
      <c r="B157" s="18"/>
      <c r="C157" s="18"/>
      <c r="D157" s="264"/>
      <c r="E157" s="73"/>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50"/>
      <c r="M158" s="20"/>
      <c r="S158" s="18"/>
    </row>
    <row r="159" spans="1:22" ht="12.75" customHeight="1" x14ac:dyDescent="0.2">
      <c r="A159" s="107"/>
      <c r="B159" s="18"/>
      <c r="C159" s="18"/>
      <c r="D159" s="264"/>
      <c r="E159" s="73"/>
      <c r="F159" s="50"/>
      <c r="G159" s="145"/>
      <c r="H159" s="50"/>
      <c r="I159" s="50"/>
      <c r="J159" s="50"/>
      <c r="K159" s="50"/>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5"/>
      <c r="E163" s="73"/>
      <c r="F163" s="50"/>
      <c r="G163" s="145"/>
      <c r="H163" s="50"/>
      <c r="I163" s="50"/>
      <c r="J163" s="50"/>
      <c r="K163" s="50"/>
      <c r="M163" s="20"/>
      <c r="S163" s="18"/>
    </row>
    <row r="164" spans="1:19" ht="12.75" customHeight="1" x14ac:dyDescent="0.2">
      <c r="A164" s="107"/>
      <c r="B164" s="18"/>
      <c r="C164" s="18"/>
      <c r="D164" s="72"/>
      <c r="E164" s="73"/>
      <c r="F164" s="50"/>
      <c r="G164" s="145"/>
      <c r="H164" s="50"/>
      <c r="I164" s="50"/>
      <c r="J164" s="50"/>
      <c r="K164" s="50"/>
      <c r="M164" s="20"/>
      <c r="S164" s="18"/>
    </row>
    <row r="165" spans="1:19" ht="12.75" customHeight="1" x14ac:dyDescent="0.2">
      <c r="A165" s="107"/>
      <c r="B165" s="18"/>
      <c r="C165" s="18"/>
      <c r="D165" s="72"/>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hidden="1" customHeight="1" x14ac:dyDescent="0.2">
      <c r="A171" s="107" t="s">
        <v>59</v>
      </c>
      <c r="B171" s="18"/>
      <c r="C171" s="18"/>
      <c r="D171" s="72" t="s">
        <v>59</v>
      </c>
      <c r="E171" s="73"/>
      <c r="F171" s="50"/>
      <c r="G171" s="145" t="e">
        <f>+G147+H147+G149+H149</f>
        <v>#REF!</v>
      </c>
      <c r="H171" s="50"/>
      <c r="I171" s="50"/>
      <c r="J171" s="50"/>
      <c r="K171" s="50"/>
      <c r="M171" s="20"/>
      <c r="S171" s="18"/>
    </row>
    <row r="172" spans="1:19" hidden="1" x14ac:dyDescent="0.2">
      <c r="B172" s="18"/>
      <c r="C172" s="18"/>
      <c r="E172" s="29"/>
      <c r="F172" s="19"/>
      <c r="G172" s="148"/>
      <c r="H172" s="19"/>
      <c r="I172" s="19"/>
      <c r="J172" s="19"/>
      <c r="K172" s="19"/>
      <c r="M172" s="20"/>
      <c r="S172" s="18"/>
    </row>
    <row r="173" spans="1:19" hidden="1" x14ac:dyDescent="0.2">
      <c r="A173" s="109" t="s">
        <v>60</v>
      </c>
      <c r="B173" s="18"/>
      <c r="C173" s="18"/>
      <c r="D173" s="78" t="s">
        <v>60</v>
      </c>
      <c r="E173" s="79"/>
      <c r="F173" s="80"/>
      <c r="G173" s="164"/>
      <c r="H173" s="80"/>
      <c r="I173" s="81"/>
      <c r="J173" s="81"/>
      <c r="K173" s="81"/>
      <c r="M173" s="20"/>
      <c r="S173" s="18"/>
    </row>
    <row r="174" spans="1:19" hidden="1" x14ac:dyDescent="0.2">
      <c r="A174" s="109" t="s">
        <v>138</v>
      </c>
      <c r="B174" s="18"/>
      <c r="C174" s="18"/>
      <c r="D174" s="82" t="s">
        <v>138</v>
      </c>
      <c r="E174" s="32">
        <v>0</v>
      </c>
      <c r="F174" s="32">
        <f>+F101+F102</f>
        <v>0</v>
      </c>
      <c r="G174" s="157"/>
      <c r="H174" s="32">
        <f>+H101+H102</f>
        <v>0</v>
      </c>
      <c r="I174" s="84">
        <f>+I101+I102</f>
        <v>0</v>
      </c>
      <c r="J174" s="84">
        <f>+J101+J102</f>
        <v>0</v>
      </c>
      <c r="K174" s="84">
        <f>+K101+K102</f>
        <v>0</v>
      </c>
      <c r="M174" s="20"/>
      <c r="S174" s="18"/>
    </row>
    <row r="175" spans="1:19" hidden="1" x14ac:dyDescent="0.2">
      <c r="A175" s="109" t="s">
        <v>140</v>
      </c>
      <c r="B175" s="18"/>
      <c r="C175" s="18"/>
      <c r="D175" s="82" t="s">
        <v>140</v>
      </c>
      <c r="E175" s="83">
        <f>+E12</f>
        <v>-1.1641532182693481E-9</v>
      </c>
      <c r="F175" s="32">
        <f>+F102+F103</f>
        <v>0</v>
      </c>
      <c r="G175" s="165"/>
      <c r="H175" s="83"/>
      <c r="I175" s="84">
        <f>+I12</f>
        <v>-1.1641532182693481E-9</v>
      </c>
      <c r="J175" s="84">
        <f>+J12</f>
        <v>0</v>
      </c>
      <c r="K175" s="84">
        <f>+K12</f>
        <v>-1.1641532182693481E-9</v>
      </c>
      <c r="M175" s="20"/>
      <c r="S175" s="18"/>
    </row>
    <row r="176" spans="1:19" hidden="1" x14ac:dyDescent="0.2">
      <c r="A176" s="109" t="s">
        <v>142</v>
      </c>
      <c r="B176" s="18"/>
      <c r="C176" s="18"/>
      <c r="D176" s="82" t="s">
        <v>142</v>
      </c>
      <c r="E176" s="83">
        <f>+E19</f>
        <v>1996956.81</v>
      </c>
      <c r="F176" s="32">
        <f t="shared" ref="F176:F181" si="31">+F103+F104</f>
        <v>0</v>
      </c>
      <c r="G176" s="165"/>
      <c r="H176" s="83"/>
      <c r="I176" s="84">
        <f>+I19</f>
        <v>1705885.81</v>
      </c>
      <c r="J176" s="84">
        <f>+J19</f>
        <v>2752358.04</v>
      </c>
      <c r="K176" s="84">
        <f>+K19</f>
        <v>4458243.8499999996</v>
      </c>
      <c r="M176" s="20"/>
      <c r="S176" s="18"/>
    </row>
    <row r="177" spans="1:19" hidden="1" x14ac:dyDescent="0.2">
      <c r="A177" s="109" t="s">
        <v>141</v>
      </c>
      <c r="B177" s="18"/>
      <c r="C177" s="18"/>
      <c r="D177" s="82" t="s">
        <v>141</v>
      </c>
      <c r="E177" s="83">
        <f>+E24</f>
        <v>1388287.2900000012</v>
      </c>
      <c r="F177" s="32">
        <f t="shared" si="31"/>
        <v>0</v>
      </c>
      <c r="G177" s="165"/>
      <c r="H177" s="83"/>
      <c r="I177" s="84">
        <f>+I24</f>
        <v>1321668.7700000012</v>
      </c>
      <c r="J177" s="84">
        <f>+J24</f>
        <v>-266474.03999999998</v>
      </c>
      <c r="K177" s="84">
        <f>+K24</f>
        <v>1055194.7300000011</v>
      </c>
      <c r="M177" s="20"/>
      <c r="S177" s="18"/>
    </row>
    <row r="178" spans="1:19" hidden="1" x14ac:dyDescent="0.2">
      <c r="A178" s="109" t="s">
        <v>61</v>
      </c>
      <c r="B178" s="18"/>
      <c r="C178" s="18"/>
      <c r="D178" s="82" t="s">
        <v>61</v>
      </c>
      <c r="E178" s="32">
        <f>+E30</f>
        <v>2231675.2000000002</v>
      </c>
      <c r="F178" s="32">
        <f t="shared" si="31"/>
        <v>0</v>
      </c>
      <c r="G178" s="157"/>
      <c r="H178" s="32"/>
      <c r="I178" s="84">
        <f>+I30</f>
        <v>1873083.2000000002</v>
      </c>
      <c r="J178" s="84">
        <f>+J30</f>
        <v>0</v>
      </c>
      <c r="K178" s="84">
        <f>+K30</f>
        <v>1873083.2000000002</v>
      </c>
      <c r="M178" s="20"/>
      <c r="S178" s="18"/>
    </row>
    <row r="179" spans="1:19" hidden="1" x14ac:dyDescent="0.2">
      <c r="A179" s="109" t="s">
        <v>143</v>
      </c>
      <c r="B179" s="18"/>
      <c r="C179" s="18"/>
      <c r="D179" s="82" t="s">
        <v>143</v>
      </c>
      <c r="E179" s="32">
        <f>+E84</f>
        <v>49947329.160000004</v>
      </c>
      <c r="F179" s="32">
        <f t="shared" si="31"/>
        <v>0</v>
      </c>
      <c r="G179" s="157"/>
      <c r="H179" s="32"/>
      <c r="I179" s="84">
        <f>+I84</f>
        <v>56313834.980000012</v>
      </c>
      <c r="J179" s="84">
        <f>+J84</f>
        <v>-2485884</v>
      </c>
      <c r="K179" s="84">
        <f>+K84</f>
        <v>61042125.980000012</v>
      </c>
      <c r="M179" s="20"/>
      <c r="S179" s="18"/>
    </row>
    <row r="180" spans="1:19" hidden="1" x14ac:dyDescent="0.2">
      <c r="A180" s="109" t="s">
        <v>151</v>
      </c>
      <c r="B180" s="18"/>
      <c r="C180" s="18"/>
      <c r="D180" s="82" t="s">
        <v>151</v>
      </c>
      <c r="E180" s="32">
        <f>+E99</f>
        <v>31094134.040000003</v>
      </c>
      <c r="F180" s="32">
        <f t="shared" si="31"/>
        <v>0</v>
      </c>
      <c r="G180" s="157"/>
      <c r="H180" s="32"/>
      <c r="I180" s="84">
        <f>+I99</f>
        <v>30568507.040000003</v>
      </c>
      <c r="J180" s="84">
        <f>+J99</f>
        <v>0</v>
      </c>
      <c r="K180" s="84">
        <f>+K99</f>
        <v>30568507.040000003</v>
      </c>
      <c r="M180" s="20"/>
      <c r="S180" s="18"/>
    </row>
    <row r="181" spans="1:19" hidden="1" x14ac:dyDescent="0.2">
      <c r="A181" s="109" t="s">
        <v>62</v>
      </c>
      <c r="B181" s="18"/>
      <c r="C181" s="18"/>
      <c r="D181" s="82" t="s">
        <v>62</v>
      </c>
      <c r="E181" s="32">
        <v>0</v>
      </c>
      <c r="F181" s="32">
        <f t="shared" si="31"/>
        <v>0</v>
      </c>
      <c r="G181" s="157"/>
      <c r="H181" s="32"/>
      <c r="I181" s="84">
        <v>0</v>
      </c>
      <c r="J181" s="84">
        <v>0</v>
      </c>
      <c r="K181" s="84">
        <v>0</v>
      </c>
      <c r="M181" s="20"/>
      <c r="S181" s="18"/>
    </row>
    <row r="182" spans="1:19" hidden="1" x14ac:dyDescent="0.2">
      <c r="A182" s="109" t="s">
        <v>152</v>
      </c>
      <c r="B182" s="18"/>
      <c r="C182" s="18"/>
      <c r="D182" s="82" t="s">
        <v>152</v>
      </c>
      <c r="E182" s="32">
        <f>+E117</f>
        <v>-8308717.5299999993</v>
      </c>
      <c r="F182" s="32" t="e">
        <f>+F109+#REF!</f>
        <v>#REF!</v>
      </c>
      <c r="G182" s="157"/>
      <c r="H182" s="32"/>
      <c r="I182" s="84">
        <f>+I117</f>
        <v>-3699334.1799999992</v>
      </c>
      <c r="J182" s="84">
        <f>+J117</f>
        <v>0</v>
      </c>
      <c r="K182" s="84">
        <f>+K117</f>
        <v>-3699334.1799999992</v>
      </c>
      <c r="M182" s="20"/>
      <c r="S182" s="18"/>
    </row>
    <row r="183" spans="1:19" hidden="1" x14ac:dyDescent="0.2">
      <c r="A183" s="109"/>
      <c r="B183" s="18"/>
      <c r="C183" s="18"/>
      <c r="D183" s="82" t="s">
        <v>189</v>
      </c>
      <c r="E183" s="32">
        <f>E122</f>
        <v>0</v>
      </c>
      <c r="F183" s="32"/>
      <c r="G183" s="157"/>
      <c r="H183" s="32"/>
      <c r="I183" s="84">
        <f>I122</f>
        <v>0</v>
      </c>
      <c r="J183" s="84">
        <f>J122</f>
        <v>0</v>
      </c>
      <c r="K183" s="84">
        <f>K122</f>
        <v>0</v>
      </c>
      <c r="M183" s="20"/>
      <c r="S183" s="18"/>
    </row>
    <row r="184" spans="1:19" hidden="1" x14ac:dyDescent="0.2">
      <c r="A184" s="109" t="s">
        <v>154</v>
      </c>
      <c r="B184" s="18"/>
      <c r="C184" s="18"/>
      <c r="D184" s="82" t="s">
        <v>154</v>
      </c>
      <c r="E184" s="32">
        <f>+E125</f>
        <v>0</v>
      </c>
      <c r="F184" s="32" t="e">
        <f>+#REF!+#REF!</f>
        <v>#REF!</v>
      </c>
      <c r="G184" s="157"/>
      <c r="H184" s="32"/>
      <c r="I184" s="84">
        <f>+I125</f>
        <v>0</v>
      </c>
      <c r="J184" s="84">
        <f>+J125</f>
        <v>0</v>
      </c>
      <c r="K184" s="84">
        <f>+K125</f>
        <v>0</v>
      </c>
      <c r="M184" s="20"/>
      <c r="S184" s="18"/>
    </row>
    <row r="185" spans="1:19" hidden="1" x14ac:dyDescent="0.2">
      <c r="A185" s="109" t="s">
        <v>153</v>
      </c>
      <c r="B185" s="18"/>
      <c r="C185" s="18"/>
      <c r="D185" s="82" t="s">
        <v>153</v>
      </c>
      <c r="E185" s="32">
        <f>+E133</f>
        <v>-438707.11</v>
      </c>
      <c r="F185" s="32" t="e">
        <f>+#REF!+F110</f>
        <v>#REF!</v>
      </c>
      <c r="G185" s="157"/>
      <c r="H185" s="32"/>
      <c r="I185" s="84">
        <f>+I133</f>
        <v>-14466.030000000004</v>
      </c>
      <c r="J185" s="84">
        <f>+J133</f>
        <v>0</v>
      </c>
      <c r="K185" s="84">
        <f>+K133</f>
        <v>-14466.030000000004</v>
      </c>
      <c r="M185" s="20"/>
      <c r="S185" s="18"/>
    </row>
    <row r="186" spans="1:19" hidden="1" x14ac:dyDescent="0.2">
      <c r="A186" s="109" t="s">
        <v>155</v>
      </c>
      <c r="B186" s="18"/>
      <c r="C186" s="18"/>
      <c r="D186" s="82" t="s">
        <v>155</v>
      </c>
      <c r="E186" s="32">
        <f>+E143</f>
        <v>-45968390.740000002</v>
      </c>
      <c r="F186" s="32">
        <f t="shared" ref="F186" si="32">+F110+F111</f>
        <v>0</v>
      </c>
      <c r="G186" s="157"/>
      <c r="H186" s="32"/>
      <c r="I186" s="84">
        <f>+I143</f>
        <v>-48722893.210000001</v>
      </c>
      <c r="J186" s="84">
        <f>+J143</f>
        <v>0</v>
      </c>
      <c r="K186" s="84">
        <f>+K143</f>
        <v>-48722893.210000001</v>
      </c>
      <c r="M186" s="20"/>
      <c r="S186" s="18"/>
    </row>
    <row r="187" spans="1:19" hidden="1" x14ac:dyDescent="0.2">
      <c r="A187" s="109"/>
      <c r="B187" s="18"/>
      <c r="C187" s="18"/>
      <c r="D187" s="85"/>
      <c r="E187" s="83"/>
      <c r="F187" s="83"/>
      <c r="G187" s="165"/>
      <c r="H187" s="83"/>
      <c r="I187" s="86"/>
      <c r="J187" s="86"/>
      <c r="K187" s="86"/>
      <c r="M187" s="20"/>
      <c r="S187" s="18"/>
    </row>
    <row r="188" spans="1:19" hidden="1" x14ac:dyDescent="0.2">
      <c r="A188" s="109" t="s">
        <v>121</v>
      </c>
      <c r="B188" s="18"/>
      <c r="C188" s="18"/>
      <c r="D188" s="87" t="s">
        <v>121</v>
      </c>
      <c r="E188" s="88">
        <f>SUM(E174:E187)</f>
        <v>31942567.120000012</v>
      </c>
      <c r="F188" s="88" t="e">
        <f>SUM(F178:F187)</f>
        <v>#REF!</v>
      </c>
      <c r="G188" s="166"/>
      <c r="H188" s="88"/>
      <c r="I188" s="89">
        <f>SUM(I174:I187)</f>
        <v>39346286.380000018</v>
      </c>
      <c r="J188" s="89">
        <f>SUM(J174:J187)</f>
        <v>0</v>
      </c>
      <c r="K188" s="89">
        <f>SUM(K174:K187)</f>
        <v>46560461.380000018</v>
      </c>
      <c r="M188" s="20"/>
      <c r="S188" s="18"/>
    </row>
    <row r="189" spans="1:19" hidden="1" x14ac:dyDescent="0.2">
      <c r="B189" s="18"/>
      <c r="C189" s="18"/>
      <c r="F189" s="19"/>
      <c r="G189" s="148"/>
      <c r="H189" s="19"/>
      <c r="I189" s="19"/>
      <c r="J189" s="19"/>
      <c r="K189" s="19"/>
      <c r="M189" s="20"/>
      <c r="S189" s="18"/>
    </row>
    <row r="190" spans="1:19" hidden="1" x14ac:dyDescent="0.2">
      <c r="B190" s="18"/>
      <c r="C190" s="18"/>
      <c r="E190" s="19">
        <f>+E188-E147</f>
        <v>-7182983.4700000063</v>
      </c>
      <c r="F190" s="19"/>
      <c r="G190" s="148"/>
      <c r="H190" s="19"/>
      <c r="I190" s="19">
        <f>+I188-I147</f>
        <v>-8259407.2900000066</v>
      </c>
      <c r="J190" s="19">
        <f>+J188-J147</f>
        <v>0</v>
      </c>
      <c r="K190" s="19">
        <f>+K188-K147</f>
        <v>-8259407.2899999917</v>
      </c>
      <c r="M190" s="20"/>
      <c r="S190" s="18"/>
    </row>
    <row r="191" spans="1:19" hidden="1" x14ac:dyDescent="0.2">
      <c r="B191" s="18"/>
      <c r="C191" s="18"/>
      <c r="F191" s="19"/>
      <c r="G191" s="148"/>
      <c r="H191" s="19"/>
      <c r="I191" s="19"/>
      <c r="J191" s="19"/>
      <c r="K191" s="19"/>
      <c r="M191" s="20"/>
      <c r="S191" s="18"/>
    </row>
    <row r="192" spans="1:19" hidden="1" x14ac:dyDescent="0.2">
      <c r="B192" s="18"/>
      <c r="C192" s="18"/>
      <c r="F192" s="19"/>
      <c r="G192" s="148"/>
      <c r="H192" s="19"/>
      <c r="I192" s="19"/>
      <c r="J192" s="19"/>
      <c r="K192" s="19"/>
      <c r="M192" s="20"/>
      <c r="S192" s="18"/>
    </row>
    <row r="193" spans="1:19" hidden="1" x14ac:dyDescent="0.2">
      <c r="B193" s="18"/>
      <c r="C193" s="18"/>
      <c r="F193" s="19"/>
      <c r="G193" s="148"/>
      <c r="H193" s="19"/>
      <c r="I193" s="19"/>
      <c r="J193" s="19"/>
      <c r="K193" s="19"/>
      <c r="M193" s="20"/>
      <c r="S193" s="18"/>
    </row>
    <row r="194" spans="1:19" hidden="1" x14ac:dyDescent="0.2">
      <c r="A194" s="100" t="s">
        <v>63</v>
      </c>
      <c r="B194" s="18"/>
      <c r="C194" s="18"/>
      <c r="D194" s="4" t="s">
        <v>63</v>
      </c>
      <c r="F194" s="19"/>
      <c r="G194" s="148">
        <f>+G34+G42+G44+G46+G48+G91+G57+G59+G15+G50+G66+G55+G65</f>
        <v>-569220</v>
      </c>
      <c r="H194" s="19">
        <f>+H34+H52+H42+H44+H46+H48+H91+H57+H59+H15+H50+H66+H55</f>
        <v>0</v>
      </c>
      <c r="I194" s="19"/>
      <c r="J194" s="19"/>
      <c r="K194" s="19"/>
      <c r="M194" s="20"/>
      <c r="S194" s="18"/>
    </row>
    <row r="195" spans="1:19" hidden="1" x14ac:dyDescent="0.2">
      <c r="A195" s="100" t="s">
        <v>64</v>
      </c>
      <c r="B195" s="18"/>
      <c r="C195" s="18"/>
      <c r="D195" s="34" t="s">
        <v>64</v>
      </c>
      <c r="F195" s="19"/>
      <c r="G195" s="148">
        <f>+G9+G101+G10</f>
        <v>0</v>
      </c>
      <c r="H195" s="19">
        <f>+H9+H101+H10</f>
        <v>0</v>
      </c>
      <c r="I195" s="19"/>
      <c r="J195" s="19"/>
      <c r="K195" s="19"/>
      <c r="M195" s="20"/>
      <c r="S195" s="18"/>
    </row>
    <row r="196" spans="1:19" hidden="1" x14ac:dyDescent="0.2">
      <c r="A196" s="100" t="s">
        <v>65</v>
      </c>
      <c r="B196" s="18"/>
      <c r="C196" s="18"/>
      <c r="D196" s="34" t="s">
        <v>65</v>
      </c>
      <c r="F196" s="19"/>
      <c r="G196" s="148">
        <f>+G109+G110+G111+G112+G108+G113</f>
        <v>4995549.84</v>
      </c>
      <c r="H196" s="19">
        <f>+H109+H110+H111+H112+H108</f>
        <v>-386166.49</v>
      </c>
      <c r="I196" s="19"/>
      <c r="J196" s="19"/>
      <c r="K196" s="19"/>
      <c r="M196" s="20"/>
      <c r="S196" s="18"/>
    </row>
    <row r="197" spans="1:19" hidden="1" x14ac:dyDescent="0.2">
      <c r="B197" s="18"/>
      <c r="C197" s="18"/>
      <c r="F197" s="19"/>
      <c r="G197" s="148"/>
      <c r="H197" s="19"/>
      <c r="I197" s="19"/>
      <c r="J197" s="19"/>
      <c r="K197" s="19"/>
      <c r="M197" s="20"/>
      <c r="S197" s="18"/>
    </row>
    <row r="198" spans="1:19" hidden="1" x14ac:dyDescent="0.2">
      <c r="B198" s="18"/>
      <c r="C198" s="18"/>
      <c r="F198" s="19"/>
      <c r="G198" s="167">
        <f>+G194+G195+G196-G151</f>
        <v>-2787845.16</v>
      </c>
      <c r="H198" s="110">
        <f>+H194+H195+H196-H151</f>
        <v>-386166.49</v>
      </c>
      <c r="I198" s="19"/>
      <c r="J198" s="19"/>
      <c r="K198" s="19"/>
      <c r="M198" s="20"/>
      <c r="S198" s="18"/>
    </row>
    <row r="199" spans="1:19" hidden="1" x14ac:dyDescent="0.2">
      <c r="B199" s="18"/>
      <c r="C199" s="18"/>
      <c r="F199" s="19"/>
      <c r="H199" s="29">
        <f>+H195+H196+H194+G194+G195+G196</f>
        <v>4040163.3499999996</v>
      </c>
      <c r="I199" s="19"/>
      <c r="J199" s="19"/>
      <c r="K199" s="19"/>
      <c r="M199" s="20"/>
      <c r="S199" s="18"/>
    </row>
    <row r="200" spans="1:19" hidden="1" x14ac:dyDescent="0.2">
      <c r="B200" s="18"/>
      <c r="C200" s="18"/>
      <c r="F200" s="19"/>
      <c r="G200" s="148"/>
      <c r="H200" s="29">
        <f>+H199-G151-H151</f>
        <v>-3174011.6500000004</v>
      </c>
      <c r="I200" s="19"/>
      <c r="J200" s="19"/>
      <c r="K200" s="19"/>
      <c r="M200" s="20"/>
      <c r="S200" s="18"/>
    </row>
    <row r="201" spans="1:19" x14ac:dyDescent="0.2">
      <c r="B201" s="18"/>
      <c r="C201" s="18"/>
      <c r="F201" s="19"/>
      <c r="G201" s="148"/>
      <c r="H201" s="19"/>
      <c r="I201" s="19"/>
      <c r="J201" s="19"/>
      <c r="K201" s="19"/>
      <c r="M201" s="20"/>
      <c r="S201" s="18"/>
    </row>
    <row r="202" spans="1:19" ht="12.75" hidden="1" customHeight="1" x14ac:dyDescent="0.2">
      <c r="B202" s="18"/>
      <c r="C202" s="18"/>
      <c r="F202" s="19"/>
      <c r="G202" s="148"/>
      <c r="H202" s="19"/>
      <c r="I202" s="19"/>
      <c r="J202" s="19"/>
      <c r="K202" s="19"/>
      <c r="M202" s="20"/>
      <c r="S202" s="18"/>
    </row>
    <row r="203" spans="1:19" ht="12.75" hidden="1" customHeight="1" x14ac:dyDescent="0.2">
      <c r="A203" s="101" t="s">
        <v>144</v>
      </c>
      <c r="B203" s="18"/>
      <c r="C203" s="18"/>
      <c r="D203" s="22" t="s">
        <v>144</v>
      </c>
      <c r="E203" s="4" t="s">
        <v>121</v>
      </c>
      <c r="F203" s="19" t="s">
        <v>147</v>
      </c>
      <c r="G203" s="148" t="s">
        <v>148</v>
      </c>
      <c r="H203" s="19"/>
      <c r="I203" s="19"/>
      <c r="J203" s="19"/>
      <c r="K203" s="19"/>
      <c r="M203" s="20"/>
      <c r="S203" s="18"/>
    </row>
    <row r="204" spans="1:19" ht="12.75" hidden="1" customHeight="1" x14ac:dyDescent="0.2">
      <c r="A204" s="101" t="s">
        <v>145</v>
      </c>
      <c r="B204" s="18"/>
      <c r="C204" s="18"/>
      <c r="D204" s="22" t="s">
        <v>145</v>
      </c>
      <c r="E204" s="19">
        <v>19066028.010000002</v>
      </c>
      <c r="F204" s="19">
        <v>62319564.710000008</v>
      </c>
      <c r="G204" s="148">
        <v>-43253536.700000003</v>
      </c>
      <c r="H204" s="19"/>
      <c r="I204" s="19"/>
      <c r="J204" s="19"/>
      <c r="K204" s="19"/>
      <c r="M204" s="20"/>
      <c r="S204" s="18"/>
    </row>
    <row r="205" spans="1:19" ht="12.75" hidden="1" customHeight="1" x14ac:dyDescent="0.2">
      <c r="A205" s="101" t="s">
        <v>146</v>
      </c>
      <c r="B205" s="18"/>
      <c r="C205" s="18"/>
      <c r="D205" s="22" t="s">
        <v>146</v>
      </c>
      <c r="F205" s="19"/>
      <c r="G205" s="148"/>
      <c r="H205" s="19"/>
      <c r="I205" s="19"/>
      <c r="J205" s="19"/>
      <c r="K205" s="19"/>
      <c r="M205" s="20"/>
      <c r="S205" s="18"/>
    </row>
    <row r="206" spans="1:19" ht="12.75" hidden="1" customHeight="1" x14ac:dyDescent="0.2">
      <c r="A206" s="100" t="s">
        <v>149</v>
      </c>
      <c r="B206" s="18"/>
      <c r="C206" s="18"/>
      <c r="D206" s="4" t="s">
        <v>149</v>
      </c>
      <c r="E206" s="29">
        <f>SUM(F206:G206)</f>
        <v>905563</v>
      </c>
      <c r="F206" s="19">
        <v>905563</v>
      </c>
      <c r="G206" s="148"/>
      <c r="H206" s="19"/>
      <c r="I206" s="19"/>
      <c r="J206" s="19"/>
      <c r="K206" s="19"/>
      <c r="M206" s="20"/>
      <c r="S206" s="18"/>
    </row>
    <row r="207" spans="1:19" ht="12.75" hidden="1" customHeight="1" x14ac:dyDescent="0.2">
      <c r="A207" s="100" t="s">
        <v>150</v>
      </c>
      <c r="B207" s="18"/>
      <c r="C207" s="18"/>
      <c r="D207" s="4" t="s">
        <v>150</v>
      </c>
      <c r="E207" s="29">
        <f>SUM(F207:G207)</f>
        <v>-905563</v>
      </c>
      <c r="G207" s="148">
        <v>-905563</v>
      </c>
      <c r="H207" s="19"/>
      <c r="I207" s="19"/>
      <c r="J207" s="19"/>
      <c r="K207" s="19"/>
      <c r="M207" s="20"/>
      <c r="S207" s="18"/>
    </row>
    <row r="208" spans="1:19" ht="12.75" hidden="1" customHeight="1" x14ac:dyDescent="0.2">
      <c r="B208" s="18"/>
      <c r="C208" s="18"/>
      <c r="F208" s="19"/>
      <c r="G208" s="148"/>
      <c r="H208" s="19"/>
      <c r="I208" s="19"/>
      <c r="J208" s="19"/>
      <c r="K208" s="19"/>
      <c r="M208" s="20"/>
      <c r="S208" s="18"/>
    </row>
    <row r="209" spans="1:19" ht="12.75" hidden="1" customHeight="1" x14ac:dyDescent="0.2">
      <c r="B209" s="18"/>
      <c r="C209" s="18"/>
      <c r="E209" s="94"/>
      <c r="F209" s="95"/>
      <c r="G209" s="169"/>
      <c r="H209" s="19"/>
      <c r="I209" s="19"/>
      <c r="J209" s="19"/>
      <c r="K209" s="19"/>
      <c r="M209" s="20"/>
      <c r="S209" s="18"/>
    </row>
    <row r="210" spans="1:19" ht="12.75" hidden="1" customHeight="1" x14ac:dyDescent="0.2">
      <c r="B210" s="18"/>
      <c r="C210" s="18"/>
      <c r="E210" s="29">
        <f>SUM(E204:E209)</f>
        <v>19066028.010000002</v>
      </c>
      <c r="F210" s="29">
        <f>SUM(F204:F209)</f>
        <v>63225127.710000008</v>
      </c>
      <c r="G210" s="151">
        <f>SUM(G204:G209)</f>
        <v>-44159099.700000003</v>
      </c>
      <c r="H210" s="19"/>
      <c r="I210" s="19"/>
      <c r="J210" s="19"/>
      <c r="K210" s="19"/>
      <c r="M210" s="20"/>
      <c r="S210" s="18"/>
    </row>
    <row r="211" spans="1:19" x14ac:dyDescent="0.2">
      <c r="B211" s="18"/>
      <c r="C211" s="18"/>
      <c r="E211" s="98"/>
      <c r="F211" s="19"/>
      <c r="G211" s="148"/>
      <c r="H211" s="19"/>
      <c r="I211" s="19"/>
      <c r="J211" s="19"/>
      <c r="K211" s="19"/>
      <c r="M211" s="20"/>
      <c r="S211" s="18"/>
    </row>
    <row r="212" spans="1:19" x14ac:dyDescent="0.2">
      <c r="B212" s="18"/>
      <c r="C212" s="18"/>
      <c r="E212" s="83"/>
      <c r="F212" s="19"/>
      <c r="G212" s="232"/>
      <c r="H212" s="19"/>
      <c r="I212" s="19"/>
      <c r="J212" s="19"/>
      <c r="K212" s="19"/>
      <c r="M212" s="20"/>
      <c r="S212" s="18"/>
    </row>
    <row r="213" spans="1:19" x14ac:dyDescent="0.2">
      <c r="B213" s="18"/>
      <c r="C213" s="18"/>
      <c r="E213" s="83"/>
      <c r="F213" s="19"/>
      <c r="G213" s="148"/>
      <c r="H213" s="19"/>
      <c r="I213" s="19"/>
      <c r="J213" s="19"/>
      <c r="K213" s="19"/>
      <c r="M213" s="20"/>
      <c r="S213" s="18"/>
    </row>
    <row r="214" spans="1:19" x14ac:dyDescent="0.2">
      <c r="B214" s="18"/>
      <c r="C214" s="18"/>
      <c r="E214" s="234"/>
      <c r="F214" s="19"/>
      <c r="G214" s="148"/>
      <c r="H214" s="19"/>
      <c r="I214" s="19"/>
      <c r="J214" s="19"/>
      <c r="K214" s="19"/>
      <c r="M214" s="20"/>
      <c r="S214" s="18"/>
    </row>
    <row r="215" spans="1:19" x14ac:dyDescent="0.2">
      <c r="B215" s="18"/>
      <c r="C215" s="18"/>
      <c r="E215" s="98"/>
      <c r="F215" s="19"/>
      <c r="G215" s="148"/>
      <c r="H215" s="19"/>
      <c r="I215" s="19"/>
      <c r="J215" s="19"/>
      <c r="K215" s="19"/>
      <c r="M215" s="20"/>
      <c r="S215" s="18"/>
    </row>
    <row r="216" spans="1:19" x14ac:dyDescent="0.2">
      <c r="B216" s="18"/>
      <c r="C216" s="18"/>
      <c r="E216" s="98"/>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F220" s="19"/>
      <c r="G220" s="148"/>
      <c r="H220" s="19"/>
      <c r="I220" s="19"/>
      <c r="J220" s="19"/>
      <c r="K220" s="19"/>
      <c r="M220" s="20"/>
      <c r="S220" s="18"/>
    </row>
    <row r="221" spans="1:19" x14ac:dyDescent="0.2">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B270" s="18"/>
      <c r="C270" s="18"/>
      <c r="F270" s="19"/>
      <c r="G270" s="148"/>
      <c r="H270" s="19"/>
      <c r="I270" s="19"/>
      <c r="J270" s="19"/>
      <c r="K270" s="19"/>
      <c r="M270" s="20"/>
      <c r="S270" s="18"/>
    </row>
    <row r="271" spans="1:19" x14ac:dyDescent="0.2">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C280" s="18"/>
      <c r="F280" s="19"/>
      <c r="G280" s="148"/>
      <c r="H280" s="19"/>
      <c r="I280" s="19"/>
      <c r="J280" s="19"/>
      <c r="K280" s="19"/>
      <c r="M280" s="20"/>
      <c r="S280" s="18"/>
    </row>
    <row r="281" spans="1:22" x14ac:dyDescent="0.2">
      <c r="C281" s="18"/>
      <c r="F281" s="19"/>
      <c r="G281" s="148"/>
      <c r="H281" s="19"/>
      <c r="I281" s="19"/>
      <c r="J281" s="19"/>
      <c r="K281" s="19"/>
      <c r="M281" s="20"/>
      <c r="S281" s="18"/>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x14ac:dyDescent="0.2">
      <c r="H330" s="19"/>
    </row>
  </sheetData>
  <mergeCells count="1">
    <mergeCell ref="Q5:R5"/>
  </mergeCells>
  <conditionalFormatting sqref="H198 G200">
    <cfRule type="cellIs" dxfId="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32"/>
  <sheetViews>
    <sheetView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88" t="s">
        <v>66</v>
      </c>
    </row>
    <row r="4" spans="1:22" x14ac:dyDescent="0.2">
      <c r="A4" s="99"/>
      <c r="B4" s="7"/>
      <c r="C4" s="3"/>
      <c r="D4" s="3"/>
      <c r="E4" s="212"/>
      <c r="F4" s="8"/>
      <c r="G4" s="215"/>
      <c r="H4" s="216"/>
      <c r="I4" s="202"/>
      <c r="J4" s="202"/>
      <c r="K4" s="202"/>
      <c r="M4" s="10"/>
      <c r="P4" s="288" t="s">
        <v>1</v>
      </c>
    </row>
    <row r="5" spans="1:22" x14ac:dyDescent="0.2">
      <c r="E5" s="217" t="s">
        <v>208</v>
      </c>
      <c r="F5" s="288" t="s">
        <v>3</v>
      </c>
      <c r="G5" s="288" t="s">
        <v>4</v>
      </c>
      <c r="H5" s="288"/>
      <c r="I5" s="204" t="s">
        <v>208</v>
      </c>
      <c r="J5" s="261" t="s">
        <v>180</v>
      </c>
      <c r="K5" s="204" t="s">
        <v>209</v>
      </c>
      <c r="L5" s="288" t="s">
        <v>5</v>
      </c>
      <c r="M5" s="11" t="s">
        <v>6</v>
      </c>
      <c r="N5" s="11" t="s">
        <v>0</v>
      </c>
      <c r="O5" s="11" t="s">
        <v>8</v>
      </c>
      <c r="P5" s="288" t="s">
        <v>9</v>
      </c>
      <c r="Q5" s="576" t="s">
        <v>10</v>
      </c>
      <c r="R5" s="576"/>
      <c r="U5" s="12" t="s">
        <v>11</v>
      </c>
    </row>
    <row r="6" spans="1:22" x14ac:dyDescent="0.2">
      <c r="E6" s="218">
        <v>42916</v>
      </c>
      <c r="F6" s="13" t="s">
        <v>12</v>
      </c>
      <c r="G6" s="14" t="s">
        <v>13</v>
      </c>
      <c r="H6" s="14" t="s">
        <v>8</v>
      </c>
      <c r="I6" s="205">
        <v>42947</v>
      </c>
      <c r="J6" s="261" t="s">
        <v>210</v>
      </c>
      <c r="K6" s="205">
        <f>I6</f>
        <v>42947</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Q2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Q2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Q2 2017'!$A$1:$I$251,9,FALSE)</f>
        <v>357622.81000000006</v>
      </c>
      <c r="F15" s="30">
        <v>0</v>
      </c>
      <c r="G15" s="33">
        <v>0</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Q2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Q2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0</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Q2 2017'!$A$1:$I$251,9,FALSE)</f>
        <v>1321668.7700000012</v>
      </c>
      <c r="F22" s="33">
        <v>0</v>
      </c>
      <c r="G22" s="33">
        <v>0</v>
      </c>
      <c r="H22" s="33">
        <v>-22206.15</v>
      </c>
      <c r="I22" s="115">
        <f>E22+F22+G22+H22</f>
        <v>1299462.6200000013</v>
      </c>
      <c r="J22" s="30">
        <v>-266474.03999999998</v>
      </c>
      <c r="K22" s="115">
        <f>I22+J22</f>
        <v>1032988.5800000012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1321668.7700000012</v>
      </c>
      <c r="F24" s="29">
        <f t="shared" ref="F24:K24" si="3">SUM(F22:F23)</f>
        <v>0</v>
      </c>
      <c r="G24" s="29">
        <f t="shared" si="3"/>
        <v>0</v>
      </c>
      <c r="H24" s="29">
        <f t="shared" si="3"/>
        <v>-22206.15</v>
      </c>
      <c r="I24" s="269">
        <f t="shared" si="3"/>
        <v>1299462.6200000013</v>
      </c>
      <c r="J24" s="49">
        <f t="shared" si="3"/>
        <v>-266474.03999999998</v>
      </c>
      <c r="K24" s="269">
        <f t="shared" si="3"/>
        <v>1032988.5800000012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Q2 2017'!$A$1:$I$251,9,FALSE)</f>
        <v>2284958</v>
      </c>
      <c r="F27" s="33">
        <v>0</v>
      </c>
      <c r="G27" s="33">
        <v>0</v>
      </c>
      <c r="H27" s="29">
        <v>0</v>
      </c>
      <c r="I27" s="115">
        <f>E27+F27+G27+H27</f>
        <v>2284958</v>
      </c>
      <c r="J27" s="33">
        <v>0</v>
      </c>
      <c r="K27" s="115">
        <f>I27+J27</f>
        <v>2284958</v>
      </c>
      <c r="L27" s="210" t="s">
        <v>22</v>
      </c>
      <c r="M27" s="226"/>
      <c r="S27" s="28" t="s">
        <v>23</v>
      </c>
    </row>
    <row r="28" spans="1:21" ht="13.5" customHeight="1" x14ac:dyDescent="0.2">
      <c r="A28" s="100" t="s">
        <v>80</v>
      </c>
      <c r="B28" s="28"/>
      <c r="C28" s="28" t="s">
        <v>24</v>
      </c>
      <c r="D28" s="4" t="s">
        <v>204</v>
      </c>
      <c r="E28" s="32">
        <f>VLOOKUP(A28,'DEK Q2 2017'!$A$1:$I$251,9,FALSE)</f>
        <v>-411874.79999999981</v>
      </c>
      <c r="F28" s="33">
        <v>0</v>
      </c>
      <c r="G28" s="33">
        <v>0</v>
      </c>
      <c r="H28" s="32">
        <v>0</v>
      </c>
      <c r="I28" s="115">
        <f>E28+F28+G28+H28</f>
        <v>-411874.79999999981</v>
      </c>
      <c r="J28" s="33">
        <v>0</v>
      </c>
      <c r="K28" s="115">
        <f>I28+J28</f>
        <v>-411874.79999999981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0</v>
      </c>
      <c r="H30" s="33">
        <f t="shared" si="4"/>
        <v>0</v>
      </c>
      <c r="I30" s="269">
        <f t="shared" si="4"/>
        <v>1873083.2000000002</v>
      </c>
      <c r="J30" s="33">
        <f t="shared" si="4"/>
        <v>0</v>
      </c>
      <c r="K30" s="269">
        <f t="shared" si="4"/>
        <v>1873083.2000000002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Q2 2017'!$A$1:$I$251,9,FALSE)</f>
        <v>3009391.8300000019</v>
      </c>
      <c r="F52" s="33">
        <v>0</v>
      </c>
      <c r="G52" s="33">
        <v>-806041.62</v>
      </c>
      <c r="H52" s="33">
        <v>0</v>
      </c>
      <c r="I52" s="115">
        <f>E52+F52+G52+H52</f>
        <v>2203350.2100000018</v>
      </c>
      <c r="J52" s="30">
        <v>-2485884</v>
      </c>
      <c r="K52" s="115">
        <f>I52+J52</f>
        <v>-282533.78999999817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Q2 2017'!$A$1:$I$251,9,FALSE)</f>
        <v>5020179</v>
      </c>
      <c r="F53" s="33">
        <v>0</v>
      </c>
      <c r="G53" s="33">
        <v>0</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Q2 2017'!$A$1:$I$251,9,FALSE)</f>
        <v>1700000</v>
      </c>
      <c r="F59" s="33">
        <v>0</v>
      </c>
      <c r="G59" s="33">
        <v>0</v>
      </c>
      <c r="H59" s="33">
        <v>0</v>
      </c>
      <c r="I59" s="115">
        <f>E59+F59+G59+H59</f>
        <v>1700000</v>
      </c>
      <c r="J59" s="33">
        <v>0</v>
      </c>
      <c r="K59" s="115">
        <f>I59+J59</f>
        <v>1700000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Q2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Q2 2017'!$A$1:$I$251,9,FALSE)</f>
        <v>28819714.289999999</v>
      </c>
      <c r="F67" s="172"/>
      <c r="G67" s="33">
        <v>867730.47</v>
      </c>
      <c r="H67" s="172"/>
      <c r="I67" s="115">
        <f t="shared" si="5"/>
        <v>29687444.759999998</v>
      </c>
      <c r="J67" s="172"/>
      <c r="K67" s="115">
        <f t="shared" si="6"/>
        <v>29687444.759999998</v>
      </c>
      <c r="L67" s="210" t="s">
        <v>250</v>
      </c>
      <c r="M67" s="20" t="s">
        <v>246</v>
      </c>
      <c r="S67" s="18"/>
    </row>
    <row r="68" spans="1:19" ht="12.75" customHeight="1" x14ac:dyDescent="0.35">
      <c r="B68" s="28"/>
      <c r="C68" s="28"/>
      <c r="E68" s="32"/>
      <c r="F68" s="172"/>
      <c r="G68" s="33"/>
      <c r="H68" s="172"/>
      <c r="I68" s="115"/>
      <c r="J68" s="172"/>
      <c r="K68" s="115"/>
      <c r="M68" s="20"/>
      <c r="S68" s="18"/>
    </row>
    <row r="69" spans="1:19" ht="20.25" customHeight="1" x14ac:dyDescent="0.35">
      <c r="A69" s="100" t="s">
        <v>238</v>
      </c>
      <c r="B69" s="28"/>
      <c r="C69" s="28" t="s">
        <v>236</v>
      </c>
      <c r="D69" s="4" t="s">
        <v>238</v>
      </c>
      <c r="E69" s="32">
        <f>VLOOKUP(A69,'DEK Q2 2017'!$A$1:$I$251,9,FALSE)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20.25" customHeight="1" x14ac:dyDescent="0.35">
      <c r="A71" s="100" t="s">
        <v>296</v>
      </c>
      <c r="B71" s="28"/>
      <c r="C71" s="28" t="s">
        <v>297</v>
      </c>
      <c r="D71" s="4" t="s">
        <v>296</v>
      </c>
      <c r="E71" s="32">
        <f>VLOOKUP(A71,'DEK Q2 2017'!$A$1:$I$251,9,FALSE)</f>
        <v>0</v>
      </c>
      <c r="F71" s="172"/>
      <c r="G71" s="33">
        <v>0</v>
      </c>
      <c r="H71" s="33"/>
      <c r="I71" s="115">
        <f>E71+F71+G71+H71</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Q2 2017'!$A$1:$I$251,9,FALSE)</f>
        <v>-464001.75</v>
      </c>
      <c r="F73" s="172"/>
      <c r="G73" s="33">
        <v>-39740.019999999997</v>
      </c>
      <c r="H73" s="33">
        <v>0</v>
      </c>
      <c r="I73" s="115">
        <f t="shared" si="5"/>
        <v>-503741.77</v>
      </c>
      <c r="J73" s="33"/>
      <c r="K73" s="115">
        <f t="shared" si="6"/>
        <v>-503741.77</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Q2 2017'!$A$1:$I$251,9,FALSE)</f>
        <v>0</v>
      </c>
      <c r="F75" s="172"/>
      <c r="G75" s="33">
        <v>0</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Q2 2017'!$A$1:$I$251,9,FALSE)</f>
        <v>10983246.870000001</v>
      </c>
      <c r="F77" s="172"/>
      <c r="G77" s="33">
        <v>286059.13</v>
      </c>
      <c r="H77" s="33">
        <v>0</v>
      </c>
      <c r="I77" s="115">
        <f t="shared" ref="I77" si="9">E77+F77+G77+H77</f>
        <v>11269306.000000002</v>
      </c>
      <c r="J77" s="33"/>
      <c r="K77" s="115">
        <f t="shared" ref="K77" si="10">I77+J77</f>
        <v>11269306.000000002</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Q2 2017'!$A$1:$I$251,9,FALSE)</f>
        <v>145505.79</v>
      </c>
      <c r="F79" s="172"/>
      <c r="G79" s="33">
        <v>11867.87</v>
      </c>
      <c r="H79" s="33">
        <v>0</v>
      </c>
      <c r="I79" s="115">
        <f t="shared" ref="I79" si="11">E79+F79+G79+H79</f>
        <v>157373.66</v>
      </c>
      <c r="J79" s="33"/>
      <c r="K79" s="115">
        <f t="shared" ref="K79" si="12">I79+J79</f>
        <v>157373.66</v>
      </c>
      <c r="L79" s="210" t="s">
        <v>22</v>
      </c>
      <c r="M79" s="20" t="s">
        <v>247</v>
      </c>
      <c r="S79" s="18"/>
    </row>
    <row r="80" spans="1:19" ht="16.5" customHeight="1" x14ac:dyDescent="0.35">
      <c r="B80" s="28"/>
      <c r="C80" s="28"/>
      <c r="E80" s="32"/>
      <c r="F80" s="172"/>
      <c r="G80" s="144"/>
      <c r="H80" s="33"/>
      <c r="I80" s="115"/>
      <c r="J80" s="33"/>
      <c r="K80" s="115"/>
      <c r="L80" s="210"/>
      <c r="M80" s="20"/>
      <c r="S80" s="18"/>
    </row>
    <row r="81" spans="1:21" ht="12.75" customHeight="1" x14ac:dyDescent="0.35">
      <c r="A81" s="100" t="s">
        <v>234</v>
      </c>
      <c r="B81" s="28"/>
      <c r="C81" s="28" t="s">
        <v>232</v>
      </c>
      <c r="D81" s="4" t="s">
        <v>233</v>
      </c>
      <c r="E81" s="32">
        <f>VLOOKUP(A81,'DEK Q2 2017'!$A$1:$I$251,9,FALSE)</f>
        <v>0</v>
      </c>
      <c r="F81" s="174"/>
      <c r="G81" s="144">
        <v>0</v>
      </c>
      <c r="H81" s="33">
        <v>0</v>
      </c>
      <c r="I81" s="115">
        <f t="shared" ref="I81:I85" si="13">E81+F81+G81+H81</f>
        <v>0</v>
      </c>
      <c r="J81" s="33"/>
      <c r="K81" s="115">
        <f t="shared" ref="K81:K85" si="14">I81+J81</f>
        <v>0</v>
      </c>
      <c r="M81" s="20"/>
      <c r="S81" s="18"/>
    </row>
    <row r="82" spans="1:21" ht="12.75" customHeight="1" x14ac:dyDescent="0.35">
      <c r="B82" s="28"/>
      <c r="C82" s="28"/>
      <c r="E82" s="32"/>
      <c r="F82" s="172"/>
      <c r="G82" s="144"/>
      <c r="H82" s="33"/>
      <c r="I82" s="115"/>
      <c r="J82" s="33"/>
      <c r="K82" s="115"/>
      <c r="M82" s="20"/>
      <c r="S82" s="18"/>
    </row>
    <row r="83" spans="1:21" ht="12.75" customHeight="1" x14ac:dyDescent="0.35">
      <c r="A83" s="100" t="s">
        <v>298</v>
      </c>
      <c r="B83" s="28"/>
      <c r="C83" s="28" t="s">
        <v>299</v>
      </c>
      <c r="D83" s="4" t="s">
        <v>300</v>
      </c>
      <c r="E83" s="32">
        <v>0</v>
      </c>
      <c r="F83" s="172"/>
      <c r="G83" s="33">
        <v>2448.77</v>
      </c>
      <c r="H83" s="33">
        <v>0</v>
      </c>
      <c r="I83" s="115">
        <f t="shared" ref="I83" si="15">E83+F83+G83+H83</f>
        <v>2448.77</v>
      </c>
      <c r="J83" s="33"/>
      <c r="K83" s="115">
        <f t="shared" si="14"/>
        <v>2448.77</v>
      </c>
      <c r="L83" s="289" t="s">
        <v>301</v>
      </c>
      <c r="M83" s="29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Q2 2017'!$A$1:$I$251,9,FALSE)</f>
        <v>2187114.9499999997</v>
      </c>
      <c r="F85" s="174"/>
      <c r="G85" s="36">
        <v>0</v>
      </c>
      <c r="H85" s="36">
        <v>0</v>
      </c>
      <c r="I85" s="116">
        <f t="shared" si="13"/>
        <v>2187114.9499999997</v>
      </c>
      <c r="J85" s="36"/>
      <c r="K85" s="116">
        <f t="shared" si="14"/>
        <v>2187114.9499999997</v>
      </c>
      <c r="M85" s="20"/>
      <c r="S85" s="18"/>
    </row>
    <row r="86" spans="1:21" x14ac:dyDescent="0.2">
      <c r="B86" s="54"/>
      <c r="C86" s="28"/>
      <c r="E86" s="221">
        <f>SUM(E42:E85)</f>
        <v>56313834.980000012</v>
      </c>
      <c r="F86" s="29">
        <f>SUM(F39:F65)+F36</f>
        <v>0</v>
      </c>
      <c r="G86" s="29">
        <f>SUM(G39:G85)+G36</f>
        <v>322324.59999999998</v>
      </c>
      <c r="H86" s="29">
        <f>SUM(H39:H85)+H36</f>
        <v>0</v>
      </c>
      <c r="I86" s="269">
        <f>SUM(I39:I85)</f>
        <v>56636159.579999998</v>
      </c>
      <c r="J86" s="49">
        <f>SUM(J39:J85)+J36</f>
        <v>-2485884</v>
      </c>
      <c r="K86" s="275">
        <f>SUM(K39:K85)</f>
        <v>61364450.579999998</v>
      </c>
      <c r="L86" s="280" t="s">
        <v>259</v>
      </c>
      <c r="M86" s="20"/>
      <c r="S86" s="18"/>
    </row>
    <row r="87" spans="1:21" x14ac:dyDescent="0.2">
      <c r="B87" s="54"/>
      <c r="C87" s="28"/>
      <c r="E87" s="32"/>
      <c r="F87" s="32"/>
      <c r="G87" s="157"/>
      <c r="H87" s="32"/>
      <c r="I87" s="123"/>
      <c r="J87" s="32"/>
      <c r="K87" s="123"/>
      <c r="L87" s="230"/>
      <c r="M87" s="20"/>
      <c r="N87" s="143"/>
      <c r="S87" s="18"/>
    </row>
    <row r="88" spans="1:21" ht="16.5" customHeight="1" x14ac:dyDescent="0.35">
      <c r="A88" s="100" t="s">
        <v>255</v>
      </c>
      <c r="B88" s="28"/>
      <c r="C88" s="28" t="s">
        <v>254</v>
      </c>
      <c r="D88" s="4" t="s">
        <v>255</v>
      </c>
      <c r="E88" s="32">
        <f>VLOOKUP(A88,'DEK Q2 2017'!$A$1:$I$251,9,FALSE)</f>
        <v>11022923.02</v>
      </c>
      <c r="F88" s="172"/>
      <c r="G88" s="33">
        <v>305524.37</v>
      </c>
      <c r="H88" s="33">
        <v>0</v>
      </c>
      <c r="I88" s="115">
        <f>E88+F88+G88+H88</f>
        <v>11328447.389999999</v>
      </c>
      <c r="J88" s="33"/>
      <c r="K88" s="115">
        <f>I88+J88</f>
        <v>11328447.389999999</v>
      </c>
      <c r="L88" s="210"/>
      <c r="M88" s="20"/>
      <c r="S88" s="18"/>
    </row>
    <row r="89" spans="1:21" x14ac:dyDescent="0.2">
      <c r="A89" s="100" t="s">
        <v>269</v>
      </c>
      <c r="B89" s="54"/>
      <c r="C89" s="28" t="s">
        <v>268</v>
      </c>
      <c r="D89" s="4" t="s">
        <v>269</v>
      </c>
      <c r="E89" s="35">
        <f>VLOOKUP(A89,'DEK Q2 2017'!$A$1:$I$251,9,FALSE)</f>
        <v>2481846</v>
      </c>
      <c r="F89" s="35"/>
      <c r="G89" s="35">
        <v>13005</v>
      </c>
      <c r="H89" s="35">
        <v>0</v>
      </c>
      <c r="I89" s="267">
        <f>E89+F89+G89+H89</f>
        <v>2494851</v>
      </c>
      <c r="J89" s="274">
        <v>0</v>
      </c>
      <c r="K89" s="267">
        <f t="shared" ref="K89" si="16">I89+J89</f>
        <v>2494851</v>
      </c>
      <c r="L89" s="280" t="s">
        <v>279</v>
      </c>
      <c r="M89" s="20"/>
      <c r="S89" s="18"/>
    </row>
    <row r="90" spans="1:21" x14ac:dyDescent="0.2">
      <c r="B90" s="54"/>
      <c r="C90" s="28"/>
      <c r="E90" s="221">
        <f>SUM(E88:E89)</f>
        <v>13504769.02</v>
      </c>
      <c r="F90" s="32"/>
      <c r="G90" s="32">
        <f>SUM(G88:G89)</f>
        <v>318529.37</v>
      </c>
      <c r="H90" s="32">
        <f>SUM(H88:H89)</f>
        <v>0</v>
      </c>
      <c r="I90" s="269">
        <f>SUM(I88:I89)</f>
        <v>13823298.389999999</v>
      </c>
      <c r="J90" s="221">
        <f>SUM(J89)</f>
        <v>0</v>
      </c>
      <c r="K90" s="269">
        <f>SUM(K88:K89)</f>
        <v>13823298.389999999</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Q2 2017'!$A$1:$I$251,9,FALSE)</f>
        <v>23425824.719999999</v>
      </c>
      <c r="F93" s="30">
        <v>0</v>
      </c>
      <c r="G93" s="33">
        <v>-5273</v>
      </c>
      <c r="H93" s="30">
        <v>0</v>
      </c>
      <c r="I93" s="115">
        <f>E93+F93+G93+H93</f>
        <v>23420551.719999999</v>
      </c>
      <c r="J93" s="30">
        <v>0</v>
      </c>
      <c r="K93" s="115">
        <f t="shared" ref="K93:K100" si="17">I93+J93</f>
        <v>23420551.719999999</v>
      </c>
      <c r="L93" s="210"/>
      <c r="M93" s="20" t="s">
        <v>126</v>
      </c>
      <c r="P93" s="58"/>
      <c r="R93" s="4" t="s">
        <v>107</v>
      </c>
      <c r="S93" s="18">
        <v>182940</v>
      </c>
      <c r="U93" s="4" t="s">
        <v>36</v>
      </c>
    </row>
    <row r="94" spans="1:21" x14ac:dyDescent="0.2">
      <c r="A94" s="100" t="s">
        <v>291</v>
      </c>
      <c r="B94" s="28"/>
      <c r="C94" s="28" t="s">
        <v>290</v>
      </c>
      <c r="D94" s="4" t="s">
        <v>291</v>
      </c>
      <c r="E94" s="32">
        <f>VLOOKUP(A94,'DEK Q2 2017'!$A$1:$I$251,9,FALSE)</f>
        <v>2470173.5499999998</v>
      </c>
      <c r="F94" s="30">
        <v>0</v>
      </c>
      <c r="G94" s="33">
        <v>0</v>
      </c>
      <c r="H94" s="30">
        <v>0</v>
      </c>
      <c r="I94" s="115">
        <f t="shared" ref="I94:I100" si="18">E94+F94+G94+H94</f>
        <v>2470173.5499999998</v>
      </c>
      <c r="J94" s="30">
        <v>0</v>
      </c>
      <c r="K94" s="115">
        <f t="shared" si="17"/>
        <v>2470173.5499999998</v>
      </c>
      <c r="L94" s="210" t="s">
        <v>22</v>
      </c>
      <c r="M94" s="20"/>
      <c r="P94" s="58"/>
      <c r="S94" s="18">
        <v>186801</v>
      </c>
    </row>
    <row r="95" spans="1:21" x14ac:dyDescent="0.2">
      <c r="A95" s="100" t="s">
        <v>281</v>
      </c>
      <c r="B95" s="28"/>
      <c r="C95" s="28" t="s">
        <v>280</v>
      </c>
      <c r="D95" s="4" t="s">
        <v>281</v>
      </c>
      <c r="E95" s="32">
        <f>VLOOKUP(A95,'DEK Q2 2017'!$A$1:$I$251,9,FALSE)</f>
        <v>4623683.7200000007</v>
      </c>
      <c r="F95" s="30">
        <v>0</v>
      </c>
      <c r="G95" s="33">
        <v>-5862</v>
      </c>
      <c r="H95" s="30">
        <v>0</v>
      </c>
      <c r="I95" s="115">
        <f t="shared" si="18"/>
        <v>4617821.7200000007</v>
      </c>
      <c r="J95" s="30">
        <v>0</v>
      </c>
      <c r="K95" s="115">
        <f t="shared" si="17"/>
        <v>4617821.7200000007</v>
      </c>
      <c r="L95" s="210" t="s">
        <v>22</v>
      </c>
      <c r="M95" s="20"/>
      <c r="P95" s="58"/>
      <c r="S95" s="18">
        <v>186801</v>
      </c>
    </row>
    <row r="96" spans="1:21" x14ac:dyDescent="0.2">
      <c r="A96" s="100" t="s">
        <v>293</v>
      </c>
      <c r="B96" s="28"/>
      <c r="C96" s="28" t="s">
        <v>292</v>
      </c>
      <c r="D96" s="4" t="s">
        <v>293</v>
      </c>
      <c r="E96" s="32">
        <f>VLOOKUP(A96,'DEK Q2 2017'!$A$1:$I$251,9,FALSE)</f>
        <v>48825.05</v>
      </c>
      <c r="F96" s="30">
        <v>0</v>
      </c>
      <c r="G96" s="33">
        <v>0</v>
      </c>
      <c r="H96" s="30">
        <v>0</v>
      </c>
      <c r="I96" s="115">
        <f t="shared" si="18"/>
        <v>48825.05</v>
      </c>
      <c r="J96" s="30">
        <v>0</v>
      </c>
      <c r="K96" s="115">
        <f t="shared" si="17"/>
        <v>48825.05</v>
      </c>
      <c r="L96" s="210" t="s">
        <v>22</v>
      </c>
      <c r="M96" s="20"/>
      <c r="P96" s="58"/>
      <c r="S96" s="18"/>
    </row>
    <row r="97" spans="1:20" x14ac:dyDescent="0.2">
      <c r="A97" s="100" t="s">
        <v>161</v>
      </c>
      <c r="B97" s="28"/>
      <c r="C97" s="28" t="s">
        <v>72</v>
      </c>
      <c r="D97" s="4" t="s">
        <v>224</v>
      </c>
      <c r="E97" s="32">
        <f>VLOOKUP(A97,'DEK Q2 2017'!$A$1:$I$251,9,FALSE)</f>
        <v>0</v>
      </c>
      <c r="F97" s="30">
        <v>0</v>
      </c>
      <c r="G97" s="33">
        <v>-104110</v>
      </c>
      <c r="H97" s="30">
        <v>0</v>
      </c>
      <c r="I97" s="115">
        <f t="shared" si="18"/>
        <v>-104110</v>
      </c>
      <c r="J97" s="30">
        <v>0</v>
      </c>
      <c r="K97" s="115">
        <f t="shared" si="17"/>
        <v>-104110</v>
      </c>
      <c r="L97" s="210" t="s">
        <v>22</v>
      </c>
      <c r="M97" s="20"/>
      <c r="P97" s="58"/>
      <c r="S97" s="18"/>
    </row>
    <row r="98" spans="1:20" x14ac:dyDescent="0.2">
      <c r="A98" s="108" t="s">
        <v>171</v>
      </c>
      <c r="B98" s="28"/>
      <c r="C98" s="28" t="s">
        <v>122</v>
      </c>
      <c r="D98" s="4" t="s">
        <v>225</v>
      </c>
      <c r="E98" s="32">
        <f>VLOOKUP(A98,'DEK Q2 2017'!$A$1:$I$251,9,FALSE)</f>
        <v>0</v>
      </c>
      <c r="F98" s="30">
        <v>0</v>
      </c>
      <c r="G98" s="33">
        <v>-23330</v>
      </c>
      <c r="H98" s="30">
        <v>0</v>
      </c>
      <c r="I98" s="115">
        <f t="shared" si="18"/>
        <v>-23330</v>
      </c>
      <c r="J98" s="30">
        <v>0</v>
      </c>
      <c r="K98" s="115">
        <f t="shared" si="17"/>
        <v>-23330</v>
      </c>
      <c r="L98" s="210" t="s">
        <v>22</v>
      </c>
      <c r="M98" s="20"/>
      <c r="P98" s="58"/>
      <c r="S98" s="18"/>
    </row>
    <row r="99" spans="1:20" x14ac:dyDescent="0.2">
      <c r="A99" s="108" t="s">
        <v>284</v>
      </c>
      <c r="B99" s="28"/>
      <c r="C99" s="28" t="s">
        <v>285</v>
      </c>
      <c r="D99" s="4" t="s">
        <v>284</v>
      </c>
      <c r="E99" s="32">
        <f>VLOOKUP(A99,'DEK Q2 2017'!$A$1:$I$251,9,FALSE)</f>
        <v>0</v>
      </c>
      <c r="F99" s="30"/>
      <c r="G99" s="33">
        <v>-36260</v>
      </c>
      <c r="H99" s="30"/>
      <c r="I99" s="115">
        <f t="shared" si="18"/>
        <v>-36260</v>
      </c>
      <c r="J99" s="30"/>
      <c r="K99" s="115">
        <f t="shared" si="17"/>
        <v>-36260</v>
      </c>
      <c r="L99" s="210"/>
      <c r="M99" s="20"/>
      <c r="P99" s="58"/>
      <c r="S99" s="18"/>
    </row>
    <row r="100" spans="1:20" x14ac:dyDescent="0.2">
      <c r="A100" s="108" t="s">
        <v>172</v>
      </c>
      <c r="B100" s="28"/>
      <c r="C100" s="28" t="s">
        <v>123</v>
      </c>
      <c r="D100" s="4" t="s">
        <v>226</v>
      </c>
      <c r="E100" s="35">
        <f>VLOOKUP(A100,'DEK Q2 2017'!$A$1:$I$251,9,FALSE)</f>
        <v>0</v>
      </c>
      <c r="F100" s="36"/>
      <c r="G100" s="36">
        <v>-374</v>
      </c>
      <c r="H100" s="36"/>
      <c r="I100" s="116">
        <f t="shared" si="18"/>
        <v>-374</v>
      </c>
      <c r="J100" s="36"/>
      <c r="K100" s="116">
        <f t="shared" si="17"/>
        <v>-374</v>
      </c>
      <c r="M100" s="20"/>
      <c r="P100" s="58"/>
      <c r="S100" s="18"/>
    </row>
    <row r="101" spans="1:20" x14ac:dyDescent="0.2">
      <c r="B101" s="28"/>
      <c r="C101" s="18"/>
      <c r="E101" s="221">
        <f t="shared" ref="E101:K101" si="19">SUM(E93:E100)</f>
        <v>30568507.040000003</v>
      </c>
      <c r="F101" s="29">
        <f t="shared" si="19"/>
        <v>0</v>
      </c>
      <c r="G101" s="29">
        <f>SUM(G93:G100)</f>
        <v>-175209</v>
      </c>
      <c r="H101" s="29">
        <f t="shared" si="19"/>
        <v>0</v>
      </c>
      <c r="I101" s="269">
        <f t="shared" si="19"/>
        <v>30393298.040000003</v>
      </c>
      <c r="J101" s="29">
        <f t="shared" si="19"/>
        <v>0</v>
      </c>
      <c r="K101" s="269">
        <f t="shared" si="19"/>
        <v>30393298.040000003</v>
      </c>
      <c r="L101" s="280" t="s">
        <v>260</v>
      </c>
      <c r="M101" s="20"/>
      <c r="S101" s="18"/>
    </row>
    <row r="102" spans="1:20" ht="12.75" hidden="1" customHeight="1" x14ac:dyDescent="0.2">
      <c r="B102" s="54" t="s">
        <v>135</v>
      </c>
      <c r="C102" s="18"/>
      <c r="E102" s="32"/>
      <c r="F102" s="29"/>
      <c r="G102" s="151"/>
      <c r="H102" s="151"/>
      <c r="I102" s="117"/>
      <c r="J102" s="29"/>
      <c r="K102" s="117"/>
      <c r="M102" s="20"/>
      <c r="S102" s="18"/>
    </row>
    <row r="103" spans="1:20" ht="12.75" hidden="1" customHeight="1" x14ac:dyDescent="0.2">
      <c r="A103" s="100" t="s">
        <v>108</v>
      </c>
      <c r="B103" s="28"/>
      <c r="C103" s="28" t="s">
        <v>71</v>
      </c>
      <c r="D103" s="4" t="s">
        <v>108</v>
      </c>
      <c r="E103" s="32">
        <v>0</v>
      </c>
      <c r="F103" s="30">
        <v>0</v>
      </c>
      <c r="G103" s="152">
        <v>0</v>
      </c>
      <c r="H103" s="152">
        <v>0</v>
      </c>
      <c r="I103" s="115">
        <f t="shared" ref="I103:K104" si="20">E103+F103+G103+H103</f>
        <v>0</v>
      </c>
      <c r="J103" s="30">
        <f t="shared" si="20"/>
        <v>0</v>
      </c>
      <c r="K103" s="115">
        <f t="shared" si="20"/>
        <v>0</v>
      </c>
      <c r="M103" s="20"/>
      <c r="S103" s="18">
        <v>174995</v>
      </c>
    </row>
    <row r="104" spans="1:20" ht="12.75" hidden="1" customHeight="1" x14ac:dyDescent="0.2">
      <c r="A104" s="100" t="s">
        <v>139</v>
      </c>
      <c r="B104" s="28"/>
      <c r="C104" s="28" t="s">
        <v>124</v>
      </c>
      <c r="D104" s="4" t="s">
        <v>139</v>
      </c>
      <c r="E104" s="32">
        <v>0</v>
      </c>
      <c r="F104" s="30">
        <v>0</v>
      </c>
      <c r="G104" s="152">
        <v>0</v>
      </c>
      <c r="H104" s="152">
        <v>0</v>
      </c>
      <c r="I104" s="115">
        <f t="shared" si="20"/>
        <v>0</v>
      </c>
      <c r="J104" s="30">
        <f t="shared" si="20"/>
        <v>0</v>
      </c>
      <c r="K104" s="115">
        <f t="shared" si="20"/>
        <v>0</v>
      </c>
      <c r="M104" s="20"/>
      <c r="S104" s="18"/>
    </row>
    <row r="105" spans="1:20" ht="7.5" hidden="1"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105287748.82000002</v>
      </c>
      <c r="F107" s="133">
        <f>+F12+F24+F30+F86+F101+F103+F19+F104</f>
        <v>0</v>
      </c>
      <c r="G107" s="133">
        <f>+G12+G24+G30+G86+G90+G101+G103+G19+G104</f>
        <v>465644.97</v>
      </c>
      <c r="H107" s="133">
        <f>+H12+H24+H30+H86+H90+H101+H103+H19+H104</f>
        <v>-22206.15</v>
      </c>
      <c r="I107" s="134">
        <f>+I12+I24+I30+I86+I90+I101+I103+I19+I104</f>
        <v>105731187.64</v>
      </c>
      <c r="J107" s="133">
        <f>+J12+J24+J30+J86+J90+J101+J103+J19+J104</f>
        <v>0</v>
      </c>
      <c r="K107" s="134">
        <f>+K12+K24+K30+K86+K90+K101+K103+K19+K104</f>
        <v>112945362.64</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Q2 2017'!$A$1:$I$252,9,FALSE)</f>
        <v>-1462538.8099999994</v>
      </c>
      <c r="F110" s="30">
        <v>0</v>
      </c>
      <c r="G110" s="33">
        <v>385374.86</v>
      </c>
      <c r="H110" s="33">
        <v>-16996.79</v>
      </c>
      <c r="I110" s="115">
        <f t="shared" ref="I110:I115" si="21">E110+F110+G110+H110</f>
        <v>-1094160.7399999993</v>
      </c>
      <c r="J110" s="30">
        <v>0</v>
      </c>
      <c r="K110" s="115">
        <f t="shared" ref="K110:K115" si="22">I110+J110</f>
        <v>-1094160.7399999993</v>
      </c>
      <c r="L110" s="210" t="s">
        <v>22</v>
      </c>
      <c r="M110" s="33"/>
      <c r="N110" s="42"/>
      <c r="O110" s="42"/>
      <c r="S110" s="18">
        <v>191400</v>
      </c>
      <c r="T110" s="58"/>
    </row>
    <row r="111" spans="1:20" x14ac:dyDescent="0.2">
      <c r="A111" s="100" t="s">
        <v>115</v>
      </c>
      <c r="B111" s="18"/>
      <c r="C111" s="28" t="s">
        <v>53</v>
      </c>
      <c r="D111" s="4" t="s">
        <v>115</v>
      </c>
      <c r="E111" s="32">
        <f>VLOOKUP(A111,'DEK Q2 2017'!$A$1:$I$252,9,FALSE)</f>
        <v>-498776.90999999992</v>
      </c>
      <c r="F111" s="30">
        <v>0</v>
      </c>
      <c r="G111" s="33">
        <v>10229.64</v>
      </c>
      <c r="H111" s="144">
        <v>0</v>
      </c>
      <c r="I111" s="115">
        <f t="shared" si="21"/>
        <v>-488547.2699999999</v>
      </c>
      <c r="J111" s="30">
        <v>0</v>
      </c>
      <c r="K111" s="115">
        <f t="shared" si="22"/>
        <v>-488547.2699999999</v>
      </c>
      <c r="L111" s="210" t="s">
        <v>22</v>
      </c>
      <c r="M111" s="30"/>
      <c r="N111" s="42"/>
      <c r="O111" s="42"/>
      <c r="S111" s="18">
        <v>191800</v>
      </c>
      <c r="T111" s="58"/>
    </row>
    <row r="112" spans="1:20" ht="12.75" customHeight="1" x14ac:dyDescent="0.2">
      <c r="A112" s="100" t="s">
        <v>117</v>
      </c>
      <c r="B112" s="18"/>
      <c r="C112" s="28" t="s">
        <v>77</v>
      </c>
      <c r="D112" s="4" t="s">
        <v>117</v>
      </c>
      <c r="E112" s="32">
        <f>VLOOKUP(A112,'DEK Q2 2017'!$A$1:$I$252,9,FALSE)</f>
        <v>-48581.649999999907</v>
      </c>
      <c r="F112" s="30">
        <v>0</v>
      </c>
      <c r="G112" s="30">
        <v>0</v>
      </c>
      <c r="H112" s="144">
        <v>0</v>
      </c>
      <c r="I112" s="115">
        <f t="shared" si="21"/>
        <v>-48581.649999999907</v>
      </c>
      <c r="J112" s="30">
        <v>0</v>
      </c>
      <c r="K112" s="115">
        <f t="shared" si="22"/>
        <v>-48581.649999999907</v>
      </c>
      <c r="L112" s="210" t="s">
        <v>22</v>
      </c>
      <c r="M112" s="20"/>
      <c r="N112" s="42"/>
      <c r="O112" s="42"/>
      <c r="S112" s="18">
        <v>242995</v>
      </c>
      <c r="T112" s="58"/>
    </row>
    <row r="113" spans="1:21" x14ac:dyDescent="0.2">
      <c r="A113" s="100" t="s">
        <v>119</v>
      </c>
      <c r="B113" s="18"/>
      <c r="C113" s="28" t="s">
        <v>118</v>
      </c>
      <c r="D113" s="4" t="s">
        <v>119</v>
      </c>
      <c r="E113" s="32">
        <f>VLOOKUP(A113,'DEK Q2 2017'!$A$1:$I$252,9,FALSE)</f>
        <v>-135934.57000000053</v>
      </c>
      <c r="F113" s="30">
        <v>0</v>
      </c>
      <c r="G113" s="30">
        <v>15598.45</v>
      </c>
      <c r="H113" s="144">
        <v>0</v>
      </c>
      <c r="I113" s="115">
        <f t="shared" si="21"/>
        <v>-120336.12000000053</v>
      </c>
      <c r="J113" s="30">
        <v>0</v>
      </c>
      <c r="K113" s="115">
        <f t="shared" si="22"/>
        <v>-120336.12000000053</v>
      </c>
      <c r="L113" s="210" t="s">
        <v>22</v>
      </c>
      <c r="M113" s="20"/>
      <c r="N113" s="42"/>
      <c r="O113" s="42"/>
      <c r="S113" s="18">
        <v>242997</v>
      </c>
      <c r="T113" s="58"/>
    </row>
    <row r="114" spans="1:21" x14ac:dyDescent="0.2">
      <c r="A114" s="100" t="s">
        <v>120</v>
      </c>
      <c r="B114" s="18"/>
      <c r="C114" s="28" t="s">
        <v>54</v>
      </c>
      <c r="D114" s="4" t="s">
        <v>120</v>
      </c>
      <c r="E114" s="32">
        <f>VLOOKUP(A114,'DEK Q2 2017'!$A$1:$I$252,9,FALSE)</f>
        <v>344564.26000000018</v>
      </c>
      <c r="F114" s="33">
        <v>0</v>
      </c>
      <c r="G114" s="33">
        <v>-52189.82</v>
      </c>
      <c r="H114" s="33">
        <v>5649.95</v>
      </c>
      <c r="I114" s="115">
        <f t="shared" si="21"/>
        <v>298024.39000000019</v>
      </c>
      <c r="J114" s="33">
        <v>0</v>
      </c>
      <c r="K114" s="115">
        <f t="shared" si="22"/>
        <v>298024.39000000019</v>
      </c>
      <c r="L114" s="210" t="s">
        <v>22</v>
      </c>
      <c r="M114" s="42"/>
      <c r="N114" s="42"/>
      <c r="O114" s="42"/>
      <c r="S114" s="18">
        <v>253130</v>
      </c>
      <c r="T114" s="58"/>
    </row>
    <row r="115" spans="1:21" x14ac:dyDescent="0.2">
      <c r="A115" s="100" t="s">
        <v>156</v>
      </c>
      <c r="B115" s="18"/>
      <c r="C115" s="28" t="s">
        <v>116</v>
      </c>
      <c r="D115" s="4" t="s">
        <v>211</v>
      </c>
      <c r="E115" s="32">
        <f>VLOOKUP(A115,'DEK Q2 2017'!$A$1:$I$252,9,FALSE)</f>
        <v>-1898066.5</v>
      </c>
      <c r="F115" s="33"/>
      <c r="G115" s="33">
        <v>668990.81999999995</v>
      </c>
      <c r="H115" s="33">
        <v>0</v>
      </c>
      <c r="I115" s="115">
        <f t="shared" si="21"/>
        <v>-1229075.6800000002</v>
      </c>
      <c r="J115" s="30">
        <v>0</v>
      </c>
      <c r="K115" s="115">
        <f t="shared" si="22"/>
        <v>-1229075.6800000002</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3">SUM(E110:E118)</f>
        <v>-3699334.1799999992</v>
      </c>
      <c r="F119" s="33">
        <f t="shared" si="23"/>
        <v>0</v>
      </c>
      <c r="G119" s="33">
        <f t="shared" si="23"/>
        <v>1028003.95</v>
      </c>
      <c r="H119" s="33">
        <f t="shared" si="23"/>
        <v>-11346.84</v>
      </c>
      <c r="I119" s="269">
        <f t="shared" si="23"/>
        <v>-2682677.0699999998</v>
      </c>
      <c r="J119" s="33">
        <f t="shared" si="23"/>
        <v>0</v>
      </c>
      <c r="K119" s="269">
        <f t="shared" si="23"/>
        <v>-2682677.0699999998</v>
      </c>
      <c r="L119" s="280" t="s">
        <v>263</v>
      </c>
      <c r="M119" s="42"/>
      <c r="N119" s="42"/>
      <c r="O119" s="42"/>
      <c r="S119" s="18"/>
      <c r="T119" s="58"/>
    </row>
    <row r="120" spans="1:21" hidden="1" x14ac:dyDescent="0.2">
      <c r="B120" s="21" t="s">
        <v>188</v>
      </c>
      <c r="C120" s="61"/>
      <c r="D120" s="34"/>
      <c r="E120" s="33"/>
      <c r="F120" s="33"/>
      <c r="G120" s="144"/>
      <c r="H120" s="144"/>
      <c r="I120" s="115"/>
      <c r="J120" s="33"/>
      <c r="K120" s="115"/>
      <c r="M120" s="42"/>
      <c r="N120" s="42"/>
      <c r="O120" s="42"/>
      <c r="S120" s="18"/>
      <c r="T120" s="58"/>
    </row>
    <row r="121" spans="1:21" hidden="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hidden="1" customHeight="1" x14ac:dyDescent="0.2">
      <c r="A122" s="100" t="s">
        <v>181</v>
      </c>
      <c r="B122" s="18"/>
      <c r="C122" s="28" t="s">
        <v>182</v>
      </c>
      <c r="D122" s="4" t="s">
        <v>213</v>
      </c>
      <c r="E122" s="32">
        <f>VLOOKUP(A122,'[23]DEK Jul 2013'!$A$1:$I$252,9,FALSE)</f>
        <v>0</v>
      </c>
      <c r="F122" s="33">
        <v>0</v>
      </c>
      <c r="G122" s="144">
        <v>0</v>
      </c>
      <c r="H122" s="144">
        <v>0</v>
      </c>
      <c r="I122" s="115">
        <f>E122+F122+G122+H122</f>
        <v>0</v>
      </c>
      <c r="J122" s="30">
        <v>0</v>
      </c>
      <c r="K122" s="115">
        <f>I122+J122</f>
        <v>0</v>
      </c>
      <c r="L122" s="4" t="s">
        <v>22</v>
      </c>
      <c r="M122" s="42"/>
      <c r="N122" s="42"/>
      <c r="O122" s="42"/>
      <c r="S122" s="18">
        <v>253130</v>
      </c>
      <c r="T122" s="58"/>
    </row>
    <row r="123" spans="1:21" hidden="1" x14ac:dyDescent="0.2">
      <c r="B123" s="18"/>
      <c r="C123" s="28"/>
      <c r="E123" s="33"/>
      <c r="F123" s="36"/>
      <c r="G123" s="150"/>
      <c r="H123" s="150"/>
      <c r="I123" s="116"/>
      <c r="J123" s="36"/>
      <c r="K123" s="116"/>
      <c r="M123" s="42"/>
      <c r="N123" s="42"/>
      <c r="O123" s="42"/>
      <c r="S123" s="18"/>
      <c r="T123" s="58"/>
    </row>
    <row r="124" spans="1:21" hidden="1" x14ac:dyDescent="0.2">
      <c r="B124" s="18"/>
      <c r="C124" s="28"/>
      <c r="E124" s="33">
        <f>SUM(E121:E122)</f>
        <v>0</v>
      </c>
      <c r="F124" s="33">
        <f t="shared" ref="F124:L124" si="24">SUM(F121:F122)</f>
        <v>0</v>
      </c>
      <c r="G124" s="144">
        <f t="shared" si="24"/>
        <v>0</v>
      </c>
      <c r="H124" s="144">
        <f t="shared" si="24"/>
        <v>0</v>
      </c>
      <c r="I124" s="128">
        <f>SUM(I121:I122)</f>
        <v>0</v>
      </c>
      <c r="J124" s="33">
        <f t="shared" si="24"/>
        <v>0</v>
      </c>
      <c r="K124" s="128">
        <f t="shared" si="24"/>
        <v>0</v>
      </c>
      <c r="L124" s="33">
        <f t="shared" si="24"/>
        <v>0</v>
      </c>
      <c r="M124" s="42"/>
      <c r="N124" s="42"/>
      <c r="O124" s="42"/>
      <c r="S124" s="18"/>
      <c r="T124" s="58"/>
    </row>
    <row r="125" spans="1:21" hidden="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Q2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Q2 2017'!$A$1:$I$252,9,FALSE)</f>
        <v>-5245361.7300000004</v>
      </c>
      <c r="F128" s="36">
        <v>0</v>
      </c>
      <c r="G128" s="36">
        <v>50719</v>
      </c>
      <c r="H128" s="36">
        <v>0</v>
      </c>
      <c r="I128" s="267">
        <f>E128+G128+H128+F128</f>
        <v>-5194642.7300000004</v>
      </c>
      <c r="J128" s="266">
        <v>0</v>
      </c>
      <c r="K128" s="267">
        <f>I128+J128</f>
        <v>-5194642.7300000004</v>
      </c>
      <c r="L128" s="210" t="s">
        <v>22</v>
      </c>
      <c r="M128" s="67"/>
      <c r="P128" s="51"/>
      <c r="Q128" s="18"/>
      <c r="R128" s="58"/>
      <c r="S128" s="18"/>
    </row>
    <row r="129" spans="1:23" ht="15" x14ac:dyDescent="0.25">
      <c r="B129" s="18"/>
      <c r="C129" s="28"/>
      <c r="D129" s="65"/>
      <c r="E129" s="234">
        <f>SUM(E127:E128)</f>
        <v>-5245361.7300000004</v>
      </c>
      <c r="F129" s="30"/>
      <c r="G129" s="33">
        <f>SUM(G127:G128)</f>
        <v>50719</v>
      </c>
      <c r="H129" s="33">
        <f>SUM(H127:H128)</f>
        <v>0</v>
      </c>
      <c r="I129" s="271">
        <f>SUM(I127:I128)</f>
        <v>-5194642.7300000004</v>
      </c>
      <c r="J129" s="1"/>
      <c r="K129" s="271">
        <f>SUM(K127:K128)</f>
        <v>-5194642.7300000004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Q2 2017'!$A$1:$I$252,9,FALSE)</f>
        <v>0</v>
      </c>
      <c r="F131" s="30">
        <v>0</v>
      </c>
      <c r="G131" s="33">
        <v>0</v>
      </c>
      <c r="H131" s="33">
        <v>0</v>
      </c>
      <c r="I131" s="115">
        <f>E131+F131+G131+H131</f>
        <v>0</v>
      </c>
      <c r="J131" s="30">
        <v>0</v>
      </c>
      <c r="K131" s="115">
        <f t="shared" ref="K131:K133" si="25">I131+J131</f>
        <v>0</v>
      </c>
      <c r="M131" s="62"/>
      <c r="P131" s="51"/>
      <c r="Q131" s="18"/>
      <c r="R131" s="58"/>
      <c r="S131" s="18">
        <v>254998</v>
      </c>
    </row>
    <row r="132" spans="1:23" x14ac:dyDescent="0.2">
      <c r="A132" s="100" t="s">
        <v>179</v>
      </c>
      <c r="B132" s="18"/>
      <c r="C132" s="28" t="s">
        <v>47</v>
      </c>
      <c r="D132" s="4" t="s">
        <v>196</v>
      </c>
      <c r="E132" s="32">
        <f>VLOOKUP(A132,'DEK Q2 2017'!$A$1:$I$252,9,FALSE)</f>
        <v>0</v>
      </c>
      <c r="F132" s="30">
        <v>0</v>
      </c>
      <c r="G132" s="152">
        <v>0</v>
      </c>
      <c r="H132" s="33">
        <v>0</v>
      </c>
      <c r="I132" s="115">
        <f>E132+F132+G132+H132</f>
        <v>0</v>
      </c>
      <c r="J132" s="30">
        <v>0</v>
      </c>
      <c r="K132" s="115">
        <f t="shared" si="25"/>
        <v>0</v>
      </c>
      <c r="M132" s="62"/>
      <c r="P132" s="51"/>
      <c r="Q132" s="18"/>
      <c r="R132" s="58"/>
      <c r="S132" s="18">
        <v>254998</v>
      </c>
      <c r="W132" s="47"/>
    </row>
    <row r="133" spans="1:23" x14ac:dyDescent="0.2">
      <c r="A133" s="100" t="s">
        <v>164</v>
      </c>
      <c r="B133" s="18"/>
      <c r="C133" s="28" t="s">
        <v>75</v>
      </c>
      <c r="D133" s="4" t="s">
        <v>215</v>
      </c>
      <c r="E133" s="32">
        <f>VLOOKUP(A133,'DEK Q2 2017'!$A$1:$I$252,9,FALSE)</f>
        <v>-14466.030000000004</v>
      </c>
      <c r="F133" s="30">
        <v>0</v>
      </c>
      <c r="G133" s="33">
        <v>43.52</v>
      </c>
      <c r="H133" s="33">
        <v>0</v>
      </c>
      <c r="I133" s="117">
        <f>E133+F133+G133+H133</f>
        <v>-14422.510000000004</v>
      </c>
      <c r="J133" s="30">
        <v>0</v>
      </c>
      <c r="K133" s="117">
        <f t="shared" si="25"/>
        <v>-14422.510000000004</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6">SUM(E131:E134)</f>
        <v>-14466.030000000004</v>
      </c>
      <c r="F135" s="30">
        <f t="shared" ref="F135:K135" si="27">SUM(F131:F134)</f>
        <v>0</v>
      </c>
      <c r="G135" s="30">
        <f t="shared" si="27"/>
        <v>43.52</v>
      </c>
      <c r="H135" s="30">
        <f t="shared" si="27"/>
        <v>0</v>
      </c>
      <c r="I135" s="270">
        <f t="shared" si="27"/>
        <v>-14422.510000000004</v>
      </c>
      <c r="J135" s="30">
        <f t="shared" si="27"/>
        <v>0</v>
      </c>
      <c r="K135" s="270">
        <f t="shared" si="27"/>
        <v>-14422.510000000004</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Q2 2017'!$A$1:$I$252,9,FALSE)</f>
        <v>-18538775.080000006</v>
      </c>
      <c r="F137" s="30">
        <v>0</v>
      </c>
      <c r="G137" s="30">
        <v>-64573.79</v>
      </c>
      <c r="H137" s="30">
        <v>0</v>
      </c>
      <c r="I137" s="115">
        <f>E137+F137+G137+H137</f>
        <v>-18603348.870000005</v>
      </c>
      <c r="J137" s="30">
        <v>0</v>
      </c>
      <c r="K137" s="115">
        <f t="shared" ref="K137:K143" si="28">I137+J137</f>
        <v>-18603348.870000005</v>
      </c>
      <c r="L137" s="210" t="s">
        <v>241</v>
      </c>
      <c r="M137" s="20"/>
      <c r="N137" s="42"/>
      <c r="O137" s="42"/>
      <c r="Q137" s="288">
        <v>75086</v>
      </c>
      <c r="R137" s="58" t="s">
        <v>44</v>
      </c>
      <c r="S137" s="18">
        <v>108201</v>
      </c>
      <c r="T137" s="58"/>
    </row>
    <row r="138" spans="1:23" x14ac:dyDescent="0.2">
      <c r="A138" s="100" t="s">
        <v>166</v>
      </c>
      <c r="B138" s="18"/>
      <c r="C138" s="28" t="s">
        <v>45</v>
      </c>
      <c r="D138" s="4" t="s">
        <v>295</v>
      </c>
      <c r="E138" s="32">
        <f>VLOOKUP(A138,'DEK Q2 2017'!$A$1:$I$252,9,FALSE)</f>
        <v>-48553496.240000002</v>
      </c>
      <c r="F138" s="30">
        <v>0</v>
      </c>
      <c r="G138" s="30">
        <f>-198731.7+100197.03+87137.17-4895.76-183280.52+1753.55+482997.03</f>
        <v>285176.80000000005</v>
      </c>
      <c r="H138" s="30">
        <v>0</v>
      </c>
      <c r="I138" s="115">
        <f t="shared" ref="I138:I143" si="29">E138+F138+G138+H138</f>
        <v>-48268319.440000005</v>
      </c>
      <c r="J138" s="30">
        <v>0</v>
      </c>
      <c r="K138" s="115">
        <f t="shared" si="28"/>
        <v>-48268319.440000005</v>
      </c>
      <c r="L138" s="210" t="s">
        <v>242</v>
      </c>
      <c r="M138" s="20"/>
      <c r="N138" s="42"/>
      <c r="O138" s="42"/>
      <c r="R138" s="58" t="s">
        <v>44</v>
      </c>
      <c r="S138" s="18">
        <v>108301</v>
      </c>
      <c r="T138" s="58"/>
    </row>
    <row r="139" spans="1:23" x14ac:dyDescent="0.2">
      <c r="A139" s="100" t="s">
        <v>167</v>
      </c>
      <c r="B139" s="18"/>
      <c r="C139" s="28" t="s">
        <v>46</v>
      </c>
      <c r="D139" s="4" t="s">
        <v>199</v>
      </c>
      <c r="E139" s="32">
        <f>VLOOKUP(A139,'DEK Q2 2017'!$A$1:$I$252,9,FALSE)</f>
        <v>11334837.289999997</v>
      </c>
      <c r="F139" s="30">
        <v>0</v>
      </c>
      <c r="G139" s="30">
        <v>-32076.34</v>
      </c>
      <c r="H139" s="30">
        <v>0</v>
      </c>
      <c r="I139" s="115">
        <f t="shared" si="29"/>
        <v>11302760.949999997</v>
      </c>
      <c r="J139" s="30">
        <v>0</v>
      </c>
      <c r="K139" s="115">
        <f>I139+J139</f>
        <v>11302760.949999997</v>
      </c>
      <c r="L139" s="210" t="s">
        <v>242</v>
      </c>
      <c r="M139" s="20"/>
      <c r="N139" s="42"/>
      <c r="O139" s="42"/>
      <c r="S139" s="18">
        <v>108410</v>
      </c>
      <c r="T139" s="58"/>
    </row>
    <row r="140" spans="1:23" x14ac:dyDescent="0.2">
      <c r="A140" s="100" t="s">
        <v>168</v>
      </c>
      <c r="B140" s="18"/>
      <c r="C140" s="28" t="s">
        <v>74</v>
      </c>
      <c r="D140" s="4" t="s">
        <v>217</v>
      </c>
      <c r="E140" s="32">
        <f>VLOOKUP(A140,'DEK Q2 2017'!$A$1:$I$252,9,FALSE)</f>
        <v>2491870.3099999996</v>
      </c>
      <c r="F140" s="30">
        <v>0</v>
      </c>
      <c r="G140" s="30">
        <v>21863.16</v>
      </c>
      <c r="H140" s="30">
        <v>0</v>
      </c>
      <c r="I140" s="115">
        <f t="shared" si="29"/>
        <v>2513733.4699999997</v>
      </c>
      <c r="J140" s="30">
        <v>0</v>
      </c>
      <c r="K140" s="115">
        <f>I140+J140</f>
        <v>2513733.4699999997</v>
      </c>
      <c r="M140" s="20"/>
      <c r="N140" s="42"/>
      <c r="O140" s="42"/>
      <c r="Q140" s="4" t="s">
        <v>50</v>
      </c>
      <c r="R140" s="4" t="s">
        <v>51</v>
      </c>
      <c r="S140" s="18">
        <v>182303</v>
      </c>
      <c r="T140" s="58"/>
    </row>
    <row r="141" spans="1:23" x14ac:dyDescent="0.2">
      <c r="A141" s="100" t="s">
        <v>169</v>
      </c>
      <c r="B141" s="18"/>
      <c r="C141" s="28" t="s">
        <v>49</v>
      </c>
      <c r="D141" s="4" t="s">
        <v>218</v>
      </c>
      <c r="E141" s="32">
        <f>VLOOKUP(A141,'DEK Q2 2017'!$A$1:$I$252,9,FALSE)</f>
        <v>4799531.9400000032</v>
      </c>
      <c r="F141" s="30">
        <v>0</v>
      </c>
      <c r="G141" s="30">
        <v>29519.5</v>
      </c>
      <c r="H141" s="30">
        <v>0</v>
      </c>
      <c r="I141" s="115">
        <f t="shared" si="29"/>
        <v>4829051.4400000032</v>
      </c>
      <c r="J141" s="30">
        <v>0</v>
      </c>
      <c r="K141" s="115">
        <f t="shared" si="28"/>
        <v>4829051.4400000032</v>
      </c>
      <c r="M141" s="20"/>
      <c r="N141" s="42"/>
      <c r="O141" s="42"/>
      <c r="Q141" s="4" t="s">
        <v>50</v>
      </c>
      <c r="S141" s="18">
        <v>182304</v>
      </c>
      <c r="T141" s="58"/>
    </row>
    <row r="142" spans="1:23" x14ac:dyDescent="0.2">
      <c r="A142" s="100" t="s">
        <v>170</v>
      </c>
      <c r="B142" s="18"/>
      <c r="C142" s="28" t="s">
        <v>42</v>
      </c>
      <c r="D142" s="4" t="s">
        <v>200</v>
      </c>
      <c r="E142" s="32">
        <f>VLOOKUP(A142,'DEK Q2 2017'!$A$1:$I$252,9,FALSE)</f>
        <v>-257612.97000000003</v>
      </c>
      <c r="F142" s="30">
        <v>0</v>
      </c>
      <c r="G142" s="30">
        <v>-6112.76</v>
      </c>
      <c r="H142" s="30">
        <v>0</v>
      </c>
      <c r="I142" s="115">
        <f t="shared" si="29"/>
        <v>-263725.73000000004</v>
      </c>
      <c r="J142" s="30">
        <v>0</v>
      </c>
      <c r="K142" s="115">
        <f t="shared" si="28"/>
        <v>-263725.73000000004</v>
      </c>
      <c r="L142" s="210" t="s">
        <v>241</v>
      </c>
      <c r="M142" s="20"/>
      <c r="N142" s="42"/>
      <c r="O142" s="42"/>
      <c r="R142" s="58" t="s">
        <v>44</v>
      </c>
      <c r="S142" s="18">
        <v>108101</v>
      </c>
      <c r="T142" s="58"/>
    </row>
    <row r="143" spans="1:23" x14ac:dyDescent="0.2">
      <c r="A143" s="100" t="s">
        <v>272</v>
      </c>
      <c r="B143" s="18"/>
      <c r="C143" s="28" t="s">
        <v>271</v>
      </c>
      <c r="D143" s="4" t="s">
        <v>272</v>
      </c>
      <c r="E143" s="32">
        <f>VLOOKUP(A143,'DEK Q2 2017'!$A$1:$I$252,9,FALSE)</f>
        <v>751.54</v>
      </c>
      <c r="F143" s="30">
        <v>0</v>
      </c>
      <c r="G143" s="30">
        <v>0</v>
      </c>
      <c r="H143" s="30">
        <v>0</v>
      </c>
      <c r="I143" s="115">
        <f t="shared" si="29"/>
        <v>751.54</v>
      </c>
      <c r="J143" s="30">
        <v>0</v>
      </c>
      <c r="K143" s="115">
        <f t="shared" si="28"/>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0">SUM(E137:E144)</f>
        <v>-48722893.210000001</v>
      </c>
      <c r="F145" s="33">
        <f t="shared" si="30"/>
        <v>0</v>
      </c>
      <c r="G145" s="33">
        <f t="shared" si="30"/>
        <v>233796.57000000004</v>
      </c>
      <c r="H145" s="33">
        <f t="shared" si="30"/>
        <v>0</v>
      </c>
      <c r="I145" s="269">
        <f t="shared" si="30"/>
        <v>-48489096.640000008</v>
      </c>
      <c r="J145" s="33">
        <f t="shared" si="30"/>
        <v>0</v>
      </c>
      <c r="K145" s="269">
        <f t="shared" si="30"/>
        <v>-48489096.640000008</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-57682055.149999999</v>
      </c>
      <c r="F147" s="133">
        <f t="shared" ref="F147" si="31">+F119+F127+F135+F145+F124</f>
        <v>0</v>
      </c>
      <c r="G147" s="133">
        <f>+G119+G129+G135+G145+G124</f>
        <v>1312563.04</v>
      </c>
      <c r="H147" s="133">
        <f>+H119+H129+H135+H145+H124</f>
        <v>-11346.84</v>
      </c>
      <c r="I147" s="134">
        <f>+I119+I129+I135+I145+I124</f>
        <v>-56380838.95000001</v>
      </c>
      <c r="J147" s="133">
        <f>+J119+J127+J135+J145+J124</f>
        <v>0</v>
      </c>
      <c r="K147" s="134">
        <f>+K119+K129+K135+K145+K124</f>
        <v>-56380838.95000001</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47605693.670000024</v>
      </c>
      <c r="F149" s="137">
        <f>F147+F107</f>
        <v>0</v>
      </c>
      <c r="G149" s="137">
        <f>G147+G107</f>
        <v>1778208.01</v>
      </c>
      <c r="H149" s="137">
        <f>H147+H107</f>
        <v>-33552.990000000005</v>
      </c>
      <c r="I149" s="138">
        <f>I107+I147</f>
        <v>49350348.68999999</v>
      </c>
      <c r="J149" s="137">
        <f>J147+J107</f>
        <v>0</v>
      </c>
      <c r="K149" s="138">
        <f>K107+K147</f>
        <v>56564523.68999999</v>
      </c>
      <c r="L149" s="50">
        <v>0</v>
      </c>
      <c r="M149" s="70"/>
      <c r="N149" s="70"/>
      <c r="O149" s="70"/>
      <c r="P149" s="50"/>
      <c r="Q149" s="50"/>
      <c r="R149" s="50"/>
      <c r="S149" s="18"/>
      <c r="T149" s="29">
        <f>+G149+H149+F149</f>
        <v>1744655.02</v>
      </c>
      <c r="U149" s="19">
        <v>13111056.41</v>
      </c>
      <c r="V149" s="29">
        <f>+T149-U149</f>
        <v>-11366401.390000001</v>
      </c>
    </row>
    <row r="150" spans="1:22" hidden="1"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G149+H149-G71</f>
        <v>1744655.02</v>
      </c>
      <c r="H152" s="145"/>
      <c r="I152" s="145">
        <f>I149-G153</f>
        <v>49350348.68999999</v>
      </c>
      <c r="J152" s="50"/>
      <c r="K152" s="50"/>
      <c r="M152" s="20"/>
      <c r="S152" s="18"/>
    </row>
    <row r="153" spans="1:22" ht="12.75" customHeight="1" x14ac:dyDescent="0.2">
      <c r="A153" s="107" t="s">
        <v>58</v>
      </c>
      <c r="B153" s="18"/>
      <c r="C153" s="71"/>
      <c r="D153" s="168" t="s">
        <v>296</v>
      </c>
      <c r="E153" s="73"/>
      <c r="F153" s="50"/>
      <c r="G153" s="152">
        <f>G71</f>
        <v>0</v>
      </c>
      <c r="H153" s="50"/>
      <c r="I153" s="50"/>
      <c r="J153" s="50"/>
      <c r="K153" s="30"/>
      <c r="M153" s="20"/>
      <c r="S153" s="71"/>
    </row>
    <row r="154" spans="1:22" ht="12.75" customHeight="1" x14ac:dyDescent="0.2">
      <c r="A154" s="107"/>
      <c r="B154" s="18"/>
      <c r="C154" s="18"/>
      <c r="D154" s="72"/>
      <c r="E154" s="83"/>
      <c r="F154" s="50"/>
      <c r="G154" s="145">
        <f>SUM(G152:G153)</f>
        <v>1744655.02</v>
      </c>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2">+F105+F106</f>
        <v>0</v>
      </c>
      <c r="G178" s="165"/>
      <c r="H178" s="83"/>
      <c r="I178" s="84">
        <f>+I19</f>
        <v>1705885.81</v>
      </c>
      <c r="J178" s="84">
        <f>+J19</f>
        <v>2752358.04</v>
      </c>
      <c r="K178" s="84">
        <f>+K19</f>
        <v>4458243.8499999996</v>
      </c>
      <c r="M178" s="20"/>
      <c r="S178" s="18"/>
    </row>
    <row r="179" spans="1:19" hidden="1" x14ac:dyDescent="0.2">
      <c r="A179" s="109" t="s">
        <v>141</v>
      </c>
      <c r="B179" s="18"/>
      <c r="C179" s="18"/>
      <c r="D179" s="82" t="s">
        <v>141</v>
      </c>
      <c r="E179" s="83">
        <f>+E24</f>
        <v>1321668.7700000012</v>
      </c>
      <c r="F179" s="32">
        <f t="shared" si="32"/>
        <v>0</v>
      </c>
      <c r="G179" s="165"/>
      <c r="H179" s="83"/>
      <c r="I179" s="84">
        <f>+I24</f>
        <v>1299462.6200000013</v>
      </c>
      <c r="J179" s="84">
        <f>+J24</f>
        <v>-266474.03999999998</v>
      </c>
      <c r="K179" s="84">
        <f>+K24</f>
        <v>1032988.5800000012</v>
      </c>
      <c r="M179" s="20"/>
      <c r="S179" s="18"/>
    </row>
    <row r="180" spans="1:19" hidden="1" x14ac:dyDescent="0.2">
      <c r="A180" s="109" t="s">
        <v>61</v>
      </c>
      <c r="B180" s="18"/>
      <c r="C180" s="18"/>
      <c r="D180" s="82" t="s">
        <v>61</v>
      </c>
      <c r="E180" s="32">
        <f>+E30</f>
        <v>1873083.2000000002</v>
      </c>
      <c r="F180" s="32">
        <f t="shared" si="32"/>
        <v>0</v>
      </c>
      <c r="G180" s="157"/>
      <c r="H180" s="32"/>
      <c r="I180" s="84">
        <f>+I30</f>
        <v>1873083.2000000002</v>
      </c>
      <c r="J180" s="84">
        <f>+J30</f>
        <v>0</v>
      </c>
      <c r="K180" s="84">
        <f>+K30</f>
        <v>1873083.2000000002</v>
      </c>
      <c r="M180" s="20"/>
      <c r="S180" s="18"/>
    </row>
    <row r="181" spans="1:19" hidden="1" x14ac:dyDescent="0.2">
      <c r="A181" s="109" t="s">
        <v>143</v>
      </c>
      <c r="B181" s="18"/>
      <c r="C181" s="18"/>
      <c r="D181" s="82" t="s">
        <v>143</v>
      </c>
      <c r="E181" s="32">
        <f>+E86</f>
        <v>56313834.980000012</v>
      </c>
      <c r="F181" s="32">
        <f t="shared" si="32"/>
        <v>0</v>
      </c>
      <c r="G181" s="157"/>
      <c r="H181" s="32"/>
      <c r="I181" s="84">
        <f>+I86</f>
        <v>56636159.579999998</v>
      </c>
      <c r="J181" s="84">
        <f>+J86</f>
        <v>-2485884</v>
      </c>
      <c r="K181" s="84">
        <f>+K86</f>
        <v>61364450.579999998</v>
      </c>
      <c r="M181" s="20"/>
      <c r="S181" s="18"/>
    </row>
    <row r="182" spans="1:19" hidden="1" x14ac:dyDescent="0.2">
      <c r="A182" s="109" t="s">
        <v>151</v>
      </c>
      <c r="B182" s="18"/>
      <c r="C182" s="18"/>
      <c r="D182" s="82" t="s">
        <v>151</v>
      </c>
      <c r="E182" s="32">
        <f>+E101</f>
        <v>30568507.040000003</v>
      </c>
      <c r="F182" s="32">
        <f t="shared" si="32"/>
        <v>0</v>
      </c>
      <c r="G182" s="157"/>
      <c r="H182" s="32"/>
      <c r="I182" s="84">
        <f>+I101</f>
        <v>30393298.040000003</v>
      </c>
      <c r="J182" s="84">
        <f>+J101</f>
        <v>0</v>
      </c>
      <c r="K182" s="84">
        <f>+K101</f>
        <v>30393298.040000003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-3699334.1799999992</v>
      </c>
      <c r="F184" s="32" t="e">
        <f>+F111+#REF!</f>
        <v>#REF!</v>
      </c>
      <c r="G184" s="157"/>
      <c r="H184" s="32"/>
      <c r="I184" s="84">
        <f>+I119</f>
        <v>-2682677.0699999998</v>
      </c>
      <c r="J184" s="84">
        <f>+J119</f>
        <v>0</v>
      </c>
      <c r="K184" s="84">
        <f>+K119</f>
        <v>-2682677.0699999998</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-14466.030000000004</v>
      </c>
      <c r="F187" s="32" t="e">
        <f>+#REF!+F112</f>
        <v>#REF!</v>
      </c>
      <c r="G187" s="157"/>
      <c r="H187" s="32"/>
      <c r="I187" s="84">
        <f>+I135</f>
        <v>-14422.510000000004</v>
      </c>
      <c r="J187" s="84">
        <f>+J135</f>
        <v>0</v>
      </c>
      <c r="K187" s="84">
        <f>+K135</f>
        <v>-14422.510000000004</v>
      </c>
      <c r="M187" s="20"/>
      <c r="S187" s="18"/>
    </row>
    <row r="188" spans="1:19" hidden="1" x14ac:dyDescent="0.2">
      <c r="A188" s="109" t="s">
        <v>155</v>
      </c>
      <c r="B188" s="18"/>
      <c r="C188" s="18"/>
      <c r="D188" s="82" t="s">
        <v>155</v>
      </c>
      <c r="E188" s="32">
        <f>+E145</f>
        <v>-48722893.210000001</v>
      </c>
      <c r="F188" s="32">
        <f t="shared" ref="F188" si="33">+F112+F113</f>
        <v>0</v>
      </c>
      <c r="G188" s="157"/>
      <c r="H188" s="32"/>
      <c r="I188" s="84">
        <f>+I145</f>
        <v>-48489096.640000008</v>
      </c>
      <c r="J188" s="84">
        <f>+J145</f>
        <v>0</v>
      </c>
      <c r="K188" s="84">
        <f>+K145</f>
        <v>-48489096.640000008</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39346286.380000018</v>
      </c>
      <c r="F190" s="88" t="e">
        <f>SUM(F180:F189)</f>
        <v>#REF!</v>
      </c>
      <c r="G190" s="166"/>
      <c r="H190" s="88"/>
      <c r="I190" s="89">
        <f>SUM(I176:I189)</f>
        <v>40721693.029999994</v>
      </c>
      <c r="J190" s="89">
        <f>SUM(J176:J189)</f>
        <v>0</v>
      </c>
      <c r="K190" s="89">
        <f>SUM(K176:K189)</f>
        <v>47935868.029999994</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-8259407.2900000066</v>
      </c>
      <c r="F192" s="19"/>
      <c r="G192" s="148"/>
      <c r="H192" s="19"/>
      <c r="I192" s="19">
        <f>+I190-I149</f>
        <v>-8628655.6599999964</v>
      </c>
      <c r="J192" s="19">
        <f>+J190-J149</f>
        <v>0</v>
      </c>
      <c r="K192" s="19">
        <f>+K190-K149</f>
        <v>-8628655.6599999964</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+G34+G42+G44+G46+G48+G93+G57+G59+G15+G50+G66+G55+G65</f>
        <v>-5273</v>
      </c>
      <c r="H196" s="19">
        <f>+H34+H52+H42+H44+H46+H48+H93+H57+H59+H15+H50+H66+H55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1028003.95</v>
      </c>
      <c r="H198" s="19">
        <f>+H111+H112+H113+H114+H110</f>
        <v>-11346.84</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1022730.95</v>
      </c>
      <c r="H200" s="110">
        <f>+H196+H197+H198-H153</f>
        <v>-11346.84</v>
      </c>
      <c r="I200" s="19"/>
      <c r="J200" s="19"/>
      <c r="K200" s="19"/>
      <c r="M200" s="20"/>
      <c r="S200" s="18"/>
    </row>
    <row r="201" spans="1:19" hidden="1" x14ac:dyDescent="0.2">
      <c r="B201" s="18"/>
      <c r="C201" s="18"/>
      <c r="F201" s="19"/>
      <c r="H201" s="29">
        <f>+H197+H198+H196+G196+G197+G198</f>
        <v>1011384.11</v>
      </c>
      <c r="I201" s="19"/>
      <c r="J201" s="19"/>
      <c r="K201" s="19"/>
      <c r="M201" s="20"/>
      <c r="S201" s="18"/>
    </row>
    <row r="202" spans="1:19" hidden="1" x14ac:dyDescent="0.2">
      <c r="B202" s="18"/>
      <c r="C202" s="18"/>
      <c r="F202" s="19"/>
      <c r="G202" s="148"/>
      <c r="H202" s="29">
        <f>+H201-G153-H153</f>
        <v>1011384.11</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32"/>
  <sheetViews>
    <sheetView topLeftCell="A90"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1" t="s">
        <v>66</v>
      </c>
    </row>
    <row r="4" spans="1:22" x14ac:dyDescent="0.2">
      <c r="A4" s="99"/>
      <c r="B4" s="7"/>
      <c r="C4" s="3"/>
      <c r="D4" s="3"/>
      <c r="E4" s="212"/>
      <c r="F4" s="8"/>
      <c r="G4" s="215"/>
      <c r="H4" s="216"/>
      <c r="I4" s="202"/>
      <c r="J4" s="202"/>
      <c r="K4" s="202"/>
      <c r="M4" s="10"/>
      <c r="P4" s="291" t="s">
        <v>1</v>
      </c>
    </row>
    <row r="5" spans="1:22" x14ac:dyDescent="0.2">
      <c r="E5" s="217" t="s">
        <v>208</v>
      </c>
      <c r="F5" s="291" t="s">
        <v>3</v>
      </c>
      <c r="G5" s="291" t="s">
        <v>4</v>
      </c>
      <c r="H5" s="291"/>
      <c r="I5" s="204" t="s">
        <v>208</v>
      </c>
      <c r="J5" s="261" t="s">
        <v>180</v>
      </c>
      <c r="K5" s="204" t="s">
        <v>209</v>
      </c>
      <c r="L5" s="291" t="s">
        <v>5</v>
      </c>
      <c r="M5" s="11" t="s">
        <v>6</v>
      </c>
      <c r="N5" s="11" t="s">
        <v>0</v>
      </c>
      <c r="O5" s="11" t="s">
        <v>8</v>
      </c>
      <c r="P5" s="291" t="s">
        <v>9</v>
      </c>
      <c r="Q5" s="576" t="s">
        <v>10</v>
      </c>
      <c r="R5" s="576"/>
      <c r="U5" s="12" t="s">
        <v>11</v>
      </c>
    </row>
    <row r="6" spans="1:22" x14ac:dyDescent="0.2">
      <c r="E6" s="293">
        <v>42947</v>
      </c>
      <c r="F6" s="13" t="s">
        <v>12</v>
      </c>
      <c r="G6" s="14" t="s">
        <v>13</v>
      </c>
      <c r="H6" s="14" t="s">
        <v>8</v>
      </c>
      <c r="I6" s="205">
        <v>42978</v>
      </c>
      <c r="J6" s="261" t="s">
        <v>210</v>
      </c>
      <c r="K6" s="205">
        <f>I6</f>
        <v>42978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Jul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Jul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Jul 2017'!$A$1:$I$251,9,FALSE)</f>
        <v>357622.81000000006</v>
      </c>
      <c r="F15" s="30">
        <v>0</v>
      </c>
      <c r="G15" s="33">
        <v>0</v>
      </c>
      <c r="H15" s="30">
        <v>0</v>
      </c>
      <c r="I15" s="115">
        <f>E15+F15+G15+H15</f>
        <v>357622.81000000006</v>
      </c>
      <c r="J15" s="30">
        <v>0</v>
      </c>
      <c r="K15" s="115">
        <f>I15+J15</f>
        <v>357622.81000000006</v>
      </c>
      <c r="L15" s="210" t="s">
        <v>22</v>
      </c>
      <c r="M15" s="20"/>
      <c r="S15" s="18"/>
    </row>
    <row r="16" spans="1:22" x14ac:dyDescent="0.2">
      <c r="A16" s="100" t="s">
        <v>157</v>
      </c>
      <c r="B16" s="28"/>
      <c r="C16" s="28" t="s">
        <v>37</v>
      </c>
      <c r="D16" s="4" t="s">
        <v>192</v>
      </c>
      <c r="E16" s="32">
        <f>VLOOKUP(A16,'DEK Jul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Jul 2017'!$A$1:$I$251,9,FALSE)</f>
        <v>0</v>
      </c>
      <c r="F17" s="30">
        <v>0</v>
      </c>
      <c r="G17" s="33">
        <v>0</v>
      </c>
      <c r="H17" s="33">
        <v>0</v>
      </c>
      <c r="I17" s="115">
        <f>E17+F17+G17+H17</f>
        <v>0</v>
      </c>
      <c r="J17" s="268">
        <v>2752358.04</v>
      </c>
      <c r="K17" s="115">
        <f t="shared" ref="K17" si="1">I17+J17</f>
        <v>2752358.04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0</v>
      </c>
      <c r="H19" s="29">
        <f t="shared" si="2"/>
        <v>0</v>
      </c>
      <c r="I19" s="269">
        <f t="shared" si="2"/>
        <v>1705885.81</v>
      </c>
      <c r="J19" s="49">
        <f t="shared" si="2"/>
        <v>2752358.04</v>
      </c>
      <c r="K19" s="269">
        <f>SUM(K15:K18)</f>
        <v>4458243.8499999996</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Jul 2017'!$A$1:$I$251,9,FALSE)</f>
        <v>1299462.6200000013</v>
      </c>
      <c r="F22" s="33">
        <v>0</v>
      </c>
      <c r="G22" s="33">
        <v>0</v>
      </c>
      <c r="H22" s="33">
        <v>-22206.15</v>
      </c>
      <c r="I22" s="115">
        <f>E22+F22+G22+H22</f>
        <v>1277256.4700000014</v>
      </c>
      <c r="J22" s="30">
        <v>-266474.03999999998</v>
      </c>
      <c r="K22" s="115">
        <f>I22+J22</f>
        <v>1010782.4300000013</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1299462.6200000013</v>
      </c>
      <c r="F24" s="29">
        <f t="shared" ref="F24:K24" si="3">SUM(F22:F23)</f>
        <v>0</v>
      </c>
      <c r="G24" s="29">
        <f t="shared" si="3"/>
        <v>0</v>
      </c>
      <c r="H24" s="29">
        <f t="shared" si="3"/>
        <v>-22206.15</v>
      </c>
      <c r="I24" s="269">
        <f t="shared" si="3"/>
        <v>1277256.4700000014</v>
      </c>
      <c r="J24" s="49">
        <f t="shared" si="3"/>
        <v>-266474.03999999998</v>
      </c>
      <c r="K24" s="269">
        <f t="shared" si="3"/>
        <v>1010782.4300000013</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Jul 2017'!$A$1:$I$251,9,FALSE)</f>
        <v>2284958</v>
      </c>
      <c r="F27" s="33">
        <v>0</v>
      </c>
      <c r="G27" s="33">
        <v>35522</v>
      </c>
      <c r="H27" s="29">
        <v>0</v>
      </c>
      <c r="I27" s="115">
        <f>E27+F27+G27+H27</f>
        <v>2320480</v>
      </c>
      <c r="J27" s="33">
        <v>0</v>
      </c>
      <c r="K27" s="115">
        <f>I27+J27</f>
        <v>2320480</v>
      </c>
      <c r="L27" s="210" t="s">
        <v>22</v>
      </c>
      <c r="M27" s="226"/>
      <c r="S27" s="28" t="s">
        <v>23</v>
      </c>
    </row>
    <row r="28" spans="1:21" ht="13.5" customHeight="1" x14ac:dyDescent="0.2">
      <c r="A28" s="100" t="s">
        <v>80</v>
      </c>
      <c r="B28" s="28"/>
      <c r="C28" s="28" t="s">
        <v>24</v>
      </c>
      <c r="D28" s="4" t="s">
        <v>204</v>
      </c>
      <c r="E28" s="32">
        <f>VLOOKUP(A28,'DEK Jul 2017'!$A$1:$I$251,9,FALSE)</f>
        <v>-411874.79999999981</v>
      </c>
      <c r="F28" s="33">
        <v>0</v>
      </c>
      <c r="G28" s="33">
        <v>411875</v>
      </c>
      <c r="H28" s="32">
        <v>0</v>
      </c>
      <c r="I28" s="115">
        <f>E28+F28+G28+H28</f>
        <v>0.20000000018626451</v>
      </c>
      <c r="J28" s="33">
        <v>0</v>
      </c>
      <c r="K28" s="115">
        <f>I28+J28</f>
        <v>0.20000000018626451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447397</v>
      </c>
      <c r="H30" s="33">
        <f t="shared" si="4"/>
        <v>0</v>
      </c>
      <c r="I30" s="269">
        <f t="shared" si="4"/>
        <v>2320480.2000000002</v>
      </c>
      <c r="J30" s="33">
        <f t="shared" si="4"/>
        <v>0</v>
      </c>
      <c r="K30" s="269">
        <f t="shared" si="4"/>
        <v>2320480.2000000002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Jul 2017'!$A$1:$I$251,9,FALSE)</f>
        <v>2203350.2100000018</v>
      </c>
      <c r="F52" s="33">
        <v>0</v>
      </c>
      <c r="G52" s="33">
        <v>-158963</v>
      </c>
      <c r="H52" s="33">
        <v>0</v>
      </c>
      <c r="I52" s="115">
        <f>E52+F52+G52+H52</f>
        <v>2044387.2100000018</v>
      </c>
      <c r="J52" s="30">
        <v>-2485884</v>
      </c>
      <c r="K52" s="115">
        <f>I52+J52</f>
        <v>-441496.78999999817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Jul 2017'!$A$1:$I$251,9,FALSE)</f>
        <v>5020179</v>
      </c>
      <c r="F53" s="33">
        <v>0</v>
      </c>
      <c r="G53" s="33">
        <v>0</v>
      </c>
      <c r="H53" s="33">
        <v>0</v>
      </c>
      <c r="I53" s="115">
        <f>E53+F53+G53+H53</f>
        <v>5020179</v>
      </c>
      <c r="J53" s="33">
        <v>0</v>
      </c>
      <c r="K53" s="115">
        <f>I53+J53</f>
        <v>5020179</v>
      </c>
      <c r="L53" s="210" t="s">
        <v>22</v>
      </c>
      <c r="M53" s="6" t="s">
        <v>110</v>
      </c>
      <c r="N53" s="6" t="s">
        <v>111</v>
      </c>
      <c r="S53" s="18">
        <v>182410</v>
      </c>
    </row>
    <row r="54" spans="1:23" hidden="1" x14ac:dyDescent="0.2">
      <c r="B54" s="28"/>
      <c r="C54" s="28"/>
      <c r="E54" s="32">
        <v>0</v>
      </c>
      <c r="F54" s="33"/>
      <c r="G54" s="33"/>
      <c r="H54" s="33"/>
      <c r="I54" s="115"/>
      <c r="J54" s="33"/>
      <c r="K54" s="115"/>
      <c r="S54" s="18"/>
    </row>
    <row r="55" spans="1:23" hidden="1"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hidden="1" x14ac:dyDescent="0.2">
      <c r="B56" s="28"/>
      <c r="C56" s="28"/>
      <c r="E56" s="32">
        <v>0</v>
      </c>
      <c r="F56" s="33"/>
      <c r="G56" s="33"/>
      <c r="H56" s="33"/>
      <c r="I56" s="115"/>
      <c r="J56" s="33"/>
      <c r="K56" s="115"/>
      <c r="S56" s="18"/>
      <c r="W56" s="47"/>
    </row>
    <row r="57" spans="1:23" hidden="1"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Jul 2017'!$A$1:$I$251,9,FALSE)</f>
        <v>1700000</v>
      </c>
      <c r="F59" s="33">
        <v>0</v>
      </c>
      <c r="G59" s="33">
        <v>50000</v>
      </c>
      <c r="H59" s="33">
        <v>0</v>
      </c>
      <c r="I59" s="115">
        <f>E59+F59+G59+H59</f>
        <v>1750000</v>
      </c>
      <c r="J59" s="33">
        <v>0</v>
      </c>
      <c r="K59" s="115">
        <f>I59+J59</f>
        <v>1750000</v>
      </c>
      <c r="L59" s="210" t="s">
        <v>22</v>
      </c>
      <c r="M59" s="20" t="s">
        <v>249</v>
      </c>
      <c r="S59" s="18"/>
    </row>
    <row r="60" spans="1:23" x14ac:dyDescent="0.2">
      <c r="B60" s="28"/>
      <c r="C60" s="28"/>
      <c r="E60" s="32" t="s">
        <v>222</v>
      </c>
      <c r="F60" s="33"/>
      <c r="G60" s="33"/>
      <c r="H60" s="33"/>
      <c r="I60" s="115"/>
      <c r="J60" s="33"/>
      <c r="K60" s="115"/>
      <c r="S60" s="18"/>
    </row>
    <row r="61" spans="1:23" hidden="1" x14ac:dyDescent="0.2">
      <c r="A61" s="100" t="s">
        <v>175</v>
      </c>
      <c r="B61" s="28"/>
      <c r="C61" s="28" t="s">
        <v>176</v>
      </c>
      <c r="D61" s="4" t="s">
        <v>175</v>
      </c>
      <c r="E61" s="32">
        <f>VLOOKUP(A61,'DEK Mar 2015'!$A$1:$I$252,9,FALSE)</f>
        <v>0</v>
      </c>
      <c r="F61" s="33">
        <v>0</v>
      </c>
      <c r="G61" s="33">
        <v>0</v>
      </c>
      <c r="H61" s="33">
        <v>0</v>
      </c>
      <c r="I61" s="115">
        <v>0</v>
      </c>
      <c r="J61" s="33">
        <v>0</v>
      </c>
      <c r="K61" s="115">
        <v>0</v>
      </c>
      <c r="S61" s="18"/>
      <c r="W61" s="47"/>
    </row>
    <row r="62" spans="1:23" hidden="1" x14ac:dyDescent="0.2">
      <c r="B62" s="28"/>
      <c r="C62" s="28"/>
      <c r="E62" s="32">
        <v>0</v>
      </c>
      <c r="F62" s="33"/>
      <c r="G62" s="33"/>
      <c r="H62" s="33"/>
      <c r="I62" s="115"/>
      <c r="J62" s="33"/>
      <c r="K62" s="115"/>
      <c r="S62" s="18"/>
      <c r="W62" s="47"/>
    </row>
    <row r="63" spans="1:23" x14ac:dyDescent="0.2">
      <c r="A63" s="100" t="s">
        <v>39</v>
      </c>
      <c r="B63" s="28"/>
      <c r="C63" s="28" t="s">
        <v>38</v>
      </c>
      <c r="D63" s="4" t="s">
        <v>39</v>
      </c>
      <c r="E63" s="32">
        <f>VLOOKUP(A63,'DEK Jul 2017'!$A$1:$I$251,9,FALSE)</f>
        <v>4912684</v>
      </c>
      <c r="F63" s="33">
        <v>0</v>
      </c>
      <c r="G63" s="44">
        <v>0</v>
      </c>
      <c r="H63" s="33">
        <v>0</v>
      </c>
      <c r="I63" s="115">
        <f>E63+F63+G63+H63</f>
        <v>4912684</v>
      </c>
      <c r="J63" s="33">
        <v>0</v>
      </c>
      <c r="K63" s="115">
        <f>I63+J63</f>
        <v>4912684</v>
      </c>
      <c r="L63" s="210" t="s">
        <v>22</v>
      </c>
      <c r="M63" s="20" t="s">
        <v>112</v>
      </c>
      <c r="S63" s="18"/>
    </row>
    <row r="64" spans="1:23" hidden="1" x14ac:dyDescent="0.2">
      <c r="B64" s="28"/>
      <c r="C64" s="28"/>
      <c r="E64" s="32">
        <v>0</v>
      </c>
      <c r="F64" s="33"/>
      <c r="G64" s="33"/>
      <c r="H64" s="33"/>
      <c r="I64" s="115">
        <f t="shared" ref="I64:I73" si="5">E64+F64+G64+H64</f>
        <v>0</v>
      </c>
      <c r="J64" s="33"/>
      <c r="K64" s="115">
        <f t="shared" ref="K64:K73" si="6">I64+J64</f>
        <v>0</v>
      </c>
      <c r="M64" s="20"/>
      <c r="S64" s="18"/>
    </row>
    <row r="65" spans="1:19" ht="12.75" hidden="1" customHeight="1" x14ac:dyDescent="0.2">
      <c r="A65" s="100" t="s">
        <v>178</v>
      </c>
      <c r="B65" s="28"/>
      <c r="C65" s="28" t="s">
        <v>177</v>
      </c>
      <c r="D65" s="4" t="s">
        <v>178</v>
      </c>
      <c r="E65" s="32">
        <f>VLOOKUP(A65,'DEK Mar 2015'!$A$1:$I$252,9,FALSE)</f>
        <v>0</v>
      </c>
      <c r="F65" s="33">
        <v>0</v>
      </c>
      <c r="G65" s="44">
        <v>0</v>
      </c>
      <c r="H65" s="33">
        <v>0</v>
      </c>
      <c r="I65" s="115">
        <f t="shared" si="5"/>
        <v>0</v>
      </c>
      <c r="J65" s="33">
        <f>F65+G65+H65+I65</f>
        <v>0</v>
      </c>
      <c r="K65" s="115">
        <f t="shared" si="6"/>
        <v>0</v>
      </c>
      <c r="M65" s="20"/>
      <c r="S65" s="18"/>
    </row>
    <row r="66" spans="1:19" ht="12.75" customHeight="1" x14ac:dyDescent="0.2">
      <c r="B66" s="28"/>
      <c r="C66" s="28"/>
      <c r="E66" s="32" t="s">
        <v>222</v>
      </c>
      <c r="F66" s="33"/>
      <c r="G66" s="44"/>
      <c r="H66" s="33"/>
      <c r="I66" s="115"/>
      <c r="J66" s="33"/>
      <c r="K66" s="115"/>
      <c r="M66" s="20"/>
      <c r="S66" s="18"/>
    </row>
    <row r="67" spans="1:19" ht="15.75" customHeight="1" x14ac:dyDescent="0.35">
      <c r="A67" s="100" t="s">
        <v>231</v>
      </c>
      <c r="B67" s="28"/>
      <c r="C67" s="28" t="s">
        <v>229</v>
      </c>
      <c r="D67" s="4" t="s">
        <v>230</v>
      </c>
      <c r="E67" s="32">
        <f>VLOOKUP(A67,'DEK Jul 2017'!$A$1:$I$251,9,FALSE)</f>
        <v>29687444.759999998</v>
      </c>
      <c r="F67" s="172"/>
      <c r="G67" s="33">
        <v>654032.53</v>
      </c>
      <c r="H67" s="172"/>
      <c r="I67" s="115">
        <f t="shared" si="5"/>
        <v>30341477.289999999</v>
      </c>
      <c r="J67" s="172"/>
      <c r="K67" s="115">
        <f t="shared" si="6"/>
        <v>30341477.289999999</v>
      </c>
      <c r="L67" s="210" t="s">
        <v>250</v>
      </c>
      <c r="M67" s="20" t="s">
        <v>246</v>
      </c>
      <c r="S67" s="18"/>
    </row>
    <row r="68" spans="1:19" ht="12.75" customHeight="1" x14ac:dyDescent="0.35">
      <c r="B68" s="28"/>
      <c r="C68" s="28"/>
      <c r="E68" s="32"/>
      <c r="F68" s="172"/>
      <c r="G68" s="33"/>
      <c r="H68" s="172"/>
      <c r="I68" s="115"/>
      <c r="J68" s="172"/>
      <c r="K68" s="115"/>
      <c r="M68" s="20"/>
      <c r="S68" s="18"/>
    </row>
    <row r="69" spans="1:19" ht="20.25" customHeight="1" x14ac:dyDescent="0.35">
      <c r="A69" s="100" t="s">
        <v>238</v>
      </c>
      <c r="B69" s="28"/>
      <c r="C69" s="28" t="s">
        <v>236</v>
      </c>
      <c r="D69" s="4" t="s">
        <v>238</v>
      </c>
      <c r="E69" s="32">
        <f>VLOOKUP(A69,'DEK Jul 2017'!$A$1:$I$251,9,FALSE)</f>
        <v>0</v>
      </c>
      <c r="F69" s="172"/>
      <c r="G69" s="33">
        <v>0</v>
      </c>
      <c r="H69" s="33"/>
      <c r="I69" s="115">
        <f t="shared" si="5"/>
        <v>0</v>
      </c>
      <c r="J69" s="33"/>
      <c r="K69" s="115">
        <f t="shared" si="6"/>
        <v>0</v>
      </c>
      <c r="L69" s="210" t="s">
        <v>251</v>
      </c>
      <c r="M69" s="20"/>
      <c r="S69" s="18"/>
    </row>
    <row r="70" spans="1:19" ht="12.75" customHeight="1" x14ac:dyDescent="0.35">
      <c r="B70" s="28"/>
      <c r="C70" s="28"/>
      <c r="E70" s="32"/>
      <c r="F70" s="172"/>
      <c r="G70" s="33"/>
      <c r="H70" s="144"/>
      <c r="I70" s="115" t="s">
        <v>222</v>
      </c>
      <c r="J70" s="33"/>
      <c r="K70" s="115" t="s">
        <v>222</v>
      </c>
      <c r="L70" s="210"/>
      <c r="M70" s="20"/>
      <c r="S70" s="18"/>
    </row>
    <row r="71" spans="1:19" ht="20.25" customHeight="1" x14ac:dyDescent="0.35">
      <c r="A71" s="100" t="s">
        <v>296</v>
      </c>
      <c r="B71" s="28"/>
      <c r="C71" s="28" t="s">
        <v>297</v>
      </c>
      <c r="D71" s="4" t="s">
        <v>296</v>
      </c>
      <c r="E71" s="32">
        <f>VLOOKUP(A71,'DEK Jul 2017'!$A$1:$I$251,9,FALSE)</f>
        <v>0</v>
      </c>
      <c r="F71" s="172"/>
      <c r="G71" s="33">
        <v>0</v>
      </c>
      <c r="H71" s="33"/>
      <c r="I71" s="115">
        <f>E71+F71+G71+H71</f>
        <v>0</v>
      </c>
      <c r="J71" s="33"/>
      <c r="K71" s="115">
        <v>7214175</v>
      </c>
      <c r="L71" s="210"/>
      <c r="M71" s="20"/>
      <c r="S71" s="18"/>
    </row>
    <row r="72" spans="1:19" ht="12.75" customHeight="1" x14ac:dyDescent="0.35">
      <c r="B72" s="28"/>
      <c r="C72" s="28"/>
      <c r="E72" s="32" t="s">
        <v>222</v>
      </c>
      <c r="F72" s="172"/>
      <c r="G72" s="33"/>
      <c r="H72" s="33"/>
      <c r="I72" s="115"/>
      <c r="J72" s="33"/>
      <c r="K72" s="115"/>
      <c r="L72" s="210"/>
      <c r="M72" s="20"/>
      <c r="S72" s="18"/>
    </row>
    <row r="73" spans="1:19" ht="12.75" customHeight="1" x14ac:dyDescent="0.35">
      <c r="A73" s="100" t="s">
        <v>257</v>
      </c>
      <c r="B73" s="28"/>
      <c r="C73" s="28" t="s">
        <v>256</v>
      </c>
      <c r="D73" s="4" t="s">
        <v>257</v>
      </c>
      <c r="E73" s="32">
        <f>VLOOKUP(A73,'DEK Jul 2017'!$A$1:$I$251,9,FALSE)</f>
        <v>-503741.77</v>
      </c>
      <c r="F73" s="172"/>
      <c r="G73" s="33">
        <v>-38257.46</v>
      </c>
      <c r="H73" s="33">
        <v>0</v>
      </c>
      <c r="I73" s="115">
        <f t="shared" si="5"/>
        <v>-541999.23</v>
      </c>
      <c r="J73" s="33"/>
      <c r="K73" s="115">
        <f t="shared" si="6"/>
        <v>-541999.23</v>
      </c>
      <c r="L73" s="210"/>
      <c r="M73" s="20"/>
      <c r="S73" s="18"/>
    </row>
    <row r="74" spans="1:19" ht="12.75" customHeight="1" x14ac:dyDescent="0.35">
      <c r="B74" s="28"/>
      <c r="C74" s="28"/>
      <c r="E74" s="32" t="s">
        <v>222</v>
      </c>
      <c r="F74" s="172"/>
      <c r="G74" s="144"/>
      <c r="H74" s="33"/>
      <c r="I74" s="115"/>
      <c r="J74" s="33"/>
      <c r="K74" s="115" t="s">
        <v>222</v>
      </c>
      <c r="M74" s="20"/>
      <c r="S74" s="18"/>
    </row>
    <row r="75" spans="1:19" ht="12.75" customHeight="1" x14ac:dyDescent="0.35">
      <c r="A75" s="100" t="s">
        <v>283</v>
      </c>
      <c r="B75" s="28"/>
      <c r="C75" s="28" t="s">
        <v>282</v>
      </c>
      <c r="D75" s="4" t="s">
        <v>283</v>
      </c>
      <c r="E75" s="32">
        <f>VLOOKUP(A75,'DEK Jul 2017'!$A$1:$I$251,9,FALSE)</f>
        <v>0</v>
      </c>
      <c r="F75" s="172"/>
      <c r="G75" s="33">
        <v>0</v>
      </c>
      <c r="H75" s="33">
        <v>0</v>
      </c>
      <c r="I75" s="115">
        <f t="shared" ref="I75" si="7">E75+F75+G75+H75</f>
        <v>0</v>
      </c>
      <c r="J75" s="33"/>
      <c r="K75" s="115">
        <f t="shared" ref="K75" si="8">I75+J75</f>
        <v>0</v>
      </c>
      <c r="L75" s="210"/>
      <c r="M75" s="20"/>
      <c r="S75" s="18"/>
    </row>
    <row r="76" spans="1:19" ht="12.75" customHeight="1" x14ac:dyDescent="0.35">
      <c r="B76" s="28"/>
      <c r="C76" s="28"/>
      <c r="E76" s="32"/>
      <c r="F76" s="172"/>
      <c r="G76" s="144"/>
      <c r="H76" s="33"/>
      <c r="I76" s="115"/>
      <c r="J76" s="33"/>
      <c r="K76" s="115"/>
      <c r="L76" s="210"/>
      <c r="M76" s="20"/>
      <c r="S76" s="18"/>
    </row>
    <row r="77" spans="1:19" ht="16.5" customHeight="1" x14ac:dyDescent="0.35">
      <c r="A77" s="100" t="s">
        <v>240</v>
      </c>
      <c r="B77" s="28"/>
      <c r="C77" s="28" t="s">
        <v>239</v>
      </c>
      <c r="D77" s="4" t="s">
        <v>240</v>
      </c>
      <c r="E77" s="32">
        <f>VLOOKUP(A77,'DEK Jul 2017'!$A$1:$I$251,9,FALSE)</f>
        <v>11269306.000000002</v>
      </c>
      <c r="F77" s="172"/>
      <c r="G77" s="33">
        <v>363526</v>
      </c>
      <c r="H77" s="33">
        <v>0</v>
      </c>
      <c r="I77" s="115">
        <f t="shared" ref="I77" si="9">E77+F77+G77+H77</f>
        <v>11632832.000000002</v>
      </c>
      <c r="J77" s="33"/>
      <c r="K77" s="115">
        <f t="shared" ref="K77" si="10">I77+J77</f>
        <v>11632832.000000002</v>
      </c>
      <c r="L77" s="210" t="s">
        <v>22</v>
      </c>
      <c r="M77" s="20" t="s">
        <v>247</v>
      </c>
      <c r="S77" s="18"/>
    </row>
    <row r="78" spans="1:19" ht="12.75" customHeight="1" x14ac:dyDescent="0.35">
      <c r="B78" s="28"/>
      <c r="C78" s="28"/>
      <c r="E78" s="32"/>
      <c r="F78" s="172"/>
      <c r="G78" s="144"/>
      <c r="H78" s="33"/>
      <c r="I78" s="115"/>
      <c r="J78" s="33"/>
      <c r="K78" s="115"/>
      <c r="M78" s="20"/>
      <c r="S78" s="18"/>
    </row>
    <row r="79" spans="1:19" ht="16.5" customHeight="1" x14ac:dyDescent="0.35">
      <c r="A79" s="100" t="s">
        <v>288</v>
      </c>
      <c r="B79" s="28"/>
      <c r="C79" s="28" t="s">
        <v>289</v>
      </c>
      <c r="D79" s="4" t="s">
        <v>288</v>
      </c>
      <c r="E79" s="32">
        <f>VLOOKUP(A79,'DEK Jul 2017'!$A$1:$I$251,9,FALSE)</f>
        <v>157373.66</v>
      </c>
      <c r="F79" s="172"/>
      <c r="G79" s="33">
        <v>19919.62</v>
      </c>
      <c r="H79" s="33">
        <v>0</v>
      </c>
      <c r="I79" s="115">
        <f t="shared" ref="I79" si="11">E79+F79+G79+H79</f>
        <v>177293.28</v>
      </c>
      <c r="J79" s="33"/>
      <c r="K79" s="115">
        <f t="shared" ref="K79" si="12">I79+J79</f>
        <v>177293.28</v>
      </c>
      <c r="L79" s="210" t="s">
        <v>22</v>
      </c>
      <c r="M79" s="20" t="s">
        <v>247</v>
      </c>
      <c r="S79" s="18"/>
    </row>
    <row r="80" spans="1:19" ht="16.5" customHeight="1" x14ac:dyDescent="0.35">
      <c r="B80" s="28"/>
      <c r="C80" s="28"/>
      <c r="E80" s="32"/>
      <c r="F80" s="172"/>
      <c r="G80" s="144"/>
      <c r="H80" s="33"/>
      <c r="I80" s="115"/>
      <c r="J80" s="33"/>
      <c r="K80" s="115"/>
      <c r="L80" s="210"/>
      <c r="M80" s="20"/>
      <c r="S80" s="18"/>
    </row>
    <row r="81" spans="1:21" ht="12.75" customHeight="1" x14ac:dyDescent="0.35">
      <c r="A81" s="100" t="s">
        <v>234</v>
      </c>
      <c r="B81" s="28"/>
      <c r="C81" s="28" t="s">
        <v>232</v>
      </c>
      <c r="D81" s="4" t="s">
        <v>233</v>
      </c>
      <c r="E81" s="32">
        <f>VLOOKUP(A81,'DEK Jul 2017'!$A$1:$I$251,9,FALSE)</f>
        <v>0</v>
      </c>
      <c r="F81" s="174"/>
      <c r="G81" s="144">
        <v>0</v>
      </c>
      <c r="H81" s="33">
        <v>0</v>
      </c>
      <c r="I81" s="115">
        <f t="shared" ref="I81:I85" si="13">E81+F81+G81+H81</f>
        <v>0</v>
      </c>
      <c r="J81" s="33"/>
      <c r="K81" s="115">
        <f t="shared" ref="K81:K85" si="14">I81+J81</f>
        <v>0</v>
      </c>
      <c r="M81" s="20"/>
      <c r="S81" s="18"/>
    </row>
    <row r="82" spans="1:21" ht="12.75" customHeight="1" x14ac:dyDescent="0.35">
      <c r="B82" s="28"/>
      <c r="C82" s="28"/>
      <c r="E82" s="32"/>
      <c r="F82" s="172"/>
      <c r="G82" s="144"/>
      <c r="H82" s="33"/>
      <c r="I82" s="115"/>
      <c r="J82" s="33"/>
      <c r="K82" s="115"/>
      <c r="M82" s="20"/>
      <c r="S82" s="18"/>
    </row>
    <row r="83" spans="1:21" ht="12.75" customHeight="1" x14ac:dyDescent="0.35">
      <c r="A83" s="100" t="s">
        <v>298</v>
      </c>
      <c r="B83" s="28"/>
      <c r="C83" s="28" t="s">
        <v>299</v>
      </c>
      <c r="D83" s="4" t="s">
        <v>300</v>
      </c>
      <c r="E83" s="32">
        <f>VLOOKUP(A83,'DEK Jul 2017'!$A$1:$I$251,9,FALSE)</f>
        <v>2448.77</v>
      </c>
      <c r="F83" s="172"/>
      <c r="G83" s="33">
        <v>15617.38</v>
      </c>
      <c r="H83" s="33">
        <v>0</v>
      </c>
      <c r="I83" s="115">
        <f t="shared" ref="I83" si="15">E83+F83+G83+H83</f>
        <v>18066.149999999998</v>
      </c>
      <c r="J83" s="33"/>
      <c r="K83" s="115">
        <f t="shared" si="14"/>
        <v>18066.149999999998</v>
      </c>
      <c r="L83" s="289" t="s">
        <v>301</v>
      </c>
      <c r="M83" s="29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Jul 2017'!$A$1:$I$251,9,FALSE)</f>
        <v>2187114.9499999997</v>
      </c>
      <c r="F85" s="174"/>
      <c r="G85" s="36">
        <v>605918.75</v>
      </c>
      <c r="H85" s="36">
        <v>0</v>
      </c>
      <c r="I85" s="116">
        <f t="shared" si="13"/>
        <v>2793033.6999999997</v>
      </c>
      <c r="J85" s="36"/>
      <c r="K85" s="116">
        <f t="shared" si="14"/>
        <v>2793033.6999999997</v>
      </c>
      <c r="M85" s="20"/>
      <c r="S85" s="18"/>
    </row>
    <row r="86" spans="1:21" x14ac:dyDescent="0.2">
      <c r="B86" s="54"/>
      <c r="C86" s="28"/>
      <c r="E86" s="221">
        <f>SUM(E42:E85)</f>
        <v>56636159.579999998</v>
      </c>
      <c r="F86" s="29">
        <f>SUM(F39:F65)+F36</f>
        <v>0</v>
      </c>
      <c r="G86" s="29">
        <f>SUM(G39:G85)+G36</f>
        <v>1511793.82</v>
      </c>
      <c r="H86" s="29">
        <f>SUM(H39:H85)+H36</f>
        <v>0</v>
      </c>
      <c r="I86" s="269">
        <f>SUM(I39:I85)</f>
        <v>58147953.400000006</v>
      </c>
      <c r="J86" s="49">
        <f>SUM(J39:J85)+J36</f>
        <v>-2485884</v>
      </c>
      <c r="K86" s="275">
        <f>SUM(K39:K85)</f>
        <v>62876244.400000006</v>
      </c>
      <c r="L86" s="280" t="s">
        <v>259</v>
      </c>
      <c r="M86" s="20"/>
      <c r="S86" s="18"/>
    </row>
    <row r="87" spans="1:21" x14ac:dyDescent="0.2">
      <c r="B87" s="54"/>
      <c r="C87" s="28"/>
      <c r="E87" s="32"/>
      <c r="F87" s="32"/>
      <c r="G87" s="157"/>
      <c r="H87" s="32"/>
      <c r="I87" s="123"/>
      <c r="J87" s="32"/>
      <c r="K87" s="123"/>
      <c r="L87" s="230"/>
      <c r="M87" s="20"/>
      <c r="N87" s="143"/>
      <c r="S87" s="18"/>
    </row>
    <row r="88" spans="1:21" ht="16.5" customHeight="1" x14ac:dyDescent="0.35">
      <c r="A88" s="100" t="s">
        <v>255</v>
      </c>
      <c r="B88" s="28"/>
      <c r="C88" s="28" t="s">
        <v>254</v>
      </c>
      <c r="D88" s="4" t="s">
        <v>255</v>
      </c>
      <c r="E88" s="32">
        <f>VLOOKUP(A88,'DEK Jul 2017'!$A$1:$I$251,9,FALSE)</f>
        <v>11328447.389999999</v>
      </c>
      <c r="F88" s="172"/>
      <c r="G88" s="33">
        <v>341929.37</v>
      </c>
      <c r="H88" s="33">
        <v>0</v>
      </c>
      <c r="I88" s="115">
        <f>E88+F88+G88+H88</f>
        <v>11670376.759999998</v>
      </c>
      <c r="J88" s="33"/>
      <c r="K88" s="115">
        <f>I88+J88</f>
        <v>11670376.759999998</v>
      </c>
      <c r="L88" s="210"/>
      <c r="M88" s="20"/>
      <c r="S88" s="18"/>
    </row>
    <row r="89" spans="1:21" x14ac:dyDescent="0.2">
      <c r="A89" s="100" t="s">
        <v>269</v>
      </c>
      <c r="B89" s="54"/>
      <c r="C89" s="28" t="s">
        <v>268</v>
      </c>
      <c r="D89" s="4" t="s">
        <v>269</v>
      </c>
      <c r="E89" s="35">
        <f>VLOOKUP(A89,'DEK Jul 2017'!$A$1:$I$251,9,FALSE)</f>
        <v>2494851</v>
      </c>
      <c r="F89" s="35"/>
      <c r="G89" s="35">
        <v>-25571.25</v>
      </c>
      <c r="H89" s="35">
        <v>0</v>
      </c>
      <c r="I89" s="267">
        <f>E89+F89+G89+H89</f>
        <v>2469279.75</v>
      </c>
      <c r="J89" s="274">
        <v>0</v>
      </c>
      <c r="K89" s="267">
        <f t="shared" ref="K89" si="16">I89+J89</f>
        <v>2469279.75</v>
      </c>
      <c r="L89" s="280" t="s">
        <v>279</v>
      </c>
      <c r="M89" s="20"/>
      <c r="S89" s="18"/>
    </row>
    <row r="90" spans="1:21" x14ac:dyDescent="0.2">
      <c r="B90" s="54"/>
      <c r="C90" s="28"/>
      <c r="E90" s="221">
        <f>SUM(E88:E89)</f>
        <v>13823298.389999999</v>
      </c>
      <c r="F90" s="32"/>
      <c r="G90" s="32">
        <f>SUM(G88:G89)</f>
        <v>316358.12</v>
      </c>
      <c r="H90" s="32">
        <f>SUM(H88:H89)</f>
        <v>0</v>
      </c>
      <c r="I90" s="269">
        <f>SUM(I88:I89)</f>
        <v>14139656.509999998</v>
      </c>
      <c r="J90" s="221">
        <f>SUM(J89)</f>
        <v>0</v>
      </c>
      <c r="K90" s="269">
        <f>SUM(K88:K89)</f>
        <v>14139656.509999998</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Jul 2017'!$A$1:$I$251,9,FALSE)</f>
        <v>23420551.719999999</v>
      </c>
      <c r="F93" s="30">
        <v>0</v>
      </c>
      <c r="G93" s="33">
        <v>-5273</v>
      </c>
      <c r="H93" s="30">
        <v>0</v>
      </c>
      <c r="I93" s="115">
        <f>E93+F93+G93+H93</f>
        <v>23415278.719999999</v>
      </c>
      <c r="J93" s="30">
        <v>0</v>
      </c>
      <c r="K93" s="115">
        <f t="shared" ref="K93:K100" si="17">I93+J93</f>
        <v>23415278.719999999</v>
      </c>
      <c r="L93" s="210"/>
      <c r="M93" s="20" t="s">
        <v>126</v>
      </c>
      <c r="P93" s="58"/>
      <c r="R93" s="4" t="s">
        <v>107</v>
      </c>
      <c r="S93" s="18">
        <v>182940</v>
      </c>
      <c r="U93" s="4" t="s">
        <v>36</v>
      </c>
    </row>
    <row r="94" spans="1:21" x14ac:dyDescent="0.2">
      <c r="A94" s="100" t="s">
        <v>291</v>
      </c>
      <c r="B94" s="28"/>
      <c r="C94" s="28" t="s">
        <v>290</v>
      </c>
      <c r="D94" s="4" t="s">
        <v>291</v>
      </c>
      <c r="E94" s="32">
        <f>VLOOKUP(A94,'DEK Jul 2017'!$A$1:$I$251,9,FALSE)</f>
        <v>2470173.5499999998</v>
      </c>
      <c r="F94" s="30">
        <v>0</v>
      </c>
      <c r="G94" s="33">
        <v>0</v>
      </c>
      <c r="H94" s="30">
        <v>0</v>
      </c>
      <c r="I94" s="115">
        <f t="shared" ref="I94:I100" si="18">E94+F94+G94+H94</f>
        <v>2470173.5499999998</v>
      </c>
      <c r="J94" s="30">
        <v>0</v>
      </c>
      <c r="K94" s="115">
        <f t="shared" si="17"/>
        <v>2470173.5499999998</v>
      </c>
      <c r="L94" s="210" t="s">
        <v>22</v>
      </c>
      <c r="M94" s="20"/>
      <c r="P94" s="58"/>
      <c r="S94" s="18">
        <v>186801</v>
      </c>
    </row>
    <row r="95" spans="1:21" x14ac:dyDescent="0.2">
      <c r="A95" s="100" t="s">
        <v>281</v>
      </c>
      <c r="B95" s="28"/>
      <c r="C95" s="28" t="s">
        <v>280</v>
      </c>
      <c r="D95" s="4" t="s">
        <v>281</v>
      </c>
      <c r="E95" s="32">
        <f>VLOOKUP(A95,'DEK Jul 2017'!$A$1:$I$251,9,FALSE)</f>
        <v>4617821.7200000007</v>
      </c>
      <c r="F95" s="30">
        <v>0</v>
      </c>
      <c r="G95" s="33">
        <v>-5862</v>
      </c>
      <c r="H95" s="30">
        <v>0</v>
      </c>
      <c r="I95" s="115">
        <f t="shared" si="18"/>
        <v>4611959.7200000007</v>
      </c>
      <c r="J95" s="30">
        <v>0</v>
      </c>
      <c r="K95" s="115">
        <f t="shared" si="17"/>
        <v>4611959.7200000007</v>
      </c>
      <c r="L95" s="210" t="s">
        <v>22</v>
      </c>
      <c r="M95" s="20"/>
      <c r="P95" s="58"/>
      <c r="S95" s="18">
        <v>186801</v>
      </c>
    </row>
    <row r="96" spans="1:21" x14ac:dyDescent="0.2">
      <c r="A96" s="100" t="s">
        <v>293</v>
      </c>
      <c r="B96" s="28"/>
      <c r="C96" s="28" t="s">
        <v>292</v>
      </c>
      <c r="D96" s="4" t="s">
        <v>293</v>
      </c>
      <c r="E96" s="32">
        <f>VLOOKUP(A96,'DEK Jul 2017'!$A$1:$I$251,9,FALSE)</f>
        <v>48825.05</v>
      </c>
      <c r="F96" s="30">
        <v>0</v>
      </c>
      <c r="G96" s="33">
        <v>0</v>
      </c>
      <c r="H96" s="30">
        <v>0</v>
      </c>
      <c r="I96" s="115">
        <f t="shared" si="18"/>
        <v>48825.05</v>
      </c>
      <c r="J96" s="30">
        <v>0</v>
      </c>
      <c r="K96" s="115">
        <f t="shared" si="17"/>
        <v>48825.05</v>
      </c>
      <c r="L96" s="210" t="s">
        <v>22</v>
      </c>
      <c r="M96" s="20"/>
      <c r="P96" s="58"/>
      <c r="S96" s="18"/>
    </row>
    <row r="97" spans="1:20" x14ac:dyDescent="0.2">
      <c r="A97" s="100" t="s">
        <v>161</v>
      </c>
      <c r="B97" s="28"/>
      <c r="C97" s="28" t="s">
        <v>72</v>
      </c>
      <c r="D97" s="4" t="s">
        <v>224</v>
      </c>
      <c r="E97" s="32">
        <f>VLOOKUP(A97,'DEK Jul 2017'!$A$1:$I$251,9,FALSE)</f>
        <v>-104110</v>
      </c>
      <c r="F97" s="30">
        <v>0</v>
      </c>
      <c r="G97" s="33">
        <v>-104110</v>
      </c>
      <c r="H97" s="30">
        <v>0</v>
      </c>
      <c r="I97" s="115">
        <f t="shared" si="18"/>
        <v>-208220</v>
      </c>
      <c r="J97" s="30">
        <v>0</v>
      </c>
      <c r="K97" s="115">
        <f t="shared" si="17"/>
        <v>-208220</v>
      </c>
      <c r="L97" s="210" t="s">
        <v>22</v>
      </c>
      <c r="M97" s="20"/>
      <c r="P97" s="58"/>
      <c r="S97" s="18"/>
    </row>
    <row r="98" spans="1:20" x14ac:dyDescent="0.2">
      <c r="A98" s="108" t="s">
        <v>171</v>
      </c>
      <c r="B98" s="28"/>
      <c r="C98" s="28" t="s">
        <v>122</v>
      </c>
      <c r="D98" s="4" t="s">
        <v>225</v>
      </c>
      <c r="E98" s="32">
        <f>VLOOKUP(A98,'DEK Jul 2017'!$A$1:$I$251,9,FALSE)</f>
        <v>-23330</v>
      </c>
      <c r="F98" s="30">
        <v>0</v>
      </c>
      <c r="G98" s="33">
        <v>-23330</v>
      </c>
      <c r="H98" s="30">
        <v>0</v>
      </c>
      <c r="I98" s="115">
        <f t="shared" si="18"/>
        <v>-46660</v>
      </c>
      <c r="J98" s="30">
        <v>0</v>
      </c>
      <c r="K98" s="115">
        <f t="shared" si="17"/>
        <v>-46660</v>
      </c>
      <c r="L98" s="210" t="s">
        <v>22</v>
      </c>
      <c r="M98" s="20"/>
      <c r="P98" s="58"/>
      <c r="S98" s="18"/>
    </row>
    <row r="99" spans="1:20" x14ac:dyDescent="0.2">
      <c r="A99" s="108" t="s">
        <v>284</v>
      </c>
      <c r="B99" s="28"/>
      <c r="C99" s="28" t="s">
        <v>285</v>
      </c>
      <c r="D99" s="4" t="s">
        <v>284</v>
      </c>
      <c r="E99" s="32">
        <f>VLOOKUP(A99,'DEK Jul 2017'!$A$1:$I$251,9,FALSE)</f>
        <v>-36260</v>
      </c>
      <c r="F99" s="30"/>
      <c r="G99" s="33">
        <v>-36260</v>
      </c>
      <c r="H99" s="30"/>
      <c r="I99" s="115">
        <f t="shared" si="18"/>
        <v>-72520</v>
      </c>
      <c r="J99" s="30"/>
      <c r="K99" s="115">
        <f t="shared" si="17"/>
        <v>-72520</v>
      </c>
      <c r="L99" s="210"/>
      <c r="M99" s="20"/>
      <c r="P99" s="58"/>
      <c r="S99" s="18"/>
    </row>
    <row r="100" spans="1:20" x14ac:dyDescent="0.2">
      <c r="A100" s="108" t="s">
        <v>172</v>
      </c>
      <c r="B100" s="28"/>
      <c r="C100" s="28" t="s">
        <v>123</v>
      </c>
      <c r="D100" s="4" t="s">
        <v>226</v>
      </c>
      <c r="E100" s="35">
        <f>VLOOKUP(A100,'DEK Jul 2017'!$A$1:$I$251,9,FALSE)</f>
        <v>-374</v>
      </c>
      <c r="F100" s="36"/>
      <c r="G100" s="36">
        <v>-374</v>
      </c>
      <c r="H100" s="36"/>
      <c r="I100" s="116">
        <f t="shared" si="18"/>
        <v>-748</v>
      </c>
      <c r="J100" s="36"/>
      <c r="K100" s="116">
        <f t="shared" si="17"/>
        <v>-748</v>
      </c>
      <c r="M100" s="20"/>
      <c r="P100" s="58"/>
      <c r="S100" s="18"/>
    </row>
    <row r="101" spans="1:20" x14ac:dyDescent="0.2">
      <c r="B101" s="28"/>
      <c r="C101" s="18"/>
      <c r="E101" s="221">
        <f t="shared" ref="E101:K101" si="19">SUM(E93:E100)</f>
        <v>30393298.040000003</v>
      </c>
      <c r="F101" s="29">
        <f t="shared" si="19"/>
        <v>0</v>
      </c>
      <c r="G101" s="29">
        <f>SUM(G93:G100)</f>
        <v>-175209</v>
      </c>
      <c r="H101" s="29">
        <f t="shared" si="19"/>
        <v>0</v>
      </c>
      <c r="I101" s="269">
        <f t="shared" si="19"/>
        <v>30218089.040000003</v>
      </c>
      <c r="J101" s="29">
        <f t="shared" si="19"/>
        <v>0</v>
      </c>
      <c r="K101" s="269">
        <f t="shared" si="19"/>
        <v>30218089.040000003</v>
      </c>
      <c r="L101" s="280" t="s">
        <v>260</v>
      </c>
      <c r="M101" s="20"/>
      <c r="S101" s="18"/>
    </row>
    <row r="102" spans="1:20" ht="12.75" hidden="1" customHeight="1" x14ac:dyDescent="0.2">
      <c r="B102" s="54" t="s">
        <v>135</v>
      </c>
      <c r="C102" s="18"/>
      <c r="E102" s="32"/>
      <c r="F102" s="29"/>
      <c r="G102" s="151"/>
      <c r="H102" s="151"/>
      <c r="I102" s="117"/>
      <c r="J102" s="29"/>
      <c r="K102" s="117"/>
      <c r="M102" s="20"/>
      <c r="S102" s="18"/>
    </row>
    <row r="103" spans="1:20" ht="12.75" hidden="1" customHeight="1" x14ac:dyDescent="0.2">
      <c r="A103" s="100" t="s">
        <v>108</v>
      </c>
      <c r="B103" s="28"/>
      <c r="C103" s="28" t="s">
        <v>71</v>
      </c>
      <c r="D103" s="4" t="s">
        <v>108</v>
      </c>
      <c r="E103" s="32">
        <v>0</v>
      </c>
      <c r="F103" s="30">
        <v>0</v>
      </c>
      <c r="G103" s="152">
        <v>0</v>
      </c>
      <c r="H103" s="152">
        <v>0</v>
      </c>
      <c r="I103" s="115">
        <f t="shared" ref="I103:K104" si="20">E103+F103+G103+H103</f>
        <v>0</v>
      </c>
      <c r="J103" s="30">
        <f t="shared" si="20"/>
        <v>0</v>
      </c>
      <c r="K103" s="115">
        <f t="shared" si="20"/>
        <v>0</v>
      </c>
      <c r="M103" s="20"/>
      <c r="S103" s="18">
        <v>174995</v>
      </c>
    </row>
    <row r="104" spans="1:20" ht="12.75" hidden="1" customHeight="1" x14ac:dyDescent="0.2">
      <c r="A104" s="100" t="s">
        <v>139</v>
      </c>
      <c r="B104" s="28"/>
      <c r="C104" s="28" t="s">
        <v>124</v>
      </c>
      <c r="D104" s="4" t="s">
        <v>139</v>
      </c>
      <c r="E104" s="32">
        <v>0</v>
      </c>
      <c r="F104" s="30">
        <v>0</v>
      </c>
      <c r="G104" s="152">
        <v>0</v>
      </c>
      <c r="H104" s="152">
        <v>0</v>
      </c>
      <c r="I104" s="115">
        <f t="shared" si="20"/>
        <v>0</v>
      </c>
      <c r="J104" s="30">
        <f t="shared" si="20"/>
        <v>0</v>
      </c>
      <c r="K104" s="115">
        <f t="shared" si="20"/>
        <v>0</v>
      </c>
      <c r="M104" s="20"/>
      <c r="S104" s="18"/>
    </row>
    <row r="105" spans="1:20" ht="7.5" hidden="1"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105731187.64</v>
      </c>
      <c r="F107" s="133">
        <f>+F12+F24+F30+F86+F101+F103+F19+F104</f>
        <v>0</v>
      </c>
      <c r="G107" s="133">
        <f>+G12+G24+G30+G86+G90+G101+G103+G19+G104</f>
        <v>2100339.94</v>
      </c>
      <c r="H107" s="133">
        <f>+H12+H24+H30+H86+H90+H101+H103+H19+H104</f>
        <v>-22206.15</v>
      </c>
      <c r="I107" s="134">
        <f>+I12+I24+I30+I86+I90+I101+I103+I19+I104</f>
        <v>107809321.43000002</v>
      </c>
      <c r="J107" s="133">
        <f>+J12+J24+J30+J86+J90+J101+J103+J19+J104</f>
        <v>0</v>
      </c>
      <c r="K107" s="134">
        <f>+K12+K24+K30+K86+K90+K101+K103+K19+K104</f>
        <v>115023496.43000001</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Jul 2017'!$A$1:$I$252,9,FALSE)</f>
        <v>-1094160.7399999993</v>
      </c>
      <c r="F110" s="30">
        <v>0</v>
      </c>
      <c r="G110" s="33">
        <v>491106.4</v>
      </c>
      <c r="H110" s="33">
        <f>-15754.05-366784.14</f>
        <v>-382538.19</v>
      </c>
      <c r="I110" s="115">
        <f t="shared" ref="I110:I115" si="21">E110+F110+G110+H110</f>
        <v>-985592.52999999933</v>
      </c>
      <c r="J110" s="30">
        <v>0</v>
      </c>
      <c r="K110" s="115">
        <f t="shared" ref="K110:K115" si="22">I110+J110</f>
        <v>-985592.52999999933</v>
      </c>
      <c r="L110" s="210" t="s">
        <v>22</v>
      </c>
      <c r="M110" s="33"/>
      <c r="N110" s="42"/>
      <c r="O110" s="42"/>
      <c r="S110" s="18">
        <v>191400</v>
      </c>
      <c r="T110" s="58"/>
    </row>
    <row r="111" spans="1:20" x14ac:dyDescent="0.2">
      <c r="A111" s="100" t="s">
        <v>115</v>
      </c>
      <c r="B111" s="18"/>
      <c r="C111" s="28" t="s">
        <v>53</v>
      </c>
      <c r="D111" s="4" t="s">
        <v>115</v>
      </c>
      <c r="E111" s="32">
        <f>VLOOKUP(A111,'DEK Jul 2017'!$A$1:$I$252,9,FALSE)</f>
        <v>-488547.2699999999</v>
      </c>
      <c r="F111" s="30">
        <v>0</v>
      </c>
      <c r="G111" s="33">
        <v>110357.26</v>
      </c>
      <c r="H111" s="144">
        <v>0</v>
      </c>
      <c r="I111" s="115">
        <f t="shared" si="21"/>
        <v>-378190.00999999989</v>
      </c>
      <c r="J111" s="30">
        <v>0</v>
      </c>
      <c r="K111" s="115">
        <f t="shared" si="22"/>
        <v>-378190.00999999989</v>
      </c>
      <c r="L111" s="210" t="s">
        <v>22</v>
      </c>
      <c r="M111" s="30"/>
      <c r="N111" s="42"/>
      <c r="O111" s="42"/>
      <c r="S111" s="18">
        <v>191800</v>
      </c>
      <c r="T111" s="58"/>
    </row>
    <row r="112" spans="1:20" ht="12.75" customHeight="1" x14ac:dyDescent="0.2">
      <c r="A112" s="100" t="s">
        <v>117</v>
      </c>
      <c r="B112" s="18"/>
      <c r="C112" s="28" t="s">
        <v>77</v>
      </c>
      <c r="D112" s="4" t="s">
        <v>117</v>
      </c>
      <c r="E112" s="32">
        <f>VLOOKUP(A112,'DEK Jul 2017'!$A$1:$I$252,9,FALSE)</f>
        <v>-48581.649999999907</v>
      </c>
      <c r="F112" s="30">
        <v>0</v>
      </c>
      <c r="G112" s="30">
        <v>0</v>
      </c>
      <c r="H112" s="144">
        <v>0</v>
      </c>
      <c r="I112" s="115">
        <f t="shared" si="21"/>
        <v>-48581.649999999907</v>
      </c>
      <c r="J112" s="30">
        <v>0</v>
      </c>
      <c r="K112" s="115">
        <f t="shared" si="22"/>
        <v>-48581.649999999907</v>
      </c>
      <c r="L112" s="210" t="s">
        <v>22</v>
      </c>
      <c r="M112" s="20"/>
      <c r="N112" s="42"/>
      <c r="O112" s="42"/>
      <c r="S112" s="18">
        <v>242995</v>
      </c>
      <c r="T112" s="58"/>
    </row>
    <row r="113" spans="1:21" x14ac:dyDescent="0.2">
      <c r="A113" s="100" t="s">
        <v>119</v>
      </c>
      <c r="B113" s="18"/>
      <c r="C113" s="28" t="s">
        <v>118</v>
      </c>
      <c r="D113" s="4" t="s">
        <v>119</v>
      </c>
      <c r="E113" s="32">
        <f>VLOOKUP(A113,'DEK Jul 2017'!$A$1:$I$252,9,FALSE)</f>
        <v>-120336.12000000053</v>
      </c>
      <c r="F113" s="30">
        <v>0</v>
      </c>
      <c r="G113" s="30">
        <v>103736.67</v>
      </c>
      <c r="H113" s="144">
        <v>0</v>
      </c>
      <c r="I113" s="115">
        <f t="shared" si="21"/>
        <v>-16599.450000000536</v>
      </c>
      <c r="J113" s="30">
        <v>0</v>
      </c>
      <c r="K113" s="115">
        <f t="shared" si="22"/>
        <v>-16599.450000000536</v>
      </c>
      <c r="L113" s="210" t="s">
        <v>22</v>
      </c>
      <c r="M113" s="20"/>
      <c r="N113" s="42"/>
      <c r="O113" s="42"/>
      <c r="S113" s="18">
        <v>242997</v>
      </c>
      <c r="T113" s="58"/>
    </row>
    <row r="114" spans="1:21" x14ac:dyDescent="0.2">
      <c r="A114" s="100" t="s">
        <v>120</v>
      </c>
      <c r="B114" s="18"/>
      <c r="C114" s="28" t="s">
        <v>54</v>
      </c>
      <c r="D114" s="4" t="s">
        <v>120</v>
      </c>
      <c r="E114" s="32">
        <f>VLOOKUP(A114,'DEK Jul 2017'!$A$1:$I$252,9,FALSE)</f>
        <v>298024.39000000019</v>
      </c>
      <c r="F114" s="33">
        <v>0</v>
      </c>
      <c r="G114" s="33">
        <f>366784.14-93.94</f>
        <v>366690.2</v>
      </c>
      <c r="H114" s="33">
        <v>5403.39</v>
      </c>
      <c r="I114" s="115">
        <f t="shared" si="21"/>
        <v>670117.98000000021</v>
      </c>
      <c r="J114" s="33">
        <v>0</v>
      </c>
      <c r="K114" s="115">
        <f t="shared" si="22"/>
        <v>670117.98000000021</v>
      </c>
      <c r="L114" s="210" t="s">
        <v>22</v>
      </c>
      <c r="M114" s="42"/>
      <c r="N114" s="42"/>
      <c r="O114" s="42"/>
      <c r="S114" s="18">
        <v>253130</v>
      </c>
      <c r="T114" s="58"/>
    </row>
    <row r="115" spans="1:21" x14ac:dyDescent="0.2">
      <c r="A115" s="100" t="s">
        <v>156</v>
      </c>
      <c r="B115" s="18"/>
      <c r="C115" s="28" t="s">
        <v>116</v>
      </c>
      <c r="D115" s="4" t="s">
        <v>211</v>
      </c>
      <c r="E115" s="32">
        <f>VLOOKUP(A115,'DEK Jul 2017'!$A$1:$I$252,9,FALSE)</f>
        <v>-1229075.6800000002</v>
      </c>
      <c r="F115" s="33"/>
      <c r="G115" s="33">
        <v>2457941.84</v>
      </c>
      <c r="H115" s="33">
        <v>0</v>
      </c>
      <c r="I115" s="115">
        <f t="shared" si="21"/>
        <v>1228866.1599999997</v>
      </c>
      <c r="J115" s="30">
        <v>0</v>
      </c>
      <c r="K115" s="115">
        <f t="shared" si="22"/>
        <v>1228866.1599999997</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3">SUM(E110:E118)</f>
        <v>-2682677.0699999998</v>
      </c>
      <c r="F119" s="33">
        <f t="shared" si="23"/>
        <v>0</v>
      </c>
      <c r="G119" s="33">
        <f t="shared" si="23"/>
        <v>3529832.37</v>
      </c>
      <c r="H119" s="33">
        <f t="shared" si="23"/>
        <v>-377134.8</v>
      </c>
      <c r="I119" s="269">
        <f t="shared" si="23"/>
        <v>470020.50000000023</v>
      </c>
      <c r="J119" s="33">
        <f t="shared" si="23"/>
        <v>0</v>
      </c>
      <c r="K119" s="269">
        <f t="shared" si="23"/>
        <v>470020.50000000023</v>
      </c>
      <c r="L119" s="280" t="s">
        <v>263</v>
      </c>
      <c r="M119" s="42"/>
      <c r="N119" s="42"/>
      <c r="O119" s="42"/>
      <c r="S119" s="18"/>
      <c r="T119" s="58"/>
    </row>
    <row r="120" spans="1:21" hidden="1" x14ac:dyDescent="0.2">
      <c r="B120" s="21" t="s">
        <v>188</v>
      </c>
      <c r="C120" s="61"/>
      <c r="D120" s="34"/>
      <c r="E120" s="33"/>
      <c r="F120" s="33"/>
      <c r="G120" s="144"/>
      <c r="H120" s="144"/>
      <c r="I120" s="115"/>
      <c r="J120" s="33"/>
      <c r="K120" s="115"/>
      <c r="M120" s="42"/>
      <c r="N120" s="42"/>
      <c r="O120" s="42"/>
      <c r="S120" s="18"/>
      <c r="T120" s="58"/>
    </row>
    <row r="121" spans="1:21" hidden="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hidden="1" customHeight="1" x14ac:dyDescent="0.2">
      <c r="A122" s="100" t="s">
        <v>181</v>
      </c>
      <c r="B122" s="18"/>
      <c r="C122" s="28" t="s">
        <v>182</v>
      </c>
      <c r="D122" s="4" t="s">
        <v>213</v>
      </c>
      <c r="E122" s="32">
        <f>VLOOKUP(A122,'[23]DEK Jul 2013'!$A$1:$I$252,9,FALSE)</f>
        <v>0</v>
      </c>
      <c r="F122" s="33">
        <v>0</v>
      </c>
      <c r="G122" s="144">
        <v>0</v>
      </c>
      <c r="H122" s="144">
        <v>0</v>
      </c>
      <c r="I122" s="115">
        <f>E122+F122+G122+H122</f>
        <v>0</v>
      </c>
      <c r="J122" s="30">
        <v>0</v>
      </c>
      <c r="K122" s="115">
        <f>I122+J122</f>
        <v>0</v>
      </c>
      <c r="L122" s="4" t="s">
        <v>22</v>
      </c>
      <c r="M122" s="42"/>
      <c r="N122" s="42"/>
      <c r="O122" s="42"/>
      <c r="S122" s="18">
        <v>253130</v>
      </c>
      <c r="T122" s="58"/>
    </row>
    <row r="123" spans="1:21" hidden="1" x14ac:dyDescent="0.2">
      <c r="B123" s="18"/>
      <c r="C123" s="28"/>
      <c r="E123" s="33"/>
      <c r="F123" s="36"/>
      <c r="G123" s="150"/>
      <c r="H123" s="150"/>
      <c r="I123" s="116"/>
      <c r="J123" s="36"/>
      <c r="K123" s="116"/>
      <c r="M123" s="42"/>
      <c r="N123" s="42"/>
      <c r="O123" s="42"/>
      <c r="S123" s="18"/>
      <c r="T123" s="58"/>
    </row>
    <row r="124" spans="1:21" hidden="1" x14ac:dyDescent="0.2">
      <c r="B124" s="18"/>
      <c r="C124" s="28"/>
      <c r="E124" s="33">
        <f>SUM(E121:E122)</f>
        <v>0</v>
      </c>
      <c r="F124" s="33">
        <f t="shared" ref="F124:L124" si="24">SUM(F121:F122)</f>
        <v>0</v>
      </c>
      <c r="G124" s="144">
        <f t="shared" si="24"/>
        <v>0</v>
      </c>
      <c r="H124" s="144">
        <f t="shared" si="24"/>
        <v>0</v>
      </c>
      <c r="I124" s="128">
        <f>SUM(I121:I122)</f>
        <v>0</v>
      </c>
      <c r="J124" s="33">
        <f t="shared" si="24"/>
        <v>0</v>
      </c>
      <c r="K124" s="128">
        <f t="shared" si="24"/>
        <v>0</v>
      </c>
      <c r="L124" s="33">
        <f t="shared" si="24"/>
        <v>0</v>
      </c>
      <c r="M124" s="42"/>
      <c r="N124" s="42"/>
      <c r="O124" s="42"/>
      <c r="S124" s="18"/>
      <c r="T124" s="58"/>
    </row>
    <row r="125" spans="1:21" hidden="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Jul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Jul 2017'!$A$1:$I$252,9,FALSE)</f>
        <v>-5194642.7300000004</v>
      </c>
      <c r="F128" s="36">
        <v>0</v>
      </c>
      <c r="G128" s="36">
        <v>50719</v>
      </c>
      <c r="H128" s="36">
        <v>0</v>
      </c>
      <c r="I128" s="267">
        <f>E128+G128+H128+F128</f>
        <v>-5143923.7300000004</v>
      </c>
      <c r="J128" s="266">
        <v>0</v>
      </c>
      <c r="K128" s="267">
        <f>I128+J128</f>
        <v>-5143923.7300000004</v>
      </c>
      <c r="L128" s="210" t="s">
        <v>22</v>
      </c>
      <c r="M128" s="67"/>
      <c r="P128" s="51"/>
      <c r="Q128" s="18"/>
      <c r="R128" s="58"/>
      <c r="S128" s="18"/>
    </row>
    <row r="129" spans="1:23" ht="15" x14ac:dyDescent="0.25">
      <c r="B129" s="18"/>
      <c r="C129" s="28"/>
      <c r="D129" s="65"/>
      <c r="E129" s="234">
        <f>SUM(E127:E128)</f>
        <v>-5194642.7300000004</v>
      </c>
      <c r="F129" s="30"/>
      <c r="G129" s="33">
        <f>SUM(G127:G128)</f>
        <v>50719</v>
      </c>
      <c r="H129" s="33">
        <f>SUM(H127:H128)</f>
        <v>0</v>
      </c>
      <c r="I129" s="271">
        <f>SUM(I127:I128)</f>
        <v>-5143923.7300000004</v>
      </c>
      <c r="J129" s="1"/>
      <c r="K129" s="271">
        <f>SUM(K127:K128)</f>
        <v>-5143923.7300000004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Jul 2017'!$A$1:$I$252,9,FALSE)</f>
        <v>0</v>
      </c>
      <c r="F131" s="30">
        <v>0</v>
      </c>
      <c r="G131" s="33">
        <v>-403701</v>
      </c>
      <c r="H131" s="33">
        <v>0</v>
      </c>
      <c r="I131" s="115">
        <f>E131+F131+G131+H131</f>
        <v>-403701</v>
      </c>
      <c r="J131" s="30">
        <v>0</v>
      </c>
      <c r="K131" s="115">
        <f t="shared" ref="K131:K133" si="25">I131+J131</f>
        <v>-403701</v>
      </c>
      <c r="M131" s="62"/>
      <c r="P131" s="51"/>
      <c r="Q131" s="18"/>
      <c r="R131" s="58"/>
      <c r="S131" s="18">
        <v>254998</v>
      </c>
    </row>
    <row r="132" spans="1:23" x14ac:dyDescent="0.2">
      <c r="A132" s="100" t="s">
        <v>179</v>
      </c>
      <c r="B132" s="18"/>
      <c r="C132" s="28" t="s">
        <v>47</v>
      </c>
      <c r="D132" s="4" t="s">
        <v>196</v>
      </c>
      <c r="E132" s="32">
        <f>VLOOKUP(A132,'DEK Jul 2017'!$A$1:$I$252,9,FALSE)</f>
        <v>0</v>
      </c>
      <c r="F132" s="30">
        <v>0</v>
      </c>
      <c r="G132" s="152">
        <v>0</v>
      </c>
      <c r="H132" s="33">
        <v>0</v>
      </c>
      <c r="I132" s="115">
        <f>E132+F132+G132+H132</f>
        <v>0</v>
      </c>
      <c r="J132" s="30">
        <v>0</v>
      </c>
      <c r="K132" s="115">
        <f t="shared" si="25"/>
        <v>0</v>
      </c>
      <c r="M132" s="62"/>
      <c r="P132" s="51"/>
      <c r="Q132" s="18"/>
      <c r="R132" s="58"/>
      <c r="S132" s="18">
        <v>254998</v>
      </c>
      <c r="W132" s="47"/>
    </row>
    <row r="133" spans="1:23" x14ac:dyDescent="0.2">
      <c r="A133" s="100" t="s">
        <v>164</v>
      </c>
      <c r="B133" s="18"/>
      <c r="C133" s="28" t="s">
        <v>75</v>
      </c>
      <c r="D133" s="4" t="s">
        <v>215</v>
      </c>
      <c r="E133" s="32">
        <f>VLOOKUP(A133,'DEK Jul 2017'!$A$1:$I$252,9,FALSE)</f>
        <v>-14422.510000000004</v>
      </c>
      <c r="F133" s="30">
        <v>0</v>
      </c>
      <c r="G133" s="33">
        <v>29.6</v>
      </c>
      <c r="H133" s="33">
        <v>0</v>
      </c>
      <c r="I133" s="117">
        <f>E133+F133+G133+H133</f>
        <v>-14392.910000000003</v>
      </c>
      <c r="J133" s="30">
        <v>0</v>
      </c>
      <c r="K133" s="117">
        <f t="shared" si="25"/>
        <v>-14392.910000000003</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6">SUM(E131:E134)</f>
        <v>-14422.510000000004</v>
      </c>
      <c r="F135" s="30">
        <f t="shared" ref="F135:K135" si="27">SUM(F131:F134)</f>
        <v>0</v>
      </c>
      <c r="G135" s="30">
        <f t="shared" si="27"/>
        <v>-403671.4</v>
      </c>
      <c r="H135" s="30">
        <f t="shared" si="27"/>
        <v>0</v>
      </c>
      <c r="I135" s="270">
        <f t="shared" si="27"/>
        <v>-418093.91000000003</v>
      </c>
      <c r="J135" s="30">
        <f t="shared" si="27"/>
        <v>0</v>
      </c>
      <c r="K135" s="270">
        <f t="shared" si="27"/>
        <v>-418093.91000000003</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Jul 2017'!$A$1:$I$252,9,FALSE)</f>
        <v>-18603348.870000005</v>
      </c>
      <c r="F137" s="30">
        <v>0</v>
      </c>
      <c r="G137" s="30">
        <v>-65166</v>
      </c>
      <c r="H137" s="30">
        <v>0</v>
      </c>
      <c r="I137" s="115">
        <f>E137+F137+G137+H137</f>
        <v>-18668514.870000005</v>
      </c>
      <c r="J137" s="30">
        <v>0</v>
      </c>
      <c r="K137" s="115">
        <f t="shared" ref="K137:K143" si="28">I137+J137</f>
        <v>-18668514.870000005</v>
      </c>
      <c r="L137" s="210" t="s">
        <v>241</v>
      </c>
      <c r="M137" s="20"/>
      <c r="N137" s="42"/>
      <c r="O137" s="42"/>
      <c r="Q137" s="291">
        <v>75086</v>
      </c>
      <c r="R137" s="58" t="s">
        <v>44</v>
      </c>
      <c r="S137" s="18">
        <v>108201</v>
      </c>
      <c r="T137" s="58"/>
    </row>
    <row r="138" spans="1:23" x14ac:dyDescent="0.2">
      <c r="A138" s="100" t="s">
        <v>166</v>
      </c>
      <c r="B138" s="18"/>
      <c r="C138" s="28" t="s">
        <v>45</v>
      </c>
      <c r="D138" s="4" t="s">
        <v>295</v>
      </c>
      <c r="E138" s="32">
        <f>VLOOKUP(A138,'DEK Jul 2017'!$A$1:$I$252,9,FALSE)</f>
        <v>-48268319.440000005</v>
      </c>
      <c r="F138" s="30">
        <v>0</v>
      </c>
      <c r="G138" s="30">
        <v>591855.31999999995</v>
      </c>
      <c r="H138" s="30">
        <v>0</v>
      </c>
      <c r="I138" s="115">
        <f t="shared" ref="I138:I143" si="29">E138+F138+G138+H138</f>
        <v>-47676464.120000005</v>
      </c>
      <c r="J138" s="30">
        <v>0</v>
      </c>
      <c r="K138" s="115">
        <f t="shared" si="28"/>
        <v>-47676464.120000005</v>
      </c>
      <c r="L138" s="210" t="s">
        <v>242</v>
      </c>
      <c r="M138" s="20"/>
      <c r="N138" s="42"/>
      <c r="O138" s="42"/>
      <c r="R138" s="58" t="s">
        <v>44</v>
      </c>
      <c r="S138" s="18">
        <v>108301</v>
      </c>
      <c r="T138" s="58"/>
    </row>
    <row r="139" spans="1:23" x14ac:dyDescent="0.2">
      <c r="A139" s="100" t="s">
        <v>167</v>
      </c>
      <c r="B139" s="18"/>
      <c r="C139" s="28" t="s">
        <v>46</v>
      </c>
      <c r="D139" s="4" t="s">
        <v>199</v>
      </c>
      <c r="E139" s="32">
        <f>VLOOKUP(A139,'DEK Jul 2017'!$A$1:$I$252,9,FALSE)</f>
        <v>11302760.949999997</v>
      </c>
      <c r="F139" s="30">
        <v>0</v>
      </c>
      <c r="G139" s="30">
        <v>660246.54</v>
      </c>
      <c r="H139" s="30">
        <v>0</v>
      </c>
      <c r="I139" s="115">
        <f t="shared" si="29"/>
        <v>11963007.489999998</v>
      </c>
      <c r="J139" s="30">
        <v>0</v>
      </c>
      <c r="K139" s="115">
        <f>I139+J139</f>
        <v>11963007.489999998</v>
      </c>
      <c r="L139" s="210" t="s">
        <v>242</v>
      </c>
      <c r="M139" s="20"/>
      <c r="N139" s="42"/>
      <c r="O139" s="42"/>
      <c r="S139" s="18">
        <v>108410</v>
      </c>
      <c r="T139" s="58"/>
    </row>
    <row r="140" spans="1:23" x14ac:dyDescent="0.2">
      <c r="A140" s="100" t="s">
        <v>168</v>
      </c>
      <c r="B140" s="18"/>
      <c r="C140" s="28" t="s">
        <v>74</v>
      </c>
      <c r="D140" s="4" t="s">
        <v>217</v>
      </c>
      <c r="E140" s="32">
        <f>VLOOKUP(A140,'DEK Jul 2017'!$A$1:$I$252,9,FALSE)</f>
        <v>2513733.4699999997</v>
      </c>
      <c r="F140" s="30">
        <v>0</v>
      </c>
      <c r="G140" s="30">
        <v>21947.18</v>
      </c>
      <c r="H140" s="30">
        <v>0</v>
      </c>
      <c r="I140" s="115">
        <f t="shared" si="29"/>
        <v>2535680.65</v>
      </c>
      <c r="J140" s="30">
        <v>0</v>
      </c>
      <c r="K140" s="115">
        <f>I140+J140</f>
        <v>2535680.65</v>
      </c>
      <c r="M140" s="20"/>
      <c r="N140" s="42"/>
      <c r="O140" s="42"/>
      <c r="Q140" s="4" t="s">
        <v>50</v>
      </c>
      <c r="R140" s="4" t="s">
        <v>51</v>
      </c>
      <c r="S140" s="18">
        <v>182303</v>
      </c>
      <c r="T140" s="58"/>
    </row>
    <row r="141" spans="1:23" x14ac:dyDescent="0.2">
      <c r="A141" s="100" t="s">
        <v>169</v>
      </c>
      <c r="B141" s="18"/>
      <c r="C141" s="28" t="s">
        <v>49</v>
      </c>
      <c r="D141" s="4" t="s">
        <v>218</v>
      </c>
      <c r="E141" s="32">
        <f>VLOOKUP(A141,'DEK Jul 2017'!$A$1:$I$252,9,FALSE)</f>
        <v>4829051.4400000032</v>
      </c>
      <c r="F141" s="30">
        <v>0</v>
      </c>
      <c r="G141" s="30">
        <v>29643.67</v>
      </c>
      <c r="H141" s="30">
        <v>0</v>
      </c>
      <c r="I141" s="115">
        <f t="shared" si="29"/>
        <v>4858695.1100000031</v>
      </c>
      <c r="J141" s="30">
        <v>0</v>
      </c>
      <c r="K141" s="115">
        <f t="shared" si="28"/>
        <v>4858695.1100000031</v>
      </c>
      <c r="M141" s="20"/>
      <c r="N141" s="42"/>
      <c r="O141" s="42"/>
      <c r="Q141" s="4" t="s">
        <v>50</v>
      </c>
      <c r="S141" s="18">
        <v>182304</v>
      </c>
      <c r="T141" s="58"/>
    </row>
    <row r="142" spans="1:23" x14ac:dyDescent="0.2">
      <c r="A142" s="100" t="s">
        <v>170</v>
      </c>
      <c r="B142" s="18"/>
      <c r="C142" s="28" t="s">
        <v>42</v>
      </c>
      <c r="D142" s="4" t="s">
        <v>200</v>
      </c>
      <c r="E142" s="32">
        <f>VLOOKUP(A142,'DEK Jul 2017'!$A$1:$I$252,9,FALSE)</f>
        <v>-263725.73000000004</v>
      </c>
      <c r="F142" s="30">
        <v>0</v>
      </c>
      <c r="G142" s="30">
        <v>-6112.76</v>
      </c>
      <c r="H142" s="30">
        <v>0</v>
      </c>
      <c r="I142" s="115">
        <f t="shared" si="29"/>
        <v>-269838.49000000005</v>
      </c>
      <c r="J142" s="30">
        <v>0</v>
      </c>
      <c r="K142" s="115">
        <f t="shared" si="28"/>
        <v>-269838.49000000005</v>
      </c>
      <c r="L142" s="210" t="s">
        <v>241</v>
      </c>
      <c r="M142" s="20"/>
      <c r="N142" s="42"/>
      <c r="O142" s="42"/>
      <c r="R142" s="58" t="s">
        <v>44</v>
      </c>
      <c r="S142" s="18">
        <v>108101</v>
      </c>
      <c r="T142" s="58"/>
    </row>
    <row r="143" spans="1:23" x14ac:dyDescent="0.2">
      <c r="A143" s="100" t="s">
        <v>272</v>
      </c>
      <c r="B143" s="18"/>
      <c r="C143" s="28" t="s">
        <v>271</v>
      </c>
      <c r="D143" s="4" t="s">
        <v>272</v>
      </c>
      <c r="E143" s="32">
        <f>VLOOKUP(A143,'DEK Jul 2017'!$A$1:$I$252,9,FALSE)</f>
        <v>751.54</v>
      </c>
      <c r="F143" s="30">
        <v>0</v>
      </c>
      <c r="G143" s="30">
        <v>0</v>
      </c>
      <c r="H143" s="30">
        <v>0</v>
      </c>
      <c r="I143" s="115">
        <f t="shared" si="29"/>
        <v>751.54</v>
      </c>
      <c r="J143" s="30">
        <v>0</v>
      </c>
      <c r="K143" s="115">
        <f t="shared" si="28"/>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0">SUM(E137:E144)</f>
        <v>-48489096.640000008</v>
      </c>
      <c r="F145" s="33">
        <f t="shared" si="30"/>
        <v>0</v>
      </c>
      <c r="G145" s="33">
        <f t="shared" si="30"/>
        <v>1232413.9499999997</v>
      </c>
      <c r="H145" s="33">
        <f t="shared" si="30"/>
        <v>0</v>
      </c>
      <c r="I145" s="269">
        <f t="shared" si="30"/>
        <v>-47256682.690000013</v>
      </c>
      <c r="J145" s="33">
        <f t="shared" si="30"/>
        <v>0</v>
      </c>
      <c r="K145" s="269">
        <f t="shared" si="30"/>
        <v>-47256682.690000013</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-56380838.95000001</v>
      </c>
      <c r="F147" s="133">
        <f t="shared" ref="F147" si="31">+F119+F127+F135+F145+F124</f>
        <v>0</v>
      </c>
      <c r="G147" s="133">
        <f>+G119+G129+G135+G145+G124</f>
        <v>4409293.92</v>
      </c>
      <c r="H147" s="133">
        <f>+H119+H129+H135+H145+H124</f>
        <v>-377134.8</v>
      </c>
      <c r="I147" s="134">
        <f>+I119+I129+I135+I145+I124</f>
        <v>-52348679.830000013</v>
      </c>
      <c r="J147" s="133">
        <f>+J119+J127+J135+J145+J124</f>
        <v>0</v>
      </c>
      <c r="K147" s="134">
        <f>+K119+K129+K135+K145+K124</f>
        <v>-52348679.830000013</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49350348.68999999</v>
      </c>
      <c r="F149" s="137">
        <f>F147+F107</f>
        <v>0</v>
      </c>
      <c r="G149" s="137">
        <f>G147+G107</f>
        <v>6509633.8599999994</v>
      </c>
      <c r="H149" s="137">
        <f>H147+H107</f>
        <v>-399340.95</v>
      </c>
      <c r="I149" s="138">
        <f>I107+I147</f>
        <v>55460641.600000009</v>
      </c>
      <c r="J149" s="137">
        <f>J147+J107</f>
        <v>0</v>
      </c>
      <c r="K149" s="138">
        <f>K107+K147</f>
        <v>62674816.599999994</v>
      </c>
      <c r="L149" s="50">
        <v>0</v>
      </c>
      <c r="M149" s="70"/>
      <c r="N149" s="70"/>
      <c r="O149" s="70"/>
      <c r="P149" s="50"/>
      <c r="Q149" s="50"/>
      <c r="R149" s="50"/>
      <c r="S149" s="18"/>
      <c r="T149" s="29">
        <f>+G149+H149+F149</f>
        <v>6110292.9099999992</v>
      </c>
      <c r="U149" s="19">
        <v>13111056.41</v>
      </c>
      <c r="V149" s="29">
        <f>+T149-U149</f>
        <v>-7000763.5000000009</v>
      </c>
    </row>
    <row r="150" spans="1:22" hidden="1"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G149+H149-G71</f>
        <v>6110292.9099999992</v>
      </c>
      <c r="H152" s="145"/>
      <c r="I152" s="145">
        <f>I149-G153</f>
        <v>55460641.600000009</v>
      </c>
      <c r="J152" s="50"/>
      <c r="K152" s="50"/>
      <c r="M152" s="20"/>
      <c r="S152" s="18"/>
    </row>
    <row r="153" spans="1:22" ht="12.75" customHeight="1" x14ac:dyDescent="0.2">
      <c r="A153" s="107" t="s">
        <v>58</v>
      </c>
      <c r="B153" s="18"/>
      <c r="C153" s="71"/>
      <c r="D153" s="168" t="s">
        <v>296</v>
      </c>
      <c r="E153" s="73"/>
      <c r="F153" s="50"/>
      <c r="G153" s="152">
        <f>G71</f>
        <v>0</v>
      </c>
      <c r="H153" s="50"/>
      <c r="I153" s="50"/>
      <c r="J153" s="50"/>
      <c r="K153" s="30"/>
      <c r="M153" s="20"/>
      <c r="S153" s="71"/>
    </row>
    <row r="154" spans="1:22" ht="12.75" customHeight="1" x14ac:dyDescent="0.2">
      <c r="A154" s="107"/>
      <c r="B154" s="18"/>
      <c r="C154" s="18"/>
      <c r="D154" s="72"/>
      <c r="E154" s="83"/>
      <c r="F154" s="50"/>
      <c r="G154" s="145">
        <f>SUM(G152:G153)</f>
        <v>6110292.9099999992</v>
      </c>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2">+F105+F106</f>
        <v>0</v>
      </c>
      <c r="G178" s="165"/>
      <c r="H178" s="83"/>
      <c r="I178" s="84">
        <f>+I19</f>
        <v>1705885.81</v>
      </c>
      <c r="J178" s="84">
        <f>+J19</f>
        <v>2752358.04</v>
      </c>
      <c r="K178" s="84">
        <f>+K19</f>
        <v>4458243.8499999996</v>
      </c>
      <c r="M178" s="20"/>
      <c r="S178" s="18"/>
    </row>
    <row r="179" spans="1:19" hidden="1" x14ac:dyDescent="0.2">
      <c r="A179" s="109" t="s">
        <v>141</v>
      </c>
      <c r="B179" s="18"/>
      <c r="C179" s="18"/>
      <c r="D179" s="82" t="s">
        <v>141</v>
      </c>
      <c r="E179" s="83">
        <f>+E24</f>
        <v>1299462.6200000013</v>
      </c>
      <c r="F179" s="32">
        <f t="shared" si="32"/>
        <v>0</v>
      </c>
      <c r="G179" s="165"/>
      <c r="H179" s="83"/>
      <c r="I179" s="84">
        <f>+I24</f>
        <v>1277256.4700000014</v>
      </c>
      <c r="J179" s="84">
        <f>+J24</f>
        <v>-266474.03999999998</v>
      </c>
      <c r="K179" s="84">
        <f>+K24</f>
        <v>1010782.4300000013</v>
      </c>
      <c r="M179" s="20"/>
      <c r="S179" s="18"/>
    </row>
    <row r="180" spans="1:19" hidden="1" x14ac:dyDescent="0.2">
      <c r="A180" s="109" t="s">
        <v>61</v>
      </c>
      <c r="B180" s="18"/>
      <c r="C180" s="18"/>
      <c r="D180" s="82" t="s">
        <v>61</v>
      </c>
      <c r="E180" s="32">
        <f>+E30</f>
        <v>1873083.2000000002</v>
      </c>
      <c r="F180" s="32">
        <f t="shared" si="32"/>
        <v>0</v>
      </c>
      <c r="G180" s="157"/>
      <c r="H180" s="32"/>
      <c r="I180" s="84">
        <f>+I30</f>
        <v>2320480.2000000002</v>
      </c>
      <c r="J180" s="84">
        <f>+J30</f>
        <v>0</v>
      </c>
      <c r="K180" s="84">
        <f>+K30</f>
        <v>2320480.2000000002</v>
      </c>
      <c r="M180" s="20"/>
      <c r="S180" s="18"/>
    </row>
    <row r="181" spans="1:19" hidden="1" x14ac:dyDescent="0.2">
      <c r="A181" s="109" t="s">
        <v>143</v>
      </c>
      <c r="B181" s="18"/>
      <c r="C181" s="18"/>
      <c r="D181" s="82" t="s">
        <v>143</v>
      </c>
      <c r="E181" s="32">
        <f>+E86</f>
        <v>56636159.579999998</v>
      </c>
      <c r="F181" s="32">
        <f t="shared" si="32"/>
        <v>0</v>
      </c>
      <c r="G181" s="157"/>
      <c r="H181" s="32"/>
      <c r="I181" s="84">
        <f>+I86</f>
        <v>58147953.400000006</v>
      </c>
      <c r="J181" s="84">
        <f>+J86</f>
        <v>-2485884</v>
      </c>
      <c r="K181" s="84">
        <f>+K86</f>
        <v>62876244.400000006</v>
      </c>
      <c r="M181" s="20"/>
      <c r="S181" s="18"/>
    </row>
    <row r="182" spans="1:19" hidden="1" x14ac:dyDescent="0.2">
      <c r="A182" s="109" t="s">
        <v>151</v>
      </c>
      <c r="B182" s="18"/>
      <c r="C182" s="18"/>
      <c r="D182" s="82" t="s">
        <v>151</v>
      </c>
      <c r="E182" s="32">
        <f>+E101</f>
        <v>30393298.040000003</v>
      </c>
      <c r="F182" s="32">
        <f t="shared" si="32"/>
        <v>0</v>
      </c>
      <c r="G182" s="157"/>
      <c r="H182" s="32"/>
      <c r="I182" s="84">
        <f>+I101</f>
        <v>30218089.040000003</v>
      </c>
      <c r="J182" s="84">
        <f>+J101</f>
        <v>0</v>
      </c>
      <c r="K182" s="84">
        <f>+K101</f>
        <v>30218089.040000003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-2682677.0699999998</v>
      </c>
      <c r="F184" s="32" t="e">
        <f>+F111+#REF!</f>
        <v>#REF!</v>
      </c>
      <c r="G184" s="157"/>
      <c r="H184" s="32"/>
      <c r="I184" s="84">
        <f>+I119</f>
        <v>470020.50000000023</v>
      </c>
      <c r="J184" s="84">
        <f>+J119</f>
        <v>0</v>
      </c>
      <c r="K184" s="84">
        <f>+K119</f>
        <v>470020.50000000023</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-14422.510000000004</v>
      </c>
      <c r="F187" s="32" t="e">
        <f>+#REF!+F112</f>
        <v>#REF!</v>
      </c>
      <c r="G187" s="157"/>
      <c r="H187" s="32"/>
      <c r="I187" s="84">
        <f>+I135</f>
        <v>-418093.91000000003</v>
      </c>
      <c r="J187" s="84">
        <f>+J135</f>
        <v>0</v>
      </c>
      <c r="K187" s="84">
        <f>+K135</f>
        <v>-418093.91000000003</v>
      </c>
      <c r="M187" s="20"/>
      <c r="S187" s="18"/>
    </row>
    <row r="188" spans="1:19" hidden="1" x14ac:dyDescent="0.2">
      <c r="A188" s="109" t="s">
        <v>155</v>
      </c>
      <c r="B188" s="18"/>
      <c r="C188" s="18"/>
      <c r="D188" s="82" t="s">
        <v>155</v>
      </c>
      <c r="E188" s="32">
        <f>+E145</f>
        <v>-48489096.640000008</v>
      </c>
      <c r="F188" s="32">
        <f t="shared" ref="F188" si="33">+F112+F113</f>
        <v>0</v>
      </c>
      <c r="G188" s="157"/>
      <c r="H188" s="32"/>
      <c r="I188" s="84">
        <f>+I145</f>
        <v>-47256682.690000013</v>
      </c>
      <c r="J188" s="84">
        <f>+J145</f>
        <v>0</v>
      </c>
      <c r="K188" s="84">
        <f>+K145</f>
        <v>-47256682.690000013</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40721693.029999994</v>
      </c>
      <c r="F190" s="88" t="e">
        <f>SUM(F180:F189)</f>
        <v>#REF!</v>
      </c>
      <c r="G190" s="166"/>
      <c r="H190" s="88"/>
      <c r="I190" s="89">
        <f>SUM(I176:I189)</f>
        <v>46464908.820000008</v>
      </c>
      <c r="J190" s="89">
        <f>SUM(J176:J189)</f>
        <v>0</v>
      </c>
      <c r="K190" s="89">
        <f>SUM(K176:K189)</f>
        <v>53679083.820000008</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-8628655.6599999964</v>
      </c>
      <c r="F192" s="19"/>
      <c r="G192" s="148"/>
      <c r="H192" s="19"/>
      <c r="I192" s="19">
        <f>+I190-I149</f>
        <v>-8995732.7800000012</v>
      </c>
      <c r="J192" s="19">
        <f>+J190-J149</f>
        <v>0</v>
      </c>
      <c r="K192" s="19">
        <f>+K190-K149</f>
        <v>-8995732.7799999863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+G34+G42+G44+G46+G48+G93+G57+G59+G15+G50+G66+G55+G65</f>
        <v>44727</v>
      </c>
      <c r="H196" s="19">
        <f>+H34+H52+H42+H44+H46+H48+H93+H57+H59+H15+H50+H66+H55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3529832.37</v>
      </c>
      <c r="H198" s="19">
        <f>+H111+H112+H113+H114+H110</f>
        <v>-377134.8</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3574559.37</v>
      </c>
      <c r="H200" s="110">
        <f>+H196+H197+H198-H153</f>
        <v>-377134.8</v>
      </c>
      <c r="I200" s="19"/>
      <c r="J200" s="19"/>
      <c r="K200" s="19"/>
      <c r="M200" s="20"/>
      <c r="S200" s="18"/>
    </row>
    <row r="201" spans="1:19" hidden="1" x14ac:dyDescent="0.2">
      <c r="B201" s="18"/>
      <c r="C201" s="18"/>
      <c r="F201" s="19"/>
      <c r="H201" s="29">
        <f>+H197+H198+H196+G196+G197+G198</f>
        <v>3197424.5700000003</v>
      </c>
      <c r="I201" s="19"/>
      <c r="J201" s="19"/>
      <c r="K201" s="19"/>
      <c r="M201" s="20"/>
      <c r="S201" s="18"/>
    </row>
    <row r="202" spans="1:19" hidden="1" x14ac:dyDescent="0.2">
      <c r="B202" s="18"/>
      <c r="C202" s="18"/>
      <c r="F202" s="19"/>
      <c r="G202" s="148"/>
      <c r="H202" s="29">
        <f>+H201-G153-H153</f>
        <v>3197424.5700000003</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332"/>
  <sheetViews>
    <sheetView topLeftCell="A115"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2" t="s">
        <v>66</v>
      </c>
    </row>
    <row r="4" spans="1:22" x14ac:dyDescent="0.2">
      <c r="A4" s="99"/>
      <c r="B4" s="7"/>
      <c r="C4" s="3"/>
      <c r="D4" s="3"/>
      <c r="E4" s="212"/>
      <c r="F4" s="8"/>
      <c r="G4" s="215"/>
      <c r="H4" s="216"/>
      <c r="I4" s="202"/>
      <c r="J4" s="202"/>
      <c r="K4" s="202"/>
      <c r="M4" s="10"/>
      <c r="P4" s="292" t="s">
        <v>1</v>
      </c>
    </row>
    <row r="5" spans="1:22" x14ac:dyDescent="0.2">
      <c r="E5" s="217" t="s">
        <v>208</v>
      </c>
      <c r="F5" s="292" t="s">
        <v>3</v>
      </c>
      <c r="G5" s="292" t="s">
        <v>4</v>
      </c>
      <c r="H5" s="292"/>
      <c r="I5" s="204" t="s">
        <v>208</v>
      </c>
      <c r="J5" s="261" t="s">
        <v>180</v>
      </c>
      <c r="K5" s="204" t="s">
        <v>209</v>
      </c>
      <c r="L5" s="292" t="s">
        <v>5</v>
      </c>
      <c r="M5" s="11" t="s">
        <v>6</v>
      </c>
      <c r="N5" s="11" t="s">
        <v>0</v>
      </c>
      <c r="O5" s="11" t="s">
        <v>8</v>
      </c>
      <c r="P5" s="292" t="s">
        <v>9</v>
      </c>
      <c r="Q5" s="576" t="s">
        <v>10</v>
      </c>
      <c r="R5" s="576"/>
      <c r="U5" s="12" t="s">
        <v>11</v>
      </c>
    </row>
    <row r="6" spans="1:22" x14ac:dyDescent="0.2">
      <c r="E6" s="218">
        <v>42916</v>
      </c>
      <c r="F6" s="13" t="s">
        <v>12</v>
      </c>
      <c r="G6" s="14" t="s">
        <v>13</v>
      </c>
      <c r="H6" s="14" t="s">
        <v>8</v>
      </c>
      <c r="I6" s="205">
        <v>43008</v>
      </c>
      <c r="J6" s="261" t="s">
        <v>210</v>
      </c>
      <c r="K6" s="205">
        <f>I6</f>
        <v>43008</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f>VLOOKUP(A9,'DEK Q2 2017'!$A$1:$I$251,9,FALSE)</f>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f>VLOOKUP(A10,'DEK Q2 2017'!$A$1:$I$251,9,FALSE)</f>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f>SUM(E9:E11)</f>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f>VLOOKUP(A15,'DEK Q2 2017'!$A$1:$I$251,9,FALSE)</f>
        <v>357622.81000000006</v>
      </c>
      <c r="F15" s="30">
        <v>0</v>
      </c>
      <c r="G15" s="33">
        <v>261187</v>
      </c>
      <c r="H15" s="30">
        <v>0</v>
      </c>
      <c r="I15" s="115">
        <f>E15+F15+G15+H15</f>
        <v>618809.81000000006</v>
      </c>
      <c r="J15" s="30">
        <v>0</v>
      </c>
      <c r="K15" s="115">
        <f>I15+J15</f>
        <v>618809.81000000006</v>
      </c>
      <c r="L15" s="210" t="s">
        <v>22</v>
      </c>
      <c r="M15" s="20"/>
      <c r="S15" s="18"/>
    </row>
    <row r="16" spans="1:22" x14ac:dyDescent="0.2">
      <c r="A16" s="100" t="s">
        <v>157</v>
      </c>
      <c r="B16" s="28"/>
      <c r="C16" s="28" t="s">
        <v>37</v>
      </c>
      <c r="D16" s="4" t="s">
        <v>192</v>
      </c>
      <c r="E16" s="32">
        <f>VLOOKUP(A16,'DEK Q2 2017'!$A$1:$I$251,9,FALSE)</f>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f>VLOOKUP(A17,'DEK Q2 2017'!$A$1:$I$251,9,FALSE)</f>
        <v>0</v>
      </c>
      <c r="F17" s="30">
        <v>0</v>
      </c>
      <c r="G17" s="33">
        <v>0</v>
      </c>
      <c r="H17" s="33">
        <v>0</v>
      </c>
      <c r="I17" s="115">
        <f>E17+F17+G17+H17</f>
        <v>0</v>
      </c>
      <c r="J17" s="268">
        <v>2006593.04</v>
      </c>
      <c r="K17" s="115">
        <f t="shared" ref="K17" si="1">I17+J17</f>
        <v>2006593.04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f>SUM(E15:E18)</f>
        <v>1705885.81</v>
      </c>
      <c r="F19" s="29">
        <f t="shared" ref="F19:J19" si="2">SUM(F15:F18)</f>
        <v>0</v>
      </c>
      <c r="G19" s="29">
        <f t="shared" si="2"/>
        <v>261187</v>
      </c>
      <c r="H19" s="29">
        <f t="shared" si="2"/>
        <v>0</v>
      </c>
      <c r="I19" s="269">
        <f t="shared" si="2"/>
        <v>1967072.81</v>
      </c>
      <c r="J19" s="49">
        <f t="shared" si="2"/>
        <v>2006593.04</v>
      </c>
      <c r="K19" s="269">
        <f>SUM(K15:K18)</f>
        <v>3973665.85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f>VLOOKUP(A22,'DEK Q2 2017'!$A$1:$I$251,9,FALSE)</f>
        <v>1321668.7700000012</v>
      </c>
      <c r="F22" s="33">
        <v>0</v>
      </c>
      <c r="G22" s="33">
        <v>0</v>
      </c>
      <c r="H22" s="33">
        <v>-66618.490000000005</v>
      </c>
      <c r="I22" s="115">
        <f>E22+F22+G22+H22</f>
        <v>1255050.2800000012</v>
      </c>
      <c r="J22" s="30">
        <v>-266474.03999999998</v>
      </c>
      <c r="K22" s="115">
        <f>I22+J22</f>
        <v>988576.24000000115</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f>SUM(E22:E23)</f>
        <v>1321668.7700000012</v>
      </c>
      <c r="F24" s="29">
        <f t="shared" ref="F24:K24" si="3">SUM(F22:F23)</f>
        <v>0</v>
      </c>
      <c r="G24" s="29">
        <f t="shared" si="3"/>
        <v>0</v>
      </c>
      <c r="H24" s="29">
        <f t="shared" si="3"/>
        <v>-66618.490000000005</v>
      </c>
      <c r="I24" s="269">
        <f t="shared" si="3"/>
        <v>1255050.2800000012</v>
      </c>
      <c r="J24" s="49">
        <f t="shared" si="3"/>
        <v>-266474.03999999998</v>
      </c>
      <c r="K24" s="269">
        <f t="shared" si="3"/>
        <v>988576.24000000115</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f>VLOOKUP(A27,'DEK Q2 2017'!$A$1:$I$251,9,FALSE)</f>
        <v>2284958</v>
      </c>
      <c r="F27" s="33">
        <v>0</v>
      </c>
      <c r="G27" s="33">
        <v>53282</v>
      </c>
      <c r="H27" s="29">
        <v>0</v>
      </c>
      <c r="I27" s="115">
        <f>E27+F27+G27+H27</f>
        <v>2338240</v>
      </c>
      <c r="J27" s="33">
        <v>0</v>
      </c>
      <c r="K27" s="115">
        <f>I27+J27</f>
        <v>2338240</v>
      </c>
      <c r="L27" s="210" t="s">
        <v>22</v>
      </c>
      <c r="M27" s="226"/>
      <c r="S27" s="28" t="s">
        <v>23</v>
      </c>
    </row>
    <row r="28" spans="1:21" ht="13.5" customHeight="1" x14ac:dyDescent="0.2">
      <c r="A28" s="100" t="s">
        <v>80</v>
      </c>
      <c r="B28" s="28"/>
      <c r="C28" s="28" t="s">
        <v>24</v>
      </c>
      <c r="D28" s="4" t="s">
        <v>204</v>
      </c>
      <c r="E28" s="32">
        <f>VLOOKUP(A28,'DEK Q2 2017'!$A$1:$I$251,9,FALSE)</f>
        <v>-411874.79999999981</v>
      </c>
      <c r="F28" s="33">
        <v>0</v>
      </c>
      <c r="G28" s="33">
        <v>12262</v>
      </c>
      <c r="H28" s="32">
        <v>0</v>
      </c>
      <c r="I28" s="115">
        <f>E28+F28+G28+H28</f>
        <v>-399612.79999999981</v>
      </c>
      <c r="J28" s="33">
        <v>0</v>
      </c>
      <c r="K28" s="115">
        <f>I28+J28</f>
        <v>-399612.79999999981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f>SUM(E27:E29)</f>
        <v>1873083.2000000002</v>
      </c>
      <c r="F30" s="44">
        <f t="shared" ref="F30:K30" si="4">SUM(F27:F28)</f>
        <v>0</v>
      </c>
      <c r="G30" s="33">
        <f t="shared" si="4"/>
        <v>65544</v>
      </c>
      <c r="H30" s="33">
        <f t="shared" si="4"/>
        <v>0</v>
      </c>
      <c r="I30" s="269">
        <f t="shared" si="4"/>
        <v>1938627.2000000002</v>
      </c>
      <c r="J30" s="33">
        <f t="shared" si="4"/>
        <v>0</v>
      </c>
      <c r="K30" s="269">
        <f t="shared" si="4"/>
        <v>1938627.2000000002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f>VLOOKUP(A52,'DEK Q2 2017'!$A$1:$I$251,9,FALSE)</f>
        <v>3009391.8300000019</v>
      </c>
      <c r="F52" s="33">
        <v>0</v>
      </c>
      <c r="G52" s="33">
        <v>-954283.86</v>
      </c>
      <c r="H52" s="33">
        <v>0</v>
      </c>
      <c r="I52" s="115">
        <f>E52+F52+G52+H52</f>
        <v>2055107.9700000021</v>
      </c>
      <c r="J52" s="30">
        <v>-1740119</v>
      </c>
      <c r="K52" s="255">
        <f>I52+J52</f>
        <v>314988.97000000207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f>VLOOKUP(A53,'DEK Q2 2017'!$A$1:$I$251,9,FALSE)</f>
        <v>5020179</v>
      </c>
      <c r="F53" s="33">
        <v>0</v>
      </c>
      <c r="G53" s="33">
        <v>-341006</v>
      </c>
      <c r="H53" s="33">
        <v>0</v>
      </c>
      <c r="I53" s="115">
        <f>E53+F53+G53+H53</f>
        <v>4679173</v>
      </c>
      <c r="J53" s="33">
        <v>0</v>
      </c>
      <c r="K53" s="255">
        <f>I53+J53</f>
        <v>4679173</v>
      </c>
      <c r="L53" s="210" t="s">
        <v>22</v>
      </c>
      <c r="M53" s="6" t="s">
        <v>110</v>
      </c>
      <c r="N53" s="6" t="s">
        <v>111</v>
      </c>
      <c r="S53" s="18">
        <v>182410</v>
      </c>
    </row>
    <row r="54" spans="1:23" x14ac:dyDescent="0.2">
      <c r="B54" s="28"/>
      <c r="C54" s="28"/>
      <c r="E54" s="32">
        <v>0</v>
      </c>
      <c r="F54" s="33"/>
      <c r="G54" s="33"/>
      <c r="H54" s="33"/>
      <c r="I54" s="115"/>
      <c r="J54" s="33"/>
      <c r="K54" s="115"/>
      <c r="S54" s="18"/>
    </row>
    <row r="55" spans="1:23"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x14ac:dyDescent="0.2">
      <c r="B56" s="28"/>
      <c r="C56" s="28"/>
      <c r="E56" s="32">
        <v>0</v>
      </c>
      <c r="F56" s="33"/>
      <c r="G56" s="33"/>
      <c r="H56" s="33"/>
      <c r="I56" s="115"/>
      <c r="J56" s="33"/>
      <c r="K56" s="115"/>
      <c r="S56" s="18"/>
      <c r="W56" s="47"/>
    </row>
    <row r="57" spans="1:23" x14ac:dyDescent="0.2">
      <c r="A57" s="100" t="s">
        <v>132</v>
      </c>
      <c r="B57" s="28"/>
      <c r="C57" s="28" t="s">
        <v>131</v>
      </c>
      <c r="D57" s="4" t="s">
        <v>132</v>
      </c>
      <c r="E57" s="32">
        <f>VLOOKUP(A57,'DEK Mar 2015'!$A$1:$I$252,9,FALSE)</f>
        <v>0</v>
      </c>
      <c r="F57" s="33">
        <v>0</v>
      </c>
      <c r="G57" s="33">
        <v>0</v>
      </c>
      <c r="H57" s="33">
        <v>0</v>
      </c>
      <c r="I57" s="115">
        <f>E57+F57+G57+H57</f>
        <v>0</v>
      </c>
      <c r="J57" s="33">
        <v>0</v>
      </c>
      <c r="K57" s="115">
        <f>I57+J57</f>
        <v>0</v>
      </c>
      <c r="S57" s="18"/>
    </row>
    <row r="58" spans="1:23" x14ac:dyDescent="0.2">
      <c r="B58" s="28"/>
      <c r="C58" s="28"/>
      <c r="E58" s="32" t="s">
        <v>222</v>
      </c>
      <c r="F58" s="33"/>
      <c r="G58" s="33"/>
      <c r="H58" s="33"/>
      <c r="I58" s="115"/>
      <c r="J58" s="33"/>
      <c r="K58" s="115"/>
      <c r="S58" s="18"/>
    </row>
    <row r="59" spans="1:23" x14ac:dyDescent="0.2">
      <c r="A59" s="100" t="s">
        <v>134</v>
      </c>
      <c r="B59" s="28"/>
      <c r="C59" s="28" t="s">
        <v>133</v>
      </c>
      <c r="D59" s="4" t="s">
        <v>205</v>
      </c>
      <c r="E59" s="32">
        <f>VLOOKUP(A59,'DEK Q2 2017'!$A$1:$I$251,9,FALSE)</f>
        <v>1700000</v>
      </c>
      <c r="F59" s="33">
        <v>0</v>
      </c>
      <c r="G59" s="33">
        <v>50000</v>
      </c>
      <c r="H59" s="33">
        <v>0</v>
      </c>
      <c r="I59" s="115">
        <f>E59+F59+G59+H59</f>
        <v>1750000</v>
      </c>
      <c r="J59" s="33">
        <v>0</v>
      </c>
      <c r="K59" s="255">
        <f>I59+J59</f>
        <v>1750000</v>
      </c>
      <c r="L59" s="210" t="s">
        <v>22</v>
      </c>
      <c r="M59" s="20" t="s">
        <v>249</v>
      </c>
      <c r="S59" s="18"/>
    </row>
    <row r="60" spans="1:23" x14ac:dyDescent="0.2">
      <c r="B60" s="28"/>
      <c r="C60" s="28"/>
      <c r="E60" s="32"/>
      <c r="F60" s="33"/>
      <c r="G60" s="33"/>
      <c r="H60" s="33"/>
      <c r="I60" s="115"/>
      <c r="J60" s="33"/>
      <c r="K60" s="115"/>
      <c r="L60" s="210"/>
      <c r="M60" s="20"/>
      <c r="S60" s="18"/>
    </row>
    <row r="61" spans="1:23" ht="25.5" x14ac:dyDescent="0.2">
      <c r="B61" s="28"/>
      <c r="C61" s="28" t="s">
        <v>299</v>
      </c>
      <c r="D61" s="4" t="s">
        <v>302</v>
      </c>
      <c r="E61" s="32">
        <v>0</v>
      </c>
      <c r="F61" s="33"/>
      <c r="G61" s="33">
        <v>54395.92</v>
      </c>
      <c r="H61" s="33">
        <v>0</v>
      </c>
      <c r="I61" s="115">
        <f t="shared" ref="I61" si="5">E61+F61+G61+H61</f>
        <v>54395.92</v>
      </c>
      <c r="J61" s="33">
        <v>0</v>
      </c>
      <c r="K61" s="115">
        <f t="shared" ref="K61" si="6">I61+J61</f>
        <v>54395.92</v>
      </c>
      <c r="L61" s="210"/>
      <c r="M61" s="20"/>
      <c r="N61" s="6" t="s">
        <v>303</v>
      </c>
      <c r="S61" s="18"/>
    </row>
    <row r="62" spans="1:23" x14ac:dyDescent="0.2">
      <c r="B62" s="28"/>
      <c r="C62" s="28"/>
      <c r="E62" s="32" t="s">
        <v>222</v>
      </c>
      <c r="F62" s="33"/>
      <c r="G62" s="33"/>
      <c r="H62" s="33"/>
      <c r="I62" s="115"/>
      <c r="J62" s="33"/>
      <c r="K62" s="115"/>
      <c r="S62" s="18"/>
    </row>
    <row r="63" spans="1:23" x14ac:dyDescent="0.2">
      <c r="A63" s="100" t="s">
        <v>175</v>
      </c>
      <c r="B63" s="28"/>
      <c r="C63" s="28" t="s">
        <v>176</v>
      </c>
      <c r="D63" s="4" t="s">
        <v>175</v>
      </c>
      <c r="E63" s="32">
        <f>VLOOKUP(A63,'DEK Mar 2015'!$A$1:$I$252,9,FALSE)</f>
        <v>0</v>
      </c>
      <c r="F63" s="33">
        <v>0</v>
      </c>
      <c r="G63" s="33">
        <v>0</v>
      </c>
      <c r="H63" s="33">
        <v>0</v>
      </c>
      <c r="I63" s="115">
        <v>0</v>
      </c>
      <c r="J63" s="33">
        <v>0</v>
      </c>
      <c r="K63" s="115">
        <v>0</v>
      </c>
      <c r="S63" s="18"/>
      <c r="W63" s="47"/>
    </row>
    <row r="64" spans="1:23" x14ac:dyDescent="0.2">
      <c r="B64" s="28"/>
      <c r="C64" s="28"/>
      <c r="E64" s="32">
        <v>0</v>
      </c>
      <c r="F64" s="33"/>
      <c r="G64" s="33"/>
      <c r="H64" s="33"/>
      <c r="I64" s="115"/>
      <c r="J64" s="33"/>
      <c r="K64" s="115"/>
      <c r="S64" s="18"/>
      <c r="W64" s="47"/>
    </row>
    <row r="65" spans="1:19" x14ac:dyDescent="0.2">
      <c r="A65" s="100" t="s">
        <v>39</v>
      </c>
      <c r="B65" s="28"/>
      <c r="C65" s="28" t="s">
        <v>38</v>
      </c>
      <c r="D65" s="4" t="s">
        <v>39</v>
      </c>
      <c r="E65" s="32">
        <f>VLOOKUP(A65,'DEK Q2 2017'!$A$1:$I$251,9,FALSE)</f>
        <v>4912684</v>
      </c>
      <c r="F65" s="33">
        <v>0</v>
      </c>
      <c r="G65" s="44">
        <v>0</v>
      </c>
      <c r="H65" s="33">
        <v>0</v>
      </c>
      <c r="I65" s="115">
        <f>E65+F65+G65+H65</f>
        <v>4912684</v>
      </c>
      <c r="J65" s="33">
        <v>0</v>
      </c>
      <c r="K65" s="255">
        <f>I65+J65</f>
        <v>4912684</v>
      </c>
      <c r="L65" s="210" t="s">
        <v>22</v>
      </c>
      <c r="M65" s="20" t="s">
        <v>112</v>
      </c>
      <c r="S65" s="18"/>
    </row>
    <row r="66" spans="1:19" x14ac:dyDescent="0.2">
      <c r="B66" s="28"/>
      <c r="C66" s="28"/>
      <c r="E66" s="32">
        <v>0</v>
      </c>
      <c r="F66" s="33"/>
      <c r="G66" s="33"/>
      <c r="H66" s="33"/>
      <c r="I66" s="115">
        <f t="shared" ref="I66:I75" si="7">E66+F66+G66+H66</f>
        <v>0</v>
      </c>
      <c r="J66" s="33"/>
      <c r="K66" s="115">
        <f t="shared" ref="K66:K75" si="8">I66+J66</f>
        <v>0</v>
      </c>
      <c r="M66" s="20"/>
      <c r="S66" s="18"/>
    </row>
    <row r="67" spans="1:19" ht="12.75" customHeight="1" x14ac:dyDescent="0.2">
      <c r="A67" s="100" t="s">
        <v>178</v>
      </c>
      <c r="B67" s="28"/>
      <c r="C67" s="28" t="s">
        <v>177</v>
      </c>
      <c r="D67" s="4" t="s">
        <v>178</v>
      </c>
      <c r="E67" s="32">
        <f>VLOOKUP(A67,'DEK Mar 2015'!$A$1:$I$252,9,FALSE)</f>
        <v>0</v>
      </c>
      <c r="F67" s="33">
        <v>0</v>
      </c>
      <c r="G67" s="44">
        <v>0</v>
      </c>
      <c r="H67" s="33">
        <v>0</v>
      </c>
      <c r="I67" s="115">
        <f t="shared" si="7"/>
        <v>0</v>
      </c>
      <c r="J67" s="33">
        <f>F67+G67+H67+I67</f>
        <v>0</v>
      </c>
      <c r="K67" s="115">
        <f t="shared" si="8"/>
        <v>0</v>
      </c>
      <c r="M67" s="20"/>
      <c r="S67" s="18"/>
    </row>
    <row r="68" spans="1:19" ht="12.75" customHeight="1" x14ac:dyDescent="0.2">
      <c r="B68" s="28"/>
      <c r="C68" s="28"/>
      <c r="E68" s="32" t="s">
        <v>222</v>
      </c>
      <c r="F68" s="33"/>
      <c r="G68" s="44"/>
      <c r="H68" s="33"/>
      <c r="I68" s="115"/>
      <c r="J68" s="33"/>
      <c r="K68" s="115"/>
      <c r="M68" s="20"/>
      <c r="S68" s="18"/>
    </row>
    <row r="69" spans="1:19" ht="15.75" customHeight="1" x14ac:dyDescent="0.35">
      <c r="A69" s="100" t="s">
        <v>231</v>
      </c>
      <c r="B69" s="28"/>
      <c r="C69" s="28" t="s">
        <v>229</v>
      </c>
      <c r="D69" s="4" t="s">
        <v>230</v>
      </c>
      <c r="E69" s="32">
        <f>VLOOKUP(A69,'DEK Q2 2017'!$A$1:$I$251,9,FALSE)</f>
        <v>28819714.289999999</v>
      </c>
      <c r="F69" s="172"/>
      <c r="G69" s="33">
        <v>2418022.7599999998</v>
      </c>
      <c r="H69" s="172">
        <v>0</v>
      </c>
      <c r="I69" s="115">
        <f t="shared" si="7"/>
        <v>31237737.049999997</v>
      </c>
      <c r="J69" s="33">
        <v>0</v>
      </c>
      <c r="K69" s="255">
        <f t="shared" si="8"/>
        <v>31237737.049999997</v>
      </c>
      <c r="L69" s="210" t="s">
        <v>250</v>
      </c>
      <c r="M69" s="20" t="s">
        <v>246</v>
      </c>
      <c r="S69" s="18"/>
    </row>
    <row r="70" spans="1:19" ht="12.75" customHeight="1" x14ac:dyDescent="0.35">
      <c r="B70" s="28"/>
      <c r="C70" s="28"/>
      <c r="E70" s="32" t="s">
        <v>222</v>
      </c>
      <c r="F70" s="172"/>
      <c r="G70" s="33"/>
      <c r="H70" s="172"/>
      <c r="I70" s="115"/>
      <c r="J70" s="172"/>
      <c r="K70" s="115"/>
      <c r="M70" s="20"/>
      <c r="S70" s="18"/>
    </row>
    <row r="71" spans="1:19" ht="20.25" customHeight="1" x14ac:dyDescent="0.35">
      <c r="A71" s="100" t="s">
        <v>238</v>
      </c>
      <c r="B71" s="28"/>
      <c r="C71" s="28" t="s">
        <v>236</v>
      </c>
      <c r="D71" s="4" t="s">
        <v>238</v>
      </c>
      <c r="E71" s="32">
        <f>VLOOKUP(A71,'DEK Q2 2017'!$A$1:$I$251,9,FALSE)</f>
        <v>0</v>
      </c>
      <c r="F71" s="172"/>
      <c r="G71" s="33">
        <v>0</v>
      </c>
      <c r="H71" s="33">
        <v>0</v>
      </c>
      <c r="I71" s="115">
        <f t="shared" si="7"/>
        <v>0</v>
      </c>
      <c r="J71" s="33">
        <v>0</v>
      </c>
      <c r="K71" s="115">
        <f t="shared" si="8"/>
        <v>0</v>
      </c>
      <c r="L71" s="210" t="s">
        <v>251</v>
      </c>
      <c r="M71" s="20"/>
      <c r="S71" s="18"/>
    </row>
    <row r="72" spans="1:19" ht="12.75" customHeight="1" x14ac:dyDescent="0.35">
      <c r="B72" s="28"/>
      <c r="C72" s="28"/>
      <c r="E72" s="32"/>
      <c r="F72" s="172"/>
      <c r="G72" s="33"/>
      <c r="H72" s="144"/>
      <c r="I72" s="115" t="s">
        <v>222</v>
      </c>
      <c r="J72" s="33"/>
      <c r="K72" s="115" t="s">
        <v>222</v>
      </c>
      <c r="L72" s="210"/>
      <c r="M72" s="20"/>
      <c r="S72" s="18"/>
    </row>
    <row r="73" spans="1:19" ht="20.25" customHeight="1" x14ac:dyDescent="0.35">
      <c r="A73" s="100" t="s">
        <v>296</v>
      </c>
      <c r="B73" s="28"/>
      <c r="C73" s="28" t="s">
        <v>297</v>
      </c>
      <c r="D73" s="4" t="s">
        <v>296</v>
      </c>
      <c r="E73" s="32">
        <v>0</v>
      </c>
      <c r="F73" s="172"/>
      <c r="G73" s="33">
        <v>0</v>
      </c>
      <c r="H73" s="33">
        <v>0</v>
      </c>
      <c r="I73" s="115">
        <f>E73+F73+G73+H73</f>
        <v>0</v>
      </c>
      <c r="J73" s="33">
        <v>7214174.9800000004</v>
      </c>
      <c r="K73" s="115">
        <v>7214175</v>
      </c>
      <c r="L73" s="210"/>
      <c r="M73" s="20"/>
      <c r="N73" s="295" t="s">
        <v>303</v>
      </c>
      <c r="S73" s="18"/>
    </row>
    <row r="74" spans="1:19" ht="12.75" customHeight="1" x14ac:dyDescent="0.35">
      <c r="B74" s="28"/>
      <c r="C74" s="28"/>
      <c r="E74" s="32" t="s">
        <v>222</v>
      </c>
      <c r="F74" s="172"/>
      <c r="G74" s="33"/>
      <c r="H74" s="33"/>
      <c r="I74" s="115"/>
      <c r="J74" s="33"/>
      <c r="K74" s="115"/>
      <c r="L74" s="210"/>
      <c r="M74" s="20"/>
      <c r="S74" s="18"/>
    </row>
    <row r="75" spans="1:19" ht="12.75" customHeight="1" x14ac:dyDescent="0.35">
      <c r="A75" s="100" t="s">
        <v>257</v>
      </c>
      <c r="B75" s="28"/>
      <c r="C75" s="28" t="s">
        <v>256</v>
      </c>
      <c r="D75" s="4" t="s">
        <v>257</v>
      </c>
      <c r="E75" s="32">
        <f>VLOOKUP(A75,'DEK Q2 2017'!$A$1:$I$251,9,FALSE)</f>
        <v>-464001.75</v>
      </c>
      <c r="F75" s="172"/>
      <c r="G75" s="33">
        <v>-113030.93</v>
      </c>
      <c r="H75" s="33">
        <v>0</v>
      </c>
      <c r="I75" s="115">
        <f t="shared" si="7"/>
        <v>-577032.67999999993</v>
      </c>
      <c r="J75" s="33">
        <v>0</v>
      </c>
      <c r="K75" s="115">
        <f t="shared" si="8"/>
        <v>-577032.67999999993</v>
      </c>
      <c r="L75" s="210"/>
      <c r="M75" s="20"/>
      <c r="S75" s="18"/>
    </row>
    <row r="76" spans="1:19" ht="12.75" customHeight="1" x14ac:dyDescent="0.35">
      <c r="B76" s="28"/>
      <c r="C76" s="28"/>
      <c r="E76" s="32" t="s">
        <v>222</v>
      </c>
      <c r="F76" s="172"/>
      <c r="G76" s="144"/>
      <c r="H76" s="33"/>
      <c r="I76" s="115"/>
      <c r="J76" s="33"/>
      <c r="K76" s="115" t="s">
        <v>222</v>
      </c>
      <c r="M76" s="20"/>
      <c r="S76" s="18"/>
    </row>
    <row r="77" spans="1:19" ht="12.75" customHeight="1" x14ac:dyDescent="0.35">
      <c r="A77" s="100" t="s">
        <v>283</v>
      </c>
      <c r="B77" s="28"/>
      <c r="C77" s="28" t="s">
        <v>282</v>
      </c>
      <c r="D77" s="4" t="s">
        <v>283</v>
      </c>
      <c r="E77" s="32">
        <f>VLOOKUP(A77,'DEK Q2 2017'!$A$1:$I$251,9,FALSE)</f>
        <v>0</v>
      </c>
      <c r="F77" s="172"/>
      <c r="G77" s="33">
        <v>0</v>
      </c>
      <c r="H77" s="33">
        <v>0</v>
      </c>
      <c r="I77" s="115">
        <f t="shared" ref="I77" si="9">E77+F77+G77+H77</f>
        <v>0</v>
      </c>
      <c r="J77" s="33">
        <v>0</v>
      </c>
      <c r="K77" s="115">
        <f t="shared" ref="K77" si="10">I77+J77</f>
        <v>0</v>
      </c>
      <c r="L77" s="210"/>
      <c r="M77" s="20"/>
      <c r="S77" s="18"/>
    </row>
    <row r="78" spans="1:19" ht="12.75" customHeight="1" x14ac:dyDescent="0.35">
      <c r="B78" s="28"/>
      <c r="C78" s="28"/>
      <c r="E78" s="32"/>
      <c r="F78" s="172"/>
      <c r="G78" s="144"/>
      <c r="H78" s="33"/>
      <c r="I78" s="115"/>
      <c r="J78" s="33"/>
      <c r="K78" s="115"/>
      <c r="L78" s="210"/>
      <c r="M78" s="20"/>
      <c r="S78" s="18"/>
    </row>
    <row r="79" spans="1:19" ht="16.5" customHeight="1" x14ac:dyDescent="0.35">
      <c r="A79" s="100" t="s">
        <v>240</v>
      </c>
      <c r="B79" s="28"/>
      <c r="C79" s="28" t="s">
        <v>239</v>
      </c>
      <c r="D79" s="4" t="s">
        <v>240</v>
      </c>
      <c r="E79" s="32">
        <f>VLOOKUP(A79,'DEK Q2 2017'!$A$1:$I$251,9,FALSE)</f>
        <v>10983246.870000001</v>
      </c>
      <c r="F79" s="172"/>
      <c r="G79" s="33">
        <v>680193.13</v>
      </c>
      <c r="H79" s="33">
        <v>0</v>
      </c>
      <c r="I79" s="115">
        <f t="shared" ref="I79" si="11">E79+F79+G79+H79</f>
        <v>11663440.000000002</v>
      </c>
      <c r="J79" s="33">
        <v>0</v>
      </c>
      <c r="K79" s="255">
        <f t="shared" ref="K79" si="12">I79+J79</f>
        <v>11663440.000000002</v>
      </c>
      <c r="L79" s="210" t="s">
        <v>22</v>
      </c>
      <c r="M79" s="20" t="s">
        <v>247</v>
      </c>
      <c r="S79" s="18"/>
    </row>
    <row r="80" spans="1:19" ht="12.75" customHeight="1" x14ac:dyDescent="0.35">
      <c r="B80" s="28"/>
      <c r="C80" s="28"/>
      <c r="E80" s="32"/>
      <c r="F80" s="172"/>
      <c r="G80" s="144"/>
      <c r="H80" s="33"/>
      <c r="I80" s="115"/>
      <c r="J80" s="33"/>
      <c r="K80" s="115"/>
      <c r="M80" s="20"/>
      <c r="S80" s="18"/>
    </row>
    <row r="81" spans="1:21" ht="16.5" customHeight="1" x14ac:dyDescent="0.35">
      <c r="A81" s="100" t="s">
        <v>288</v>
      </c>
      <c r="B81" s="28"/>
      <c r="C81" s="28" t="s">
        <v>289</v>
      </c>
      <c r="D81" s="4" t="s">
        <v>288</v>
      </c>
      <c r="E81" s="32">
        <f>VLOOKUP(A81,'DEK Q2 2017'!$A$1:$I$251,9,FALSE)</f>
        <v>145505.79</v>
      </c>
      <c r="F81" s="172"/>
      <c r="G81" s="33">
        <v>265391.88</v>
      </c>
      <c r="H81" s="33">
        <v>0</v>
      </c>
      <c r="I81" s="115">
        <f t="shared" ref="I81" si="13">E81+F81+G81+H81</f>
        <v>410897.67000000004</v>
      </c>
      <c r="J81" s="33">
        <v>0</v>
      </c>
      <c r="K81" s="115">
        <f t="shared" ref="K81" si="14">I81+J81</f>
        <v>410897.67000000004</v>
      </c>
      <c r="L81" s="210" t="s">
        <v>22</v>
      </c>
      <c r="M81" s="20" t="s">
        <v>247</v>
      </c>
      <c r="S81" s="18"/>
    </row>
    <row r="82" spans="1:21" ht="16.5" customHeight="1" x14ac:dyDescent="0.35">
      <c r="B82" s="28"/>
      <c r="C82" s="28"/>
      <c r="E82" s="32"/>
      <c r="F82" s="172"/>
      <c r="G82" s="144"/>
      <c r="H82" s="33"/>
      <c r="I82" s="115"/>
      <c r="J82" s="33"/>
      <c r="K82" s="115"/>
      <c r="L82" s="210"/>
      <c r="M82" s="20"/>
      <c r="S82" s="18"/>
    </row>
    <row r="83" spans="1:21" ht="12.75" customHeight="1" x14ac:dyDescent="0.35">
      <c r="A83" s="100" t="s">
        <v>234</v>
      </c>
      <c r="B83" s="28"/>
      <c r="C83" s="28" t="s">
        <v>232</v>
      </c>
      <c r="D83" s="4" t="s">
        <v>233</v>
      </c>
      <c r="E83" s="32">
        <f>VLOOKUP(A83,'DEK Q2 2017'!$A$1:$I$251,9,FALSE)</f>
        <v>0</v>
      </c>
      <c r="F83" s="174"/>
      <c r="G83" s="144">
        <v>0</v>
      </c>
      <c r="H83" s="33">
        <v>0</v>
      </c>
      <c r="I83" s="115">
        <f t="shared" ref="I83:I85" si="15">E83+F83+G83+H83</f>
        <v>0</v>
      </c>
      <c r="J83" s="33">
        <v>0</v>
      </c>
      <c r="K83" s="115">
        <f t="shared" ref="K83:K85" si="16">I83+J83</f>
        <v>0</v>
      </c>
      <c r="M83" s="2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f>VLOOKUP(A85,'DEK Q2 2017'!$A$1:$I$251,9,FALSE)</f>
        <v>2187114.9499999997</v>
      </c>
      <c r="F85" s="174"/>
      <c r="G85" s="36">
        <v>608979</v>
      </c>
      <c r="H85" s="36">
        <v>0</v>
      </c>
      <c r="I85" s="116">
        <f t="shared" si="15"/>
        <v>2796093.9499999997</v>
      </c>
      <c r="J85" s="36">
        <v>0</v>
      </c>
      <c r="K85" s="116">
        <f t="shared" si="16"/>
        <v>2796093.9499999997</v>
      </c>
      <c r="M85" s="20"/>
      <c r="S85" s="18"/>
    </row>
    <row r="86" spans="1:21" x14ac:dyDescent="0.2">
      <c r="B86" s="54"/>
      <c r="C86" s="28"/>
      <c r="E86" s="221">
        <f>SUM(E42:E85)</f>
        <v>56313834.980000012</v>
      </c>
      <c r="F86" s="29">
        <f>SUM(F39:F67)+F36</f>
        <v>0</v>
      </c>
      <c r="G86" s="29">
        <f>SUM(G39:G85)+G36</f>
        <v>2668661.9</v>
      </c>
      <c r="H86" s="29">
        <f>SUM(H39:H85)+H36</f>
        <v>0</v>
      </c>
      <c r="I86" s="269">
        <f>SUM(I39:I85)</f>
        <v>58982496.880000003</v>
      </c>
      <c r="J86" s="49">
        <f>SUM(J39:J85)+J36</f>
        <v>5474055.9800000004</v>
      </c>
      <c r="K86" s="275">
        <f>SUM(K39:K85)</f>
        <v>64456552.880000003</v>
      </c>
      <c r="L86" s="280" t="s">
        <v>259</v>
      </c>
      <c r="M86" s="20"/>
      <c r="S86" s="18"/>
    </row>
    <row r="87" spans="1:21" x14ac:dyDescent="0.2">
      <c r="B87" s="54"/>
      <c r="C87" s="28"/>
      <c r="E87" s="32"/>
      <c r="F87" s="32"/>
      <c r="G87" s="157"/>
      <c r="H87" s="32"/>
      <c r="I87" s="123"/>
      <c r="J87" s="32"/>
      <c r="K87" s="123"/>
      <c r="L87" s="230"/>
      <c r="M87" s="20"/>
      <c r="S87" s="18"/>
    </row>
    <row r="88" spans="1:21" ht="16.5" customHeight="1" x14ac:dyDescent="0.35">
      <c r="A88" s="100" t="s">
        <v>255</v>
      </c>
      <c r="B88" s="28"/>
      <c r="C88" s="28" t="s">
        <v>254</v>
      </c>
      <c r="D88" s="4" t="s">
        <v>255</v>
      </c>
      <c r="E88" s="32">
        <f>VLOOKUP(A88,'DEK Q2 2017'!$A$1:$I$251,9,FALSE)</f>
        <v>11022923.02</v>
      </c>
      <c r="F88" s="172"/>
      <c r="G88" s="33">
        <v>926237.55</v>
      </c>
      <c r="H88" s="33">
        <v>0</v>
      </c>
      <c r="I88" s="115">
        <f>E88+F88+G88+H88</f>
        <v>11949160.57</v>
      </c>
      <c r="J88" s="33">
        <v>0</v>
      </c>
      <c r="K88" s="115">
        <f>I88+J88</f>
        <v>11949160.57</v>
      </c>
      <c r="L88" s="210"/>
      <c r="M88" s="20"/>
      <c r="S88" s="18"/>
    </row>
    <row r="89" spans="1:21" x14ac:dyDescent="0.2">
      <c r="A89" s="100" t="s">
        <v>269</v>
      </c>
      <c r="B89" s="54"/>
      <c r="C89" s="28" t="s">
        <v>268</v>
      </c>
      <c r="D89" s="4" t="s">
        <v>269</v>
      </c>
      <c r="E89" s="35">
        <f>VLOOKUP(A89,'DEK Q2 2017'!$A$1:$I$251,9,FALSE)</f>
        <v>2481846</v>
      </c>
      <c r="F89" s="35"/>
      <c r="G89" s="35">
        <v>-130173.64</v>
      </c>
      <c r="H89" s="35">
        <v>0</v>
      </c>
      <c r="I89" s="267">
        <f>E89+F89+G89+H89</f>
        <v>2351672.36</v>
      </c>
      <c r="J89" s="274">
        <v>0</v>
      </c>
      <c r="K89" s="267">
        <f t="shared" ref="K89" si="17">I89+J89</f>
        <v>2351672.36</v>
      </c>
      <c r="L89" s="280" t="s">
        <v>279</v>
      </c>
      <c r="M89" s="20"/>
      <c r="S89" s="18"/>
    </row>
    <row r="90" spans="1:21" x14ac:dyDescent="0.2">
      <c r="B90" s="54"/>
      <c r="C90" s="28"/>
      <c r="E90" s="221">
        <f>SUM(E88:E89)</f>
        <v>13504769.02</v>
      </c>
      <c r="F90" s="32"/>
      <c r="G90" s="32">
        <f>SUM(G88:G89)</f>
        <v>796063.91</v>
      </c>
      <c r="H90" s="32">
        <f>SUM(H88:H89)</f>
        <v>0</v>
      </c>
      <c r="I90" s="269">
        <f>SUM(I88:I89)</f>
        <v>14300832.93</v>
      </c>
      <c r="J90" s="221">
        <f>SUM(J89)</f>
        <v>0</v>
      </c>
      <c r="K90" s="269">
        <f>SUM(K88:K89)</f>
        <v>14300832.93</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f>VLOOKUP(A93,'DEK Q2 2017'!$A$1:$I$251,9,FALSE)</f>
        <v>23425824.719999999</v>
      </c>
      <c r="F93" s="30">
        <v>0</v>
      </c>
      <c r="G93" s="33">
        <v>-328149</v>
      </c>
      <c r="H93" s="30">
        <v>0</v>
      </c>
      <c r="I93" s="115">
        <f>E93+F93+G93+H93</f>
        <v>23097675.719999999</v>
      </c>
      <c r="J93" s="30">
        <v>0</v>
      </c>
      <c r="K93" s="115">
        <f t="shared" ref="K93:K100" si="18">I93+J93</f>
        <v>23097675.719999999</v>
      </c>
      <c r="L93" s="210"/>
      <c r="M93" s="20" t="s">
        <v>126</v>
      </c>
      <c r="P93" s="58"/>
      <c r="R93" s="4" t="s">
        <v>107</v>
      </c>
      <c r="S93" s="18">
        <v>182940</v>
      </c>
      <c r="U93" s="4" t="s">
        <v>36</v>
      </c>
    </row>
    <row r="94" spans="1:21" x14ac:dyDescent="0.2">
      <c r="A94" s="100" t="s">
        <v>291</v>
      </c>
      <c r="B94" s="28"/>
      <c r="C94" s="28" t="s">
        <v>290</v>
      </c>
      <c r="D94" s="4" t="s">
        <v>291</v>
      </c>
      <c r="E94" s="32">
        <f>VLOOKUP(A94,'DEK Q2 2017'!$A$1:$I$251,9,FALSE)</f>
        <v>2470173.5499999998</v>
      </c>
      <c r="F94" s="30">
        <v>0</v>
      </c>
      <c r="G94" s="33">
        <v>-69990</v>
      </c>
      <c r="H94" s="30">
        <v>0</v>
      </c>
      <c r="I94" s="115">
        <f t="shared" ref="I94:I100" si="19">E94+F94+G94+H94</f>
        <v>2400183.5499999998</v>
      </c>
      <c r="J94" s="30">
        <v>0</v>
      </c>
      <c r="K94" s="115">
        <f t="shared" si="18"/>
        <v>2400183.5499999998</v>
      </c>
      <c r="L94" s="210" t="s">
        <v>22</v>
      </c>
      <c r="M94" s="20"/>
      <c r="P94" s="58"/>
      <c r="S94" s="18">
        <v>186801</v>
      </c>
    </row>
    <row r="95" spans="1:21" x14ac:dyDescent="0.2">
      <c r="A95" s="100" t="s">
        <v>281</v>
      </c>
      <c r="B95" s="28"/>
      <c r="C95" s="28" t="s">
        <v>280</v>
      </c>
      <c r="D95" s="4" t="s">
        <v>281</v>
      </c>
      <c r="E95" s="32">
        <f>VLOOKUP(A95,'DEK Q2 2017'!$A$1:$I$251,9,FALSE)</f>
        <v>4623683.7200000007</v>
      </c>
      <c r="F95" s="30">
        <v>0</v>
      </c>
      <c r="G95" s="33">
        <v>-126366</v>
      </c>
      <c r="H95" s="30">
        <v>0</v>
      </c>
      <c r="I95" s="115">
        <f t="shared" si="19"/>
        <v>4497317.7200000007</v>
      </c>
      <c r="J95" s="30">
        <v>0</v>
      </c>
      <c r="K95" s="115">
        <f t="shared" si="18"/>
        <v>4497317.7200000007</v>
      </c>
      <c r="L95" s="210" t="s">
        <v>22</v>
      </c>
      <c r="M95" s="20"/>
      <c r="P95" s="58"/>
      <c r="S95" s="18">
        <v>186801</v>
      </c>
    </row>
    <row r="96" spans="1:21" x14ac:dyDescent="0.2">
      <c r="A96" s="100" t="s">
        <v>293</v>
      </c>
      <c r="B96" s="28"/>
      <c r="C96" s="28" t="s">
        <v>292</v>
      </c>
      <c r="D96" s="4" t="s">
        <v>293</v>
      </c>
      <c r="E96" s="32">
        <f>VLOOKUP(A96,'DEK Q2 2017'!$A$1:$I$251,9,FALSE)</f>
        <v>48825.05</v>
      </c>
      <c r="F96" s="30">
        <v>0</v>
      </c>
      <c r="G96" s="33">
        <v>-1122</v>
      </c>
      <c r="H96" s="30">
        <v>0</v>
      </c>
      <c r="I96" s="115">
        <f t="shared" si="19"/>
        <v>47703.05</v>
      </c>
      <c r="J96" s="30">
        <v>0</v>
      </c>
      <c r="K96" s="115">
        <f t="shared" si="18"/>
        <v>47703.05</v>
      </c>
      <c r="L96" s="210" t="s">
        <v>22</v>
      </c>
      <c r="M96" s="20"/>
      <c r="P96" s="58"/>
      <c r="S96" s="18"/>
    </row>
    <row r="97" spans="1:20" x14ac:dyDescent="0.2">
      <c r="A97" s="100" t="s">
        <v>161</v>
      </c>
      <c r="B97" s="28"/>
      <c r="C97" s="28" t="s">
        <v>72</v>
      </c>
      <c r="D97" s="4" t="s">
        <v>224</v>
      </c>
      <c r="E97" s="32">
        <f>VLOOKUP(A97,'DEK Q2 2017'!$A$1:$I$251,9,FALSE)</f>
        <v>0</v>
      </c>
      <c r="F97" s="30">
        <v>0</v>
      </c>
      <c r="G97" s="33">
        <v>0</v>
      </c>
      <c r="H97" s="30">
        <v>0</v>
      </c>
      <c r="I97" s="115">
        <f t="shared" si="19"/>
        <v>0</v>
      </c>
      <c r="J97" s="30">
        <v>0</v>
      </c>
      <c r="K97" s="115">
        <f t="shared" si="18"/>
        <v>0</v>
      </c>
      <c r="L97" s="210" t="s">
        <v>22</v>
      </c>
      <c r="M97" s="20"/>
      <c r="P97" s="58"/>
      <c r="S97" s="18"/>
    </row>
    <row r="98" spans="1:20" x14ac:dyDescent="0.2">
      <c r="A98" s="108" t="s">
        <v>171</v>
      </c>
      <c r="B98" s="28"/>
      <c r="C98" s="28" t="s">
        <v>122</v>
      </c>
      <c r="D98" s="4" t="s">
        <v>225</v>
      </c>
      <c r="E98" s="32">
        <f>VLOOKUP(A98,'DEK Q2 2017'!$A$1:$I$251,9,FALSE)</f>
        <v>0</v>
      </c>
      <c r="F98" s="30">
        <v>0</v>
      </c>
      <c r="G98" s="33">
        <v>0</v>
      </c>
      <c r="H98" s="30">
        <v>0</v>
      </c>
      <c r="I98" s="115">
        <f t="shared" si="19"/>
        <v>0</v>
      </c>
      <c r="J98" s="30">
        <v>0</v>
      </c>
      <c r="K98" s="115">
        <f t="shared" si="18"/>
        <v>0</v>
      </c>
      <c r="L98" s="210" t="s">
        <v>22</v>
      </c>
      <c r="M98" s="20"/>
      <c r="P98" s="58"/>
      <c r="S98" s="18"/>
    </row>
    <row r="99" spans="1:20" x14ac:dyDescent="0.2">
      <c r="A99" s="108" t="s">
        <v>284</v>
      </c>
      <c r="B99" s="28"/>
      <c r="C99" s="28" t="s">
        <v>285</v>
      </c>
      <c r="D99" s="4" t="s">
        <v>284</v>
      </c>
      <c r="E99" s="32">
        <f>VLOOKUP(A99,'DEK Q2 2017'!$A$1:$I$251,9,FALSE)</f>
        <v>0</v>
      </c>
      <c r="F99" s="30"/>
      <c r="G99" s="33">
        <v>0</v>
      </c>
      <c r="H99" s="30">
        <v>0</v>
      </c>
      <c r="I99" s="115">
        <f t="shared" si="19"/>
        <v>0</v>
      </c>
      <c r="J99" s="30">
        <v>0</v>
      </c>
      <c r="K99" s="115">
        <f t="shared" si="18"/>
        <v>0</v>
      </c>
      <c r="L99" s="210"/>
      <c r="M99" s="20"/>
      <c r="P99" s="58"/>
      <c r="S99" s="18"/>
    </row>
    <row r="100" spans="1:20" x14ac:dyDescent="0.2">
      <c r="A100" s="108" t="s">
        <v>172</v>
      </c>
      <c r="B100" s="28"/>
      <c r="C100" s="28" t="s">
        <v>123</v>
      </c>
      <c r="D100" s="4" t="s">
        <v>226</v>
      </c>
      <c r="E100" s="35">
        <f>VLOOKUP(A100,'DEK Q2 2017'!$A$1:$I$251,9,FALSE)</f>
        <v>0</v>
      </c>
      <c r="F100" s="36"/>
      <c r="G100" s="36">
        <v>0</v>
      </c>
      <c r="H100" s="36">
        <v>0</v>
      </c>
      <c r="I100" s="116">
        <f t="shared" si="19"/>
        <v>0</v>
      </c>
      <c r="J100" s="36">
        <v>0</v>
      </c>
      <c r="K100" s="116">
        <f t="shared" si="18"/>
        <v>0</v>
      </c>
      <c r="M100" s="20"/>
      <c r="P100" s="58"/>
      <c r="S100" s="18"/>
    </row>
    <row r="101" spans="1:20" x14ac:dyDescent="0.2">
      <c r="B101" s="28"/>
      <c r="C101" s="18"/>
      <c r="E101" s="221">
        <f t="shared" ref="E101:K101" si="20">SUM(E93:E100)</f>
        <v>30568507.040000003</v>
      </c>
      <c r="F101" s="29">
        <f t="shared" si="20"/>
        <v>0</v>
      </c>
      <c r="G101" s="29">
        <f>SUM(G93:G100)</f>
        <v>-525627</v>
      </c>
      <c r="H101" s="29">
        <f t="shared" si="20"/>
        <v>0</v>
      </c>
      <c r="I101" s="269">
        <f t="shared" si="20"/>
        <v>30042880.040000003</v>
      </c>
      <c r="J101" s="29">
        <f t="shared" si="20"/>
        <v>0</v>
      </c>
      <c r="K101" s="269">
        <f t="shared" si="20"/>
        <v>30042880.040000003</v>
      </c>
      <c r="L101" s="280" t="s">
        <v>260</v>
      </c>
      <c r="M101" s="20"/>
      <c r="S101" s="18"/>
    </row>
    <row r="102" spans="1:20" ht="12.75" customHeight="1" x14ac:dyDescent="0.2">
      <c r="B102" s="54" t="s">
        <v>135</v>
      </c>
      <c r="C102" s="18"/>
      <c r="E102" s="32"/>
      <c r="F102" s="29"/>
      <c r="G102" s="151"/>
      <c r="H102" s="151"/>
      <c r="I102" s="117"/>
      <c r="J102" s="29"/>
      <c r="K102" s="117"/>
      <c r="M102" s="20"/>
      <c r="S102" s="18"/>
    </row>
    <row r="103" spans="1:20" ht="12.75" customHeight="1" x14ac:dyDescent="0.2">
      <c r="A103" s="100" t="s">
        <v>108</v>
      </c>
      <c r="B103" s="28"/>
      <c r="C103" s="28" t="s">
        <v>71</v>
      </c>
      <c r="D103" s="4" t="s">
        <v>108</v>
      </c>
      <c r="E103" s="32">
        <v>0</v>
      </c>
      <c r="F103" s="30">
        <v>0</v>
      </c>
      <c r="G103" s="152">
        <v>0</v>
      </c>
      <c r="H103" s="152">
        <v>0</v>
      </c>
      <c r="I103" s="115">
        <f t="shared" ref="I103:K104" si="21">E103+F103+G103+H103</f>
        <v>0</v>
      </c>
      <c r="J103" s="30">
        <f t="shared" si="21"/>
        <v>0</v>
      </c>
      <c r="K103" s="115">
        <f t="shared" si="21"/>
        <v>0</v>
      </c>
      <c r="M103" s="20"/>
      <c r="S103" s="18">
        <v>174995</v>
      </c>
    </row>
    <row r="104" spans="1:20" ht="12.75" customHeight="1" x14ac:dyDescent="0.2">
      <c r="A104" s="100" t="s">
        <v>139</v>
      </c>
      <c r="B104" s="28"/>
      <c r="C104" s="28" t="s">
        <v>124</v>
      </c>
      <c r="D104" s="4" t="s">
        <v>139</v>
      </c>
      <c r="E104" s="32">
        <v>0</v>
      </c>
      <c r="F104" s="30">
        <v>0</v>
      </c>
      <c r="G104" s="152">
        <v>0</v>
      </c>
      <c r="H104" s="152">
        <v>0</v>
      </c>
      <c r="I104" s="115">
        <f t="shared" si="21"/>
        <v>0</v>
      </c>
      <c r="J104" s="30">
        <f t="shared" si="21"/>
        <v>0</v>
      </c>
      <c r="K104" s="115">
        <f t="shared" si="21"/>
        <v>0</v>
      </c>
      <c r="M104" s="20"/>
      <c r="S104" s="18"/>
    </row>
    <row r="105" spans="1:20" ht="7.5"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f>+E12+E24+E30+E86+E90+E101+E103+E19+E104</f>
        <v>105287748.82000002</v>
      </c>
      <c r="F107" s="133">
        <f>+F12+F24+F30+F86+F101+F103+F19+F104</f>
        <v>0</v>
      </c>
      <c r="G107" s="133">
        <f>+G12+G24+G30+G86+G90+G101+G103+G19+G104</f>
        <v>3265829.81</v>
      </c>
      <c r="H107" s="133">
        <f>+H12+H24+H30+H86+H90+H101+H103+H19+H104</f>
        <v>-66618.490000000005</v>
      </c>
      <c r="I107" s="134">
        <f>+I12+I24+I30+I86+I90+I101+I103+I19+I104</f>
        <v>108486960.14</v>
      </c>
      <c r="J107" s="133">
        <f>+J12+J24+J30+J86+J90+J101+J103+J19+J104</f>
        <v>7214174.9800000004</v>
      </c>
      <c r="K107" s="134">
        <f>+K12+K24+K30+K86+K90+K101+K103+K19+K104</f>
        <v>115701135.14</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f>VLOOKUP(A110,'DEK Q2 2017'!$A$1:$I$252,9,FALSE)</f>
        <v>-1462538.8099999994</v>
      </c>
      <c r="F110" s="30">
        <v>0</v>
      </c>
      <c r="G110" s="33">
        <v>1422368.88</v>
      </c>
      <c r="H110" s="33">
        <v>-376284.17</v>
      </c>
      <c r="I110" s="115">
        <f t="shared" ref="I110:I115" si="22">E110+F110+G110+H110</f>
        <v>-416454.09999999945</v>
      </c>
      <c r="J110" s="30">
        <v>0</v>
      </c>
      <c r="K110" s="115">
        <f t="shared" ref="K110:K115" si="23">I110+J110</f>
        <v>-416454.09999999945</v>
      </c>
      <c r="L110" s="210" t="s">
        <v>22</v>
      </c>
      <c r="M110" s="33"/>
      <c r="N110" s="42"/>
      <c r="O110" s="42"/>
      <c r="S110" s="18">
        <v>191400</v>
      </c>
      <c r="T110" s="58"/>
    </row>
    <row r="111" spans="1:20" x14ac:dyDescent="0.2">
      <c r="A111" s="100" t="s">
        <v>115</v>
      </c>
      <c r="B111" s="18"/>
      <c r="C111" s="28" t="s">
        <v>53</v>
      </c>
      <c r="D111" s="4" t="s">
        <v>115</v>
      </c>
      <c r="E111" s="32">
        <f>VLOOKUP(A111,'DEK Q2 2017'!$A$1:$I$252,9,FALSE)</f>
        <v>-498776.90999999992</v>
      </c>
      <c r="F111" s="30">
        <v>0</v>
      </c>
      <c r="G111" s="33">
        <v>17365.72</v>
      </c>
      <c r="H111" s="144">
        <v>0</v>
      </c>
      <c r="I111" s="115">
        <f t="shared" si="22"/>
        <v>-481411.18999999994</v>
      </c>
      <c r="J111" s="30">
        <v>0</v>
      </c>
      <c r="K111" s="115">
        <f t="shared" si="23"/>
        <v>-481411.18999999994</v>
      </c>
      <c r="L111" s="210" t="s">
        <v>22</v>
      </c>
      <c r="M111" s="30"/>
      <c r="N111" s="42"/>
      <c r="O111" s="42"/>
      <c r="S111" s="18">
        <v>191800</v>
      </c>
      <c r="T111" s="58"/>
    </row>
    <row r="112" spans="1:20" ht="12.75" customHeight="1" x14ac:dyDescent="0.2">
      <c r="A112" s="100" t="s">
        <v>117</v>
      </c>
      <c r="B112" s="18"/>
      <c r="C112" s="28" t="s">
        <v>77</v>
      </c>
      <c r="D112" s="4" t="s">
        <v>117</v>
      </c>
      <c r="E112" s="32">
        <f>VLOOKUP(A112,'DEK Q2 2017'!$A$1:$I$252,9,FALSE)</f>
        <v>-48581.649999999907</v>
      </c>
      <c r="F112" s="30">
        <v>0</v>
      </c>
      <c r="G112" s="30">
        <v>15254.25</v>
      </c>
      <c r="H112" s="144">
        <v>0</v>
      </c>
      <c r="I112" s="115">
        <f t="shared" si="22"/>
        <v>-33327.399999999907</v>
      </c>
      <c r="J112" s="30">
        <v>0</v>
      </c>
      <c r="K112" s="115">
        <f t="shared" si="23"/>
        <v>-33327.399999999907</v>
      </c>
      <c r="L112" s="210" t="s">
        <v>22</v>
      </c>
      <c r="M112" s="20"/>
      <c r="N112" s="42"/>
      <c r="O112" s="42"/>
      <c r="S112" s="18">
        <v>242995</v>
      </c>
      <c r="T112" s="58"/>
    </row>
    <row r="113" spans="1:21" x14ac:dyDescent="0.2">
      <c r="A113" s="100" t="s">
        <v>119</v>
      </c>
      <c r="B113" s="18"/>
      <c r="C113" s="28" t="s">
        <v>118</v>
      </c>
      <c r="D113" s="4" t="s">
        <v>119</v>
      </c>
      <c r="E113" s="32">
        <f>VLOOKUP(A113,'DEK Q2 2017'!$A$1:$I$252,9,FALSE)</f>
        <v>-135934.57000000053</v>
      </c>
      <c r="F113" s="30">
        <v>0</v>
      </c>
      <c r="G113" s="30">
        <v>-308301.73</v>
      </c>
      <c r="H113" s="144">
        <v>0</v>
      </c>
      <c r="I113" s="115">
        <f t="shared" si="22"/>
        <v>-444236.30000000051</v>
      </c>
      <c r="J113" s="30">
        <v>0</v>
      </c>
      <c r="K113" s="115">
        <f t="shared" si="23"/>
        <v>-444236.30000000051</v>
      </c>
      <c r="L113" s="210" t="s">
        <v>22</v>
      </c>
      <c r="M113" s="20"/>
      <c r="N113" s="42"/>
      <c r="O113" s="42"/>
      <c r="S113" s="18">
        <v>242997</v>
      </c>
      <c r="T113" s="58"/>
    </row>
    <row r="114" spans="1:21" x14ac:dyDescent="0.2">
      <c r="A114" s="100" t="s">
        <v>120</v>
      </c>
      <c r="B114" s="18"/>
      <c r="C114" s="28" t="s">
        <v>54</v>
      </c>
      <c r="D114" s="4" t="s">
        <v>120</v>
      </c>
      <c r="E114" s="32">
        <f>VLOOKUP(A114,'DEK Q2 2017'!$A$1:$I$252,9,FALSE)</f>
        <v>344564.26000000018</v>
      </c>
      <c r="F114" s="33">
        <v>0</v>
      </c>
      <c r="G114" s="33">
        <f>-52189.82+366784.14-93.94</f>
        <v>314500.38</v>
      </c>
      <c r="H114" s="33">
        <f>5649.95+5403.39-2882.07</f>
        <v>8171.27</v>
      </c>
      <c r="I114" s="115">
        <f t="shared" si="22"/>
        <v>667235.91000000015</v>
      </c>
      <c r="J114" s="33">
        <v>0</v>
      </c>
      <c r="K114" s="115">
        <f t="shared" si="23"/>
        <v>667235.91000000015</v>
      </c>
      <c r="L114" s="210" t="s">
        <v>22</v>
      </c>
      <c r="M114" s="42"/>
      <c r="N114" s="42"/>
      <c r="O114" s="42"/>
      <c r="S114" s="18">
        <v>253130</v>
      </c>
      <c r="T114" s="58"/>
    </row>
    <row r="115" spans="1:21" x14ac:dyDescent="0.2">
      <c r="A115" s="100" t="s">
        <v>156</v>
      </c>
      <c r="B115" s="18"/>
      <c r="C115" s="28" t="s">
        <v>116</v>
      </c>
      <c r="D115" s="4" t="s">
        <v>211</v>
      </c>
      <c r="E115" s="32">
        <f>VLOOKUP(A115,'DEK Q2 2017'!$A$1:$I$252,9,FALSE)</f>
        <v>-1898066.5</v>
      </c>
      <c r="F115" s="33"/>
      <c r="G115" s="33">
        <v>1047683.9</v>
      </c>
      <c r="H115" s="33">
        <v>0</v>
      </c>
      <c r="I115" s="115">
        <f t="shared" si="22"/>
        <v>-850382.6</v>
      </c>
      <c r="J115" s="30">
        <v>0</v>
      </c>
      <c r="K115" s="115">
        <f t="shared" si="23"/>
        <v>-850382.6</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f t="shared" ref="E119:K119" si="24">SUM(E110:E118)</f>
        <v>-3699334.1799999992</v>
      </c>
      <c r="F119" s="33">
        <f t="shared" si="24"/>
        <v>0</v>
      </c>
      <c r="G119" s="33">
        <f t="shared" si="24"/>
        <v>2508871.4</v>
      </c>
      <c r="H119" s="33">
        <f t="shared" si="24"/>
        <v>-368112.89999999997</v>
      </c>
      <c r="I119" s="269">
        <f t="shared" si="24"/>
        <v>-1558575.6799999997</v>
      </c>
      <c r="J119" s="33">
        <f t="shared" si="24"/>
        <v>0</v>
      </c>
      <c r="K119" s="269">
        <f t="shared" si="24"/>
        <v>-1558575.6799999997</v>
      </c>
      <c r="L119" s="280" t="s">
        <v>263</v>
      </c>
      <c r="M119" s="42"/>
      <c r="N119" s="42"/>
      <c r="O119" s="42"/>
      <c r="S119" s="18"/>
      <c r="T119" s="58"/>
    </row>
    <row r="120" spans="1:21" x14ac:dyDescent="0.2">
      <c r="B120" s="21" t="s">
        <v>188</v>
      </c>
      <c r="C120" s="61"/>
      <c r="D120" s="34"/>
      <c r="E120" s="33"/>
      <c r="F120" s="33"/>
      <c r="G120" s="144"/>
      <c r="H120" s="144"/>
      <c r="I120" s="115"/>
      <c r="J120" s="33"/>
      <c r="K120" s="115"/>
      <c r="M120" s="42"/>
      <c r="N120" s="42"/>
      <c r="O120" s="42"/>
      <c r="S120" s="18"/>
      <c r="T120" s="58"/>
    </row>
    <row r="121" spans="1:2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customHeight="1" x14ac:dyDescent="0.2">
      <c r="A122" s="100" t="s">
        <v>181</v>
      </c>
      <c r="B122" s="18"/>
      <c r="C122" s="28" t="s">
        <v>182</v>
      </c>
      <c r="D122" s="4" t="s">
        <v>213</v>
      </c>
      <c r="E122" s="32">
        <f>VLOOKUP(A122,'[23]DEK Jul 2013'!$A$1:$I$252,9,FALSE)</f>
        <v>0</v>
      </c>
      <c r="F122" s="33">
        <v>0</v>
      </c>
      <c r="G122" s="144">
        <v>0</v>
      </c>
      <c r="H122" s="144">
        <v>0</v>
      </c>
      <c r="I122" s="115">
        <f>E122+F122+G122+H122</f>
        <v>0</v>
      </c>
      <c r="J122" s="30">
        <v>0</v>
      </c>
      <c r="K122" s="115">
        <f>I122+J122</f>
        <v>0</v>
      </c>
      <c r="L122" s="4" t="s">
        <v>22</v>
      </c>
      <c r="M122" s="42"/>
      <c r="N122" s="42"/>
      <c r="O122" s="42"/>
      <c r="S122" s="18">
        <v>253130</v>
      </c>
      <c r="T122" s="58"/>
    </row>
    <row r="123" spans="1:21" x14ac:dyDescent="0.2">
      <c r="B123" s="18"/>
      <c r="C123" s="28"/>
      <c r="E123" s="33"/>
      <c r="F123" s="36"/>
      <c r="G123" s="150"/>
      <c r="H123" s="150"/>
      <c r="I123" s="116"/>
      <c r="J123" s="36"/>
      <c r="K123" s="116"/>
      <c r="M123" s="42"/>
      <c r="N123" s="42"/>
      <c r="O123" s="42"/>
      <c r="S123" s="18"/>
      <c r="T123" s="58"/>
    </row>
    <row r="124" spans="1:21" x14ac:dyDescent="0.2">
      <c r="B124" s="18"/>
      <c r="C124" s="28"/>
      <c r="E124" s="297">
        <f>SUM(E121:E122)</f>
        <v>0</v>
      </c>
      <c r="F124" s="33">
        <f t="shared" ref="F124:L124" si="25">SUM(F121:F122)</f>
        <v>0</v>
      </c>
      <c r="G124" s="144">
        <f t="shared" si="25"/>
        <v>0</v>
      </c>
      <c r="H124" s="144">
        <f t="shared" si="25"/>
        <v>0</v>
      </c>
      <c r="I124" s="128">
        <f>SUM(I121:I122)</f>
        <v>0</v>
      </c>
      <c r="J124" s="33">
        <f t="shared" si="25"/>
        <v>0</v>
      </c>
      <c r="K124" s="128">
        <f t="shared" si="25"/>
        <v>0</v>
      </c>
      <c r="L124" s="33">
        <f t="shared" si="25"/>
        <v>0</v>
      </c>
      <c r="M124" s="42"/>
      <c r="N124" s="42"/>
      <c r="O124" s="42"/>
      <c r="S124" s="18"/>
      <c r="T124" s="58"/>
    </row>
    <row r="125" spans="1:2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f>VLOOKUP(A127,'DEK Q2 2017'!$A$1:$I$252,9,FALSE)</f>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f>VLOOKUP(A128,'DEK Q2 2017'!$A$1:$I$252,9,FALSE)</f>
        <v>-5245361.7300000004</v>
      </c>
      <c r="F128" s="36">
        <v>0</v>
      </c>
      <c r="G128" s="36">
        <v>152157</v>
      </c>
      <c r="H128" s="36">
        <v>0</v>
      </c>
      <c r="I128" s="267">
        <f>E128+G128+H128+F128</f>
        <v>-5093204.7300000004</v>
      </c>
      <c r="J128" s="266">
        <v>0</v>
      </c>
      <c r="K128" s="267">
        <f>I128+J128</f>
        <v>-5093204.7300000004</v>
      </c>
      <c r="L128" s="210" t="s">
        <v>22</v>
      </c>
      <c r="M128" s="67"/>
      <c r="P128" s="51"/>
      <c r="Q128" s="18"/>
      <c r="R128" s="58"/>
      <c r="S128" s="18"/>
    </row>
    <row r="129" spans="1:23" ht="15" x14ac:dyDescent="0.25">
      <c r="B129" s="18"/>
      <c r="C129" s="28"/>
      <c r="D129" s="65"/>
      <c r="E129" s="234">
        <f>SUM(E127:E128)</f>
        <v>-5245361.7300000004</v>
      </c>
      <c r="F129" s="30"/>
      <c r="G129" s="33">
        <f>SUM(G127:G128)</f>
        <v>152157</v>
      </c>
      <c r="H129" s="33">
        <f>SUM(H127:H128)</f>
        <v>0</v>
      </c>
      <c r="I129" s="271">
        <f>SUM(I127:I128)</f>
        <v>-5093204.7300000004</v>
      </c>
      <c r="J129" s="1"/>
      <c r="K129" s="271">
        <f>SUM(K127:K128)</f>
        <v>-5093204.7300000004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f>VLOOKUP(A131,'DEK Q2 2017'!$A$1:$I$252,9,FALSE)</f>
        <v>0</v>
      </c>
      <c r="F131" s="30">
        <v>0</v>
      </c>
      <c r="G131" s="33">
        <v>0</v>
      </c>
      <c r="H131" s="33">
        <v>0</v>
      </c>
      <c r="I131" s="115">
        <f>E131+F131+G131+H131</f>
        <v>0</v>
      </c>
      <c r="J131" s="30">
        <v>0</v>
      </c>
      <c r="K131" s="115">
        <f t="shared" ref="K131:K133" si="26">I131+J131</f>
        <v>0</v>
      </c>
      <c r="M131" s="62"/>
      <c r="P131" s="51"/>
      <c r="Q131" s="18"/>
      <c r="R131" s="58"/>
      <c r="S131" s="18">
        <v>254998</v>
      </c>
    </row>
    <row r="132" spans="1:23" x14ac:dyDescent="0.2">
      <c r="A132" s="100" t="s">
        <v>179</v>
      </c>
      <c r="B132" s="18"/>
      <c r="C132" s="28" t="s">
        <v>47</v>
      </c>
      <c r="D132" s="4" t="s">
        <v>196</v>
      </c>
      <c r="E132" s="32">
        <f>VLOOKUP(A132,'DEK Q2 2017'!$A$1:$I$252,9,FALSE)</f>
        <v>0</v>
      </c>
      <c r="F132" s="30">
        <v>0</v>
      </c>
      <c r="G132" s="152">
        <v>0</v>
      </c>
      <c r="H132" s="33">
        <v>0</v>
      </c>
      <c r="I132" s="115">
        <f>E132+F132+G132+H132</f>
        <v>0</v>
      </c>
      <c r="J132" s="30">
        <v>0</v>
      </c>
      <c r="K132" s="115">
        <f t="shared" si="26"/>
        <v>0</v>
      </c>
      <c r="M132" s="62"/>
      <c r="P132" s="51"/>
      <c r="Q132" s="18"/>
      <c r="R132" s="58"/>
      <c r="S132" s="18">
        <v>254998</v>
      </c>
      <c r="W132" s="47"/>
    </row>
    <row r="133" spans="1:23" x14ac:dyDescent="0.2">
      <c r="A133" s="100" t="s">
        <v>164</v>
      </c>
      <c r="B133" s="18"/>
      <c r="C133" s="28" t="s">
        <v>75</v>
      </c>
      <c r="D133" s="4" t="s">
        <v>215</v>
      </c>
      <c r="E133" s="32">
        <f>VLOOKUP(A133,'DEK Q2 2017'!$A$1:$I$252,9,FALSE)</f>
        <v>-14466.030000000004</v>
      </c>
      <c r="F133" s="30">
        <v>0</v>
      </c>
      <c r="G133" s="33">
        <v>121.44</v>
      </c>
      <c r="H133" s="33">
        <v>0</v>
      </c>
      <c r="I133" s="117">
        <f>E133+F133+G133+H133</f>
        <v>-14344.590000000004</v>
      </c>
      <c r="J133" s="30">
        <v>0</v>
      </c>
      <c r="K133" s="117">
        <f t="shared" si="26"/>
        <v>-14344.590000000004</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f t="shared" ref="E135" si="27">SUM(E131:E134)</f>
        <v>-14466.030000000004</v>
      </c>
      <c r="F135" s="30">
        <f t="shared" ref="F135:K135" si="28">SUM(F131:F134)</f>
        <v>0</v>
      </c>
      <c r="G135" s="30">
        <f t="shared" si="28"/>
        <v>121.44</v>
      </c>
      <c r="H135" s="30">
        <f t="shared" si="28"/>
        <v>0</v>
      </c>
      <c r="I135" s="270">
        <f t="shared" si="28"/>
        <v>-14344.590000000004</v>
      </c>
      <c r="J135" s="30">
        <f t="shared" si="28"/>
        <v>0</v>
      </c>
      <c r="K135" s="270">
        <f t="shared" si="28"/>
        <v>-14344.590000000004</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f>VLOOKUP(A137,'DEK Q2 2017'!$A$1:$I$252,9,FALSE)</f>
        <v>-18538775.080000006</v>
      </c>
      <c r="F137" s="30">
        <v>0</v>
      </c>
      <c r="G137" s="30">
        <v>-195177.21</v>
      </c>
      <c r="H137" s="30">
        <v>0</v>
      </c>
      <c r="I137" s="115">
        <f>E137+F137+G137+H137</f>
        <v>-18733952.290000007</v>
      </c>
      <c r="J137" s="30">
        <v>0</v>
      </c>
      <c r="K137" s="115">
        <f t="shared" ref="K137:K143" si="29">I137+J137</f>
        <v>-18733952.290000007</v>
      </c>
      <c r="L137" s="210" t="s">
        <v>241</v>
      </c>
      <c r="M137" s="20"/>
      <c r="N137" s="42"/>
      <c r="O137" s="42"/>
      <c r="Q137" s="292">
        <v>75086</v>
      </c>
      <c r="R137" s="58" t="s">
        <v>44</v>
      </c>
      <c r="S137" s="18">
        <v>108201</v>
      </c>
      <c r="T137" s="58"/>
    </row>
    <row r="138" spans="1:23" x14ac:dyDescent="0.2">
      <c r="A138" s="100" t="s">
        <v>166</v>
      </c>
      <c r="B138" s="18"/>
      <c r="C138" s="28" t="s">
        <v>45</v>
      </c>
      <c r="D138" s="4" t="s">
        <v>295</v>
      </c>
      <c r="E138" s="32">
        <f>VLOOKUP(A138,'DEK Q2 2017'!$A$1:$I$252,9,FALSE)</f>
        <v>-48553496.240000002</v>
      </c>
      <c r="F138" s="30">
        <v>0</v>
      </c>
      <c r="G138" s="30">
        <v>653877.81999999995</v>
      </c>
      <c r="H138" s="30">
        <v>0</v>
      </c>
      <c r="I138" s="115">
        <f t="shared" ref="I138:I143" si="30">E138+F138+G138+H138</f>
        <v>-47899618.420000002</v>
      </c>
      <c r="J138" s="30">
        <v>0</v>
      </c>
      <c r="K138" s="115">
        <f t="shared" si="29"/>
        <v>-47899618.420000002</v>
      </c>
      <c r="L138" s="210" t="s">
        <v>242</v>
      </c>
      <c r="M138" s="20"/>
      <c r="N138" s="42"/>
      <c r="O138" s="42"/>
      <c r="R138" s="58" t="s">
        <v>44</v>
      </c>
      <c r="S138" s="18">
        <v>108301</v>
      </c>
      <c r="T138" s="58"/>
    </row>
    <row r="139" spans="1:23" x14ac:dyDescent="0.2">
      <c r="A139" s="100" t="s">
        <v>167</v>
      </c>
      <c r="B139" s="18"/>
      <c r="C139" s="28" t="s">
        <v>46</v>
      </c>
      <c r="D139" s="4" t="s">
        <v>199</v>
      </c>
      <c r="E139" s="32">
        <f>VLOOKUP(A139,'DEK Q2 2017'!$A$1:$I$252,9,FALSE)</f>
        <v>11334837.289999997</v>
      </c>
      <c r="F139" s="30">
        <v>0</v>
      </c>
      <c r="G139" s="30">
        <v>1189114.23</v>
      </c>
      <c r="H139" s="30">
        <v>0</v>
      </c>
      <c r="I139" s="115">
        <f t="shared" si="30"/>
        <v>12523951.519999998</v>
      </c>
      <c r="J139" s="30">
        <v>0</v>
      </c>
      <c r="K139" s="115">
        <f>I139+J139</f>
        <v>12523951.519999998</v>
      </c>
      <c r="L139" s="210" t="s">
        <v>242</v>
      </c>
      <c r="M139" s="20"/>
      <c r="N139" s="42"/>
      <c r="O139" s="42"/>
      <c r="S139" s="18">
        <v>108410</v>
      </c>
      <c r="T139" s="58"/>
    </row>
    <row r="140" spans="1:23" x14ac:dyDescent="0.2">
      <c r="A140" s="100" t="s">
        <v>168</v>
      </c>
      <c r="B140" s="18"/>
      <c r="C140" s="28" t="s">
        <v>74</v>
      </c>
      <c r="D140" s="4" t="s">
        <v>217</v>
      </c>
      <c r="E140" s="32">
        <f>VLOOKUP(A140,'DEK Q2 2017'!$A$1:$I$252,9,FALSE)</f>
        <v>2491870.3099999996</v>
      </c>
      <c r="F140" s="30">
        <v>0</v>
      </c>
      <c r="G140" s="30">
        <v>6193544.7300000004</v>
      </c>
      <c r="H140" s="30">
        <v>0</v>
      </c>
      <c r="I140" s="115">
        <f t="shared" si="30"/>
        <v>8685415.0399999991</v>
      </c>
      <c r="J140" s="30">
        <v>0</v>
      </c>
      <c r="K140" s="115">
        <f>I140+J140</f>
        <v>8685415.0399999991</v>
      </c>
      <c r="M140" s="20"/>
      <c r="N140" s="42"/>
      <c r="O140" s="42"/>
      <c r="Q140" s="4" t="s">
        <v>50</v>
      </c>
      <c r="R140" s="4" t="s">
        <v>51</v>
      </c>
      <c r="S140" s="18">
        <v>182303</v>
      </c>
      <c r="T140" s="58"/>
    </row>
    <row r="141" spans="1:23" x14ac:dyDescent="0.2">
      <c r="A141" s="100" t="s">
        <v>169</v>
      </c>
      <c r="B141" s="18"/>
      <c r="C141" s="28" t="s">
        <v>49</v>
      </c>
      <c r="D141" s="4" t="s">
        <v>218</v>
      </c>
      <c r="E141" s="32">
        <f>VLOOKUP(A141,'DEK Q2 2017'!$A$1:$I$252,9,FALSE)</f>
        <v>4799531.9400000032</v>
      </c>
      <c r="F141" s="30">
        <v>0</v>
      </c>
      <c r="G141" s="30">
        <v>88931.31</v>
      </c>
      <c r="H141" s="30">
        <v>0</v>
      </c>
      <c r="I141" s="115">
        <f t="shared" si="30"/>
        <v>4888463.2500000028</v>
      </c>
      <c r="J141" s="30">
        <v>0</v>
      </c>
      <c r="K141" s="115">
        <f t="shared" si="29"/>
        <v>4888463.2500000028</v>
      </c>
      <c r="M141" s="20"/>
      <c r="N141" s="42"/>
      <c r="O141" s="42"/>
      <c r="Q141" s="4" t="s">
        <v>50</v>
      </c>
      <c r="S141" s="18">
        <v>182304</v>
      </c>
      <c r="T141" s="58"/>
    </row>
    <row r="142" spans="1:23" x14ac:dyDescent="0.2">
      <c r="A142" s="100" t="s">
        <v>170</v>
      </c>
      <c r="B142" s="18"/>
      <c r="C142" s="28" t="s">
        <v>42</v>
      </c>
      <c r="D142" s="4" t="s">
        <v>200</v>
      </c>
      <c r="E142" s="32">
        <f>VLOOKUP(A142,'DEK Q2 2017'!$A$1:$I$252,9,FALSE)</f>
        <v>-257612.97000000003</v>
      </c>
      <c r="F142" s="30">
        <v>0</v>
      </c>
      <c r="G142" s="30">
        <v>-18338.28</v>
      </c>
      <c r="H142" s="30">
        <v>0</v>
      </c>
      <c r="I142" s="115">
        <f t="shared" si="30"/>
        <v>-275951.25</v>
      </c>
      <c r="J142" s="30">
        <v>0</v>
      </c>
      <c r="K142" s="115">
        <f t="shared" si="29"/>
        <v>-275951.25</v>
      </c>
      <c r="L142" s="210" t="s">
        <v>241</v>
      </c>
      <c r="M142" s="20"/>
      <c r="N142" s="42"/>
      <c r="O142" s="42"/>
      <c r="R142" s="58" t="s">
        <v>44</v>
      </c>
      <c r="S142" s="18">
        <v>108101</v>
      </c>
      <c r="T142" s="58"/>
    </row>
    <row r="143" spans="1:23" x14ac:dyDescent="0.2">
      <c r="A143" s="100" t="s">
        <v>272</v>
      </c>
      <c r="B143" s="18"/>
      <c r="C143" s="28" t="s">
        <v>271</v>
      </c>
      <c r="D143" s="4" t="s">
        <v>272</v>
      </c>
      <c r="E143" s="32">
        <f>VLOOKUP(A143,'DEK Q2 2017'!$A$1:$I$252,9,FALSE)</f>
        <v>751.54</v>
      </c>
      <c r="F143" s="30">
        <v>0</v>
      </c>
      <c r="G143" s="30">
        <v>0</v>
      </c>
      <c r="H143" s="30">
        <v>0</v>
      </c>
      <c r="I143" s="115">
        <f t="shared" si="30"/>
        <v>751.54</v>
      </c>
      <c r="J143" s="30">
        <v>0</v>
      </c>
      <c r="K143" s="115">
        <f t="shared" si="29"/>
        <v>751.54</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f t="shared" ref="E145:K145" si="31">SUM(E137:E144)</f>
        <v>-48722893.210000001</v>
      </c>
      <c r="F145" s="33">
        <f t="shared" si="31"/>
        <v>0</v>
      </c>
      <c r="G145" s="33">
        <f t="shared" si="31"/>
        <v>7911952.5999999996</v>
      </c>
      <c r="H145" s="33">
        <f t="shared" si="31"/>
        <v>0</v>
      </c>
      <c r="I145" s="269">
        <f t="shared" si="31"/>
        <v>-40810940.610000014</v>
      </c>
      <c r="J145" s="33">
        <f t="shared" si="31"/>
        <v>0</v>
      </c>
      <c r="K145" s="269">
        <f t="shared" si="31"/>
        <v>-40810940.610000014</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f>+E119+E129+E135+E145+E124</f>
        <v>-57682055.149999999</v>
      </c>
      <c r="F147" s="133">
        <f t="shared" ref="F147" si="32">+F119+F127+F135+F145+F124</f>
        <v>0</v>
      </c>
      <c r="G147" s="133">
        <f>+G119+G129+G135+G145+G124</f>
        <v>10573102.439999999</v>
      </c>
      <c r="H147" s="133">
        <f>+H119+H129+H135+H145+H124</f>
        <v>-368112.89999999997</v>
      </c>
      <c r="I147" s="134">
        <f>+I119+I129+I135+I145+I124</f>
        <v>-47477065.610000014</v>
      </c>
      <c r="J147" s="133">
        <f>+J119+J127+J135+J145+J124</f>
        <v>0</v>
      </c>
      <c r="K147" s="134">
        <f>+K119+K129+K135+K145+K124</f>
        <v>-47477065.610000014</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f>E147+E107</f>
        <v>47605693.670000024</v>
      </c>
      <c r="F149" s="137">
        <f>F147+F107</f>
        <v>0</v>
      </c>
      <c r="G149" s="137">
        <f>G147+G107</f>
        <v>13838932.25</v>
      </c>
      <c r="H149" s="137">
        <f>H147+H107</f>
        <v>-434731.38999999996</v>
      </c>
      <c r="I149" s="138">
        <f>I107+I147</f>
        <v>61009894.529999986</v>
      </c>
      <c r="J149" s="137">
        <f>J147+J107</f>
        <v>7214174.9800000004</v>
      </c>
      <c r="K149" s="138">
        <f>K107+K147</f>
        <v>68224069.529999986</v>
      </c>
      <c r="L149" s="50">
        <v>0</v>
      </c>
      <c r="M149" s="70"/>
      <c r="N149" s="70"/>
      <c r="O149" s="70"/>
      <c r="P149" s="50"/>
      <c r="Q149" s="50"/>
      <c r="R149" s="50"/>
      <c r="S149" s="18"/>
      <c r="T149" s="29">
        <f>+G149+H149+F149</f>
        <v>13404200.859999999</v>
      </c>
      <c r="U149" s="19">
        <v>13111056.41</v>
      </c>
      <c r="V149" s="29">
        <f>+T149-U149</f>
        <v>293144.44999999925</v>
      </c>
    </row>
    <row r="150" spans="1:22"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f>
        <v>13404200.859999999</v>
      </c>
      <c r="H152" s="145"/>
      <c r="I152" s="145">
        <f>I149+J149</f>
        <v>68224069.50999999</v>
      </c>
      <c r="J152" s="50"/>
      <c r="K152" s="50"/>
      <c r="M152" s="20"/>
      <c r="S152" s="18"/>
    </row>
    <row r="153" spans="1:22" ht="12.75" customHeight="1" x14ac:dyDescent="0.2">
      <c r="A153" s="107" t="s">
        <v>58</v>
      </c>
      <c r="B153" s="18"/>
      <c r="C153" s="71"/>
      <c r="D153" s="168"/>
      <c r="E153" s="73"/>
      <c r="F153" s="50"/>
      <c r="G153" s="152"/>
      <c r="H153" s="50"/>
      <c r="I153" s="294">
        <f>I152-K149</f>
        <v>-1.9999995827674866E-2</v>
      </c>
      <c r="J153" s="50"/>
      <c r="K153" s="30"/>
      <c r="M153" s="20"/>
      <c r="S153" s="71"/>
    </row>
    <row r="154" spans="1:22" ht="12.75" customHeight="1" x14ac:dyDescent="0.2">
      <c r="A154" s="107"/>
      <c r="B154" s="18"/>
      <c r="C154" s="18"/>
      <c r="D154" s="72"/>
      <c r="E154" s="83"/>
      <c r="F154" s="50"/>
      <c r="G154" s="145"/>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1705885.81</v>
      </c>
      <c r="F178" s="32">
        <f t="shared" ref="F178:F183" si="33">+F105+F106</f>
        <v>0</v>
      </c>
      <c r="G178" s="165"/>
      <c r="H178" s="83"/>
      <c r="I178" s="84">
        <f>+I19</f>
        <v>1967072.81</v>
      </c>
      <c r="J178" s="84">
        <f>+J19</f>
        <v>2006593.04</v>
      </c>
      <c r="K178" s="84">
        <f>+K19</f>
        <v>3973665.85</v>
      </c>
      <c r="M178" s="20"/>
      <c r="S178" s="18"/>
    </row>
    <row r="179" spans="1:19" hidden="1" x14ac:dyDescent="0.2">
      <c r="A179" s="109" t="s">
        <v>141</v>
      </c>
      <c r="B179" s="18"/>
      <c r="C179" s="18"/>
      <c r="D179" s="82" t="s">
        <v>141</v>
      </c>
      <c r="E179" s="83">
        <f>+E24</f>
        <v>1321668.7700000012</v>
      </c>
      <c r="F179" s="32">
        <f t="shared" si="33"/>
        <v>0</v>
      </c>
      <c r="G179" s="165"/>
      <c r="H179" s="83"/>
      <c r="I179" s="84">
        <f>+I24</f>
        <v>1255050.2800000012</v>
      </c>
      <c r="J179" s="84">
        <f>+J24</f>
        <v>-266474.03999999998</v>
      </c>
      <c r="K179" s="84">
        <f>+K24</f>
        <v>988576.24000000115</v>
      </c>
      <c r="M179" s="20"/>
      <c r="S179" s="18"/>
    </row>
    <row r="180" spans="1:19" hidden="1" x14ac:dyDescent="0.2">
      <c r="A180" s="109" t="s">
        <v>61</v>
      </c>
      <c r="B180" s="18"/>
      <c r="C180" s="18"/>
      <c r="D180" s="82" t="s">
        <v>61</v>
      </c>
      <c r="E180" s="32">
        <f>+E30</f>
        <v>1873083.2000000002</v>
      </c>
      <c r="F180" s="32">
        <f t="shared" si="33"/>
        <v>0</v>
      </c>
      <c r="G180" s="157"/>
      <c r="H180" s="32"/>
      <c r="I180" s="84">
        <f>+I30</f>
        <v>1938627.2000000002</v>
      </c>
      <c r="J180" s="84">
        <f>+J30</f>
        <v>0</v>
      </c>
      <c r="K180" s="84">
        <f>+K30</f>
        <v>1938627.2000000002</v>
      </c>
      <c r="M180" s="20"/>
      <c r="S180" s="18"/>
    </row>
    <row r="181" spans="1:19" hidden="1" x14ac:dyDescent="0.2">
      <c r="A181" s="109" t="s">
        <v>143</v>
      </c>
      <c r="B181" s="18"/>
      <c r="C181" s="18"/>
      <c r="D181" s="82" t="s">
        <v>143</v>
      </c>
      <c r="E181" s="32">
        <f>+E86</f>
        <v>56313834.980000012</v>
      </c>
      <c r="F181" s="32">
        <f t="shared" si="33"/>
        <v>0</v>
      </c>
      <c r="G181" s="157"/>
      <c r="H181" s="32"/>
      <c r="I181" s="84">
        <f>+I86</f>
        <v>58982496.880000003</v>
      </c>
      <c r="J181" s="84">
        <f>+J86</f>
        <v>5474055.9800000004</v>
      </c>
      <c r="K181" s="84">
        <f>+K86</f>
        <v>64456552.880000003</v>
      </c>
      <c r="M181" s="20"/>
      <c r="S181" s="18"/>
    </row>
    <row r="182" spans="1:19" hidden="1" x14ac:dyDescent="0.2">
      <c r="A182" s="109" t="s">
        <v>151</v>
      </c>
      <c r="B182" s="18"/>
      <c r="C182" s="18"/>
      <c r="D182" s="82" t="s">
        <v>151</v>
      </c>
      <c r="E182" s="32">
        <f>+E101</f>
        <v>30568507.040000003</v>
      </c>
      <c r="F182" s="32">
        <f t="shared" si="33"/>
        <v>0</v>
      </c>
      <c r="G182" s="157"/>
      <c r="H182" s="32"/>
      <c r="I182" s="84">
        <f>+I101</f>
        <v>30042880.040000003</v>
      </c>
      <c r="J182" s="84">
        <f>+J101</f>
        <v>0</v>
      </c>
      <c r="K182" s="84">
        <f>+K101</f>
        <v>30042880.040000003</v>
      </c>
      <c r="M182" s="20"/>
      <c r="S182" s="18"/>
    </row>
    <row r="183" spans="1:19" hidden="1" x14ac:dyDescent="0.2">
      <c r="A183" s="109" t="s">
        <v>62</v>
      </c>
      <c r="B183" s="18"/>
      <c r="C183" s="18"/>
      <c r="D183" s="82" t="s">
        <v>62</v>
      </c>
      <c r="E183" s="32">
        <v>0</v>
      </c>
      <c r="F183" s="32">
        <f t="shared" si="33"/>
        <v>0</v>
      </c>
      <c r="G183" s="157"/>
      <c r="H183" s="32"/>
      <c r="I183" s="84">
        <v>0</v>
      </c>
      <c r="J183" s="84">
        <v>0</v>
      </c>
      <c r="K183" s="84">
        <v>0</v>
      </c>
      <c r="M183" s="20"/>
      <c r="S183" s="18"/>
    </row>
    <row r="184" spans="1:19" hidden="1" x14ac:dyDescent="0.2">
      <c r="A184" s="109" t="s">
        <v>152</v>
      </c>
      <c r="B184" s="18"/>
      <c r="C184" s="18"/>
      <c r="D184" s="82" t="s">
        <v>152</v>
      </c>
      <c r="E184" s="32">
        <f>+E119</f>
        <v>-3699334.1799999992</v>
      </c>
      <c r="F184" s="32" t="e">
        <f>+F111+#REF!</f>
        <v>#REF!</v>
      </c>
      <c r="G184" s="157"/>
      <c r="H184" s="32"/>
      <c r="I184" s="84">
        <f>+I119</f>
        <v>-1558575.6799999997</v>
      </c>
      <c r="J184" s="84">
        <f>+J119</f>
        <v>0</v>
      </c>
      <c r="K184" s="84">
        <f>+K119</f>
        <v>-1558575.6799999997</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-14466.030000000004</v>
      </c>
      <c r="F187" s="32" t="e">
        <f>+#REF!+F112</f>
        <v>#REF!</v>
      </c>
      <c r="G187" s="157"/>
      <c r="H187" s="32"/>
      <c r="I187" s="84">
        <f>+I135</f>
        <v>-14344.590000000004</v>
      </c>
      <c r="J187" s="84">
        <f>+J135</f>
        <v>0</v>
      </c>
      <c r="K187" s="84">
        <f>+K135</f>
        <v>-14344.590000000004</v>
      </c>
      <c r="M187" s="20"/>
      <c r="S187" s="18"/>
    </row>
    <row r="188" spans="1:19" hidden="1" x14ac:dyDescent="0.2">
      <c r="A188" s="109" t="s">
        <v>155</v>
      </c>
      <c r="B188" s="18"/>
      <c r="C188" s="18"/>
      <c r="D188" s="82" t="s">
        <v>155</v>
      </c>
      <c r="E188" s="32">
        <f>+E145</f>
        <v>-48722893.210000001</v>
      </c>
      <c r="F188" s="32">
        <f t="shared" ref="F188" si="34">+F112+F113</f>
        <v>0</v>
      </c>
      <c r="G188" s="157"/>
      <c r="H188" s="32"/>
      <c r="I188" s="84">
        <f>+I145</f>
        <v>-40810940.610000014</v>
      </c>
      <c r="J188" s="84">
        <f>+J145</f>
        <v>0</v>
      </c>
      <c r="K188" s="84">
        <f>+K145</f>
        <v>-40810940.610000014</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39346286.380000018</v>
      </c>
      <c r="F190" s="88" t="e">
        <f>SUM(F180:F189)</f>
        <v>#REF!</v>
      </c>
      <c r="G190" s="166"/>
      <c r="H190" s="88"/>
      <c r="I190" s="89">
        <f>SUM(I176:I189)</f>
        <v>51802266.329999983</v>
      </c>
      <c r="J190" s="89">
        <f>SUM(J176:J189)</f>
        <v>7214174.9800000004</v>
      </c>
      <c r="K190" s="89">
        <f>SUM(K176:K189)</f>
        <v>59016441.329999983</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-8259407.2900000066</v>
      </c>
      <c r="F192" s="19"/>
      <c r="G192" s="148"/>
      <c r="H192" s="19"/>
      <c r="I192" s="19">
        <f>+I190-I149</f>
        <v>-9207628.200000003</v>
      </c>
      <c r="J192" s="19">
        <f>+J190-J149</f>
        <v>0</v>
      </c>
      <c r="K192" s="19">
        <f>+K190-K149</f>
        <v>-9207628.200000003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+G34+G42+G44+G46+G48+G93+G57+G59+G15+G50+G68+G55+G67</f>
        <v>-16962</v>
      </c>
      <c r="H196" s="19">
        <f>+H34+H52+H42+H44+H46+H48+H93+H57+H59+H15+H50+H68+H55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2508871.4</v>
      </c>
      <c r="H198" s="19">
        <f>+H111+H112+H113+H114+H110</f>
        <v>-368112.89999999997</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2491909.4</v>
      </c>
      <c r="H200" s="110">
        <f>+H196+H197+H198-H153</f>
        <v>-368112.89999999997</v>
      </c>
      <c r="I200" s="19"/>
      <c r="J200" s="19"/>
      <c r="K200" s="19"/>
      <c r="M200" s="20"/>
      <c r="S200" s="18"/>
    </row>
    <row r="201" spans="1:19" hidden="1" x14ac:dyDescent="0.2">
      <c r="B201" s="18"/>
      <c r="C201" s="18"/>
      <c r="F201" s="19"/>
      <c r="H201" s="29">
        <f>+H197+H198+H196+G196+G197+G198</f>
        <v>2123796.5</v>
      </c>
      <c r="I201" s="19"/>
      <c r="J201" s="19"/>
      <c r="K201" s="19"/>
      <c r="M201" s="20"/>
      <c r="S201" s="18"/>
    </row>
    <row r="202" spans="1:19" hidden="1" x14ac:dyDescent="0.2">
      <c r="B202" s="18"/>
      <c r="C202" s="18"/>
      <c r="F202" s="19"/>
      <c r="G202" s="148"/>
      <c r="H202" s="29">
        <f>+H201-G153-H153</f>
        <v>2123796.5</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1"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288"/>
  <sheetViews>
    <sheetView topLeftCell="A89" zoomScale="80" zoomScaleNormal="80" workbookViewId="0">
      <selection activeCell="D176" sqref="D176"/>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0" t="s">
        <v>66</v>
      </c>
    </row>
    <row r="4" spans="1:22" x14ac:dyDescent="0.2">
      <c r="A4" s="99"/>
      <c r="B4" s="7"/>
      <c r="C4" s="3"/>
      <c r="D4" s="3"/>
      <c r="E4" s="3"/>
      <c r="F4" s="8"/>
      <c r="G4" s="147"/>
      <c r="H4" s="8"/>
      <c r="I4" s="9"/>
      <c r="J4" s="9"/>
      <c r="K4" s="9"/>
      <c r="M4" s="10"/>
      <c r="P4" s="180" t="s">
        <v>1</v>
      </c>
    </row>
    <row r="5" spans="1:22" x14ac:dyDescent="0.2">
      <c r="E5" s="180" t="s">
        <v>2</v>
      </c>
      <c r="F5" s="180" t="s">
        <v>3</v>
      </c>
      <c r="G5" s="180" t="s">
        <v>4</v>
      </c>
      <c r="H5" s="180"/>
      <c r="I5" s="111" t="s">
        <v>208</v>
      </c>
      <c r="J5" s="13" t="s">
        <v>180</v>
      </c>
      <c r="K5" s="111" t="s">
        <v>209</v>
      </c>
      <c r="L5" s="180" t="s">
        <v>5</v>
      </c>
      <c r="M5" s="11" t="s">
        <v>6</v>
      </c>
      <c r="N5" s="11" t="s">
        <v>0</v>
      </c>
      <c r="O5" s="11" t="s">
        <v>8</v>
      </c>
      <c r="P5" s="180" t="s">
        <v>9</v>
      </c>
      <c r="Q5" s="576" t="s">
        <v>10</v>
      </c>
      <c r="R5" s="576"/>
      <c r="U5" s="12" t="s">
        <v>11</v>
      </c>
    </row>
    <row r="6" spans="1:22" x14ac:dyDescent="0.2">
      <c r="E6" s="13">
        <v>42004</v>
      </c>
      <c r="F6" s="13" t="s">
        <v>12</v>
      </c>
      <c r="G6" s="14" t="s">
        <v>13</v>
      </c>
      <c r="H6" s="14" t="s">
        <v>8</v>
      </c>
      <c r="I6" s="112">
        <v>42094</v>
      </c>
      <c r="J6" s="13" t="s">
        <v>210</v>
      </c>
      <c r="K6" s="112">
        <f>I6</f>
        <v>42094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v>1091242.7799999989</v>
      </c>
      <c r="F9" s="30">
        <v>0</v>
      </c>
      <c r="G9" s="33">
        <v>-1091242.78</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v>1921395.66</v>
      </c>
      <c r="F10" s="33">
        <v>0</v>
      </c>
      <c r="G10" s="33">
        <v>-1921395.66</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3012638.4399999985</v>
      </c>
      <c r="F12" s="29">
        <f t="shared" ref="F12:J12" si="0">SUM(F9:F10)</f>
        <v>0</v>
      </c>
      <c r="G12" s="29">
        <f t="shared" si="0"/>
        <v>-3012638.44</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v>559677.81000000006</v>
      </c>
      <c r="F15" s="30">
        <v>0</v>
      </c>
      <c r="G15" s="33">
        <v>233440</v>
      </c>
      <c r="H15" s="30">
        <v>0</v>
      </c>
      <c r="I15" s="115">
        <f>E15+F15+G15+H15</f>
        <v>793117.81</v>
      </c>
      <c r="J15" s="30">
        <v>0</v>
      </c>
      <c r="K15" s="115">
        <f>I15+J15</f>
        <v>793117.81</v>
      </c>
      <c r="M15" s="20"/>
      <c r="S15" s="18"/>
    </row>
    <row r="16" spans="1:22" x14ac:dyDescent="0.2">
      <c r="A16" s="100" t="s">
        <v>157</v>
      </c>
      <c r="B16" s="28"/>
      <c r="C16" s="28" t="s">
        <v>37</v>
      </c>
      <c r="D16" s="4" t="s">
        <v>192</v>
      </c>
      <c r="E16" s="29">
        <v>1590647</v>
      </c>
      <c r="F16" s="30">
        <v>0</v>
      </c>
      <c r="G16" s="129">
        <v>-293994</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v>0</v>
      </c>
      <c r="F17" s="30">
        <v>0</v>
      </c>
      <c r="G17" s="144">
        <v>0</v>
      </c>
      <c r="H17" s="33">
        <v>0</v>
      </c>
      <c r="I17" s="115">
        <f>E17+F17+G17+H17</f>
        <v>0</v>
      </c>
      <c r="J17" s="30">
        <v>3076855.04</v>
      </c>
      <c r="K17" s="115">
        <f t="shared" ref="K17" si="1">I17+J17</f>
        <v>3076855.04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2150324.81</v>
      </c>
      <c r="F19" s="29">
        <f t="shared" ref="F19:K19" si="2">SUM(F15:F18)</f>
        <v>0</v>
      </c>
      <c r="G19" s="29">
        <f t="shared" si="2"/>
        <v>-60554</v>
      </c>
      <c r="H19" s="29">
        <f t="shared" si="2"/>
        <v>0</v>
      </c>
      <c r="I19" s="117">
        <f t="shared" si="2"/>
        <v>2089770.81</v>
      </c>
      <c r="J19" s="29">
        <f t="shared" si="2"/>
        <v>3076855.04</v>
      </c>
      <c r="K19" s="117">
        <f t="shared" si="2"/>
        <v>5166625.8499999996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v>1987853.8500000003</v>
      </c>
      <c r="F22" s="33">
        <v>0</v>
      </c>
      <c r="G22" s="130"/>
      <c r="H22" s="130">
        <v>-66618.52</v>
      </c>
      <c r="I22" s="115">
        <f>E22+F22+G22+H22</f>
        <v>1921235.3300000003</v>
      </c>
      <c r="J22" s="33">
        <v>-266474.03999999998</v>
      </c>
      <c r="K22" s="115">
        <f>I22+J22</f>
        <v>1654761.2900000003</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1987853.8500000003</v>
      </c>
      <c r="F24" s="29">
        <f t="shared" ref="F24:K24" si="3">SUM(F22:F23)</f>
        <v>0</v>
      </c>
      <c r="G24" s="29">
        <f t="shared" si="3"/>
        <v>0</v>
      </c>
      <c r="H24" s="29">
        <f t="shared" si="3"/>
        <v>-66618.52</v>
      </c>
      <c r="I24" s="117">
        <f t="shared" si="3"/>
        <v>1921235.3300000003</v>
      </c>
      <c r="J24" s="29">
        <f t="shared" si="3"/>
        <v>-266474.03999999998</v>
      </c>
      <c r="K24" s="117">
        <f t="shared" si="3"/>
        <v>1654761.2900000003</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v>1509623</v>
      </c>
      <c r="F27" s="33">
        <v>0</v>
      </c>
      <c r="G27" s="33">
        <v>29314</v>
      </c>
      <c r="H27" s="29">
        <v>0</v>
      </c>
      <c r="I27" s="115">
        <f>E27+F27+G27+H27</f>
        <v>1538937</v>
      </c>
      <c r="J27" s="33">
        <v>0</v>
      </c>
      <c r="K27" s="115">
        <f>I27+J27</f>
        <v>1538937</v>
      </c>
      <c r="L27" s="4" t="s">
        <v>22</v>
      </c>
      <c r="M27" s="20"/>
      <c r="S27" s="28" t="s">
        <v>23</v>
      </c>
    </row>
    <row r="28" spans="1:21" ht="13.5" customHeight="1" x14ac:dyDescent="0.2">
      <c r="A28" s="100" t="s">
        <v>80</v>
      </c>
      <c r="B28" s="28"/>
      <c r="C28" s="28" t="s">
        <v>24</v>
      </c>
      <c r="D28" s="4" t="s">
        <v>204</v>
      </c>
      <c r="E28" s="29">
        <v>-557987.80000000005</v>
      </c>
      <c r="F28" s="33">
        <v>0</v>
      </c>
      <c r="G28" s="33">
        <v>15198</v>
      </c>
      <c r="H28" s="32">
        <v>0</v>
      </c>
      <c r="I28" s="115">
        <f>E28+F28+G28+H28</f>
        <v>-542789.80000000005</v>
      </c>
      <c r="J28" s="33">
        <v>0</v>
      </c>
      <c r="K28" s="115">
        <f>I28+J28</f>
        <v>-542789.80000000005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951635.2</v>
      </c>
      <c r="F30" s="44">
        <f t="shared" ref="F30:K30" si="4">SUM(F27:F28)</f>
        <v>0</v>
      </c>
      <c r="G30" s="130">
        <f t="shared" si="4"/>
        <v>44512</v>
      </c>
      <c r="H30" s="130">
        <f t="shared" si="4"/>
        <v>0</v>
      </c>
      <c r="I30" s="122">
        <f t="shared" si="4"/>
        <v>996147.19999999995</v>
      </c>
      <c r="J30" s="33">
        <f t="shared" si="4"/>
        <v>0</v>
      </c>
      <c r="K30" s="115">
        <f t="shared" si="4"/>
        <v>996147.19999999995</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v>8973145.4299999997</v>
      </c>
      <c r="F52" s="33">
        <v>0</v>
      </c>
      <c r="G52" s="33">
        <v>-1500643.54</v>
      </c>
      <c r="H52" s="33">
        <v>0</v>
      </c>
      <c r="I52" s="115">
        <f>E52+F52+G52+H52</f>
        <v>7472501.8899999997</v>
      </c>
      <c r="J52" s="33">
        <v>-2810381</v>
      </c>
      <c r="K52" s="115">
        <f>I52+J52</f>
        <v>4662120.8899999997</v>
      </c>
      <c r="M52" s="20"/>
      <c r="N52" s="6" t="s">
        <v>67</v>
      </c>
      <c r="O52" s="6" t="s">
        <v>68</v>
      </c>
      <c r="P52" s="51" t="s">
        <v>69</v>
      </c>
      <c r="R52" s="4" t="s">
        <v>30</v>
      </c>
      <c r="S52" s="18">
        <v>182401</v>
      </c>
      <c r="U52" s="39" t="s">
        <v>31</v>
      </c>
    </row>
    <row r="53" spans="1:23" ht="25.5" x14ac:dyDescent="0.2">
      <c r="A53" s="100" t="s">
        <v>160</v>
      </c>
      <c r="B53" s="28"/>
      <c r="C53" s="28" t="s">
        <v>35</v>
      </c>
      <c r="D53" s="4" t="s">
        <v>212</v>
      </c>
      <c r="E53" s="29">
        <v>5690225</v>
      </c>
      <c r="F53" s="33">
        <v>0</v>
      </c>
      <c r="G53" s="130">
        <v>309519</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v>1200000</v>
      </c>
      <c r="F59" s="33">
        <v>0</v>
      </c>
      <c r="G59" s="33">
        <v>50000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v>0</v>
      </c>
      <c r="F67" s="172"/>
      <c r="G67" s="33">
        <v>3865309.38</v>
      </c>
      <c r="H67" s="172"/>
      <c r="I67" s="115">
        <f t="shared" si="5"/>
        <v>3865309.38</v>
      </c>
      <c r="J67" s="172"/>
      <c r="K67" s="115">
        <f t="shared" si="6"/>
        <v>3865309.38</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v>0</v>
      </c>
      <c r="F69" s="174"/>
      <c r="G69" s="36">
        <v>228.93</v>
      </c>
      <c r="H69" s="36"/>
      <c r="I69" s="116">
        <f t="shared" si="5"/>
        <v>228.93</v>
      </c>
      <c r="J69" s="36"/>
      <c r="K69" s="116">
        <f t="shared" si="6"/>
        <v>228.93</v>
      </c>
      <c r="M69" s="20"/>
      <c r="S69" s="18"/>
    </row>
    <row r="70" spans="1:21" x14ac:dyDescent="0.2">
      <c r="B70" s="54"/>
      <c r="C70" s="28"/>
      <c r="E70" s="29">
        <f>SUM(E42:E69)</f>
        <v>20776054.43</v>
      </c>
      <c r="F70" s="29">
        <f>SUM(F39:F65)+F36</f>
        <v>0</v>
      </c>
      <c r="G70" s="29">
        <f>SUM(G39:G69)+G36</f>
        <v>2724413.77</v>
      </c>
      <c r="H70" s="29">
        <f>SUM(H39:H65)+H36</f>
        <v>0</v>
      </c>
      <c r="I70" s="117">
        <f>SUM(I39:I69)+I36</f>
        <v>23500468.199999999</v>
      </c>
      <c r="J70" s="29">
        <f>SUM(J39:J69)+J36</f>
        <v>-2810381</v>
      </c>
      <c r="K70" s="117">
        <f>SUM(K39:K69)+K36</f>
        <v>20690087.199999999</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v>21496048.440000001</v>
      </c>
      <c r="F74" s="30">
        <v>0</v>
      </c>
      <c r="G74" s="130">
        <v>-500139</v>
      </c>
      <c r="H74" s="129">
        <v>0</v>
      </c>
      <c r="I74" s="115">
        <f>E74+F74+G74+H74</f>
        <v>20995909.440000001</v>
      </c>
      <c r="J74" s="30">
        <v>0</v>
      </c>
      <c r="K74" s="115">
        <f t="shared" ref="K74:K76" si="7">I74+J74</f>
        <v>20995909.440000001</v>
      </c>
      <c r="M74" s="20"/>
      <c r="P74" s="58"/>
      <c r="S74" s="18">
        <v>186801</v>
      </c>
    </row>
    <row r="75" spans="1:21" x14ac:dyDescent="0.2">
      <c r="A75" s="108" t="s">
        <v>171</v>
      </c>
      <c r="B75" s="28"/>
      <c r="C75" s="28" t="s">
        <v>122</v>
      </c>
      <c r="D75" s="4" t="s">
        <v>225</v>
      </c>
      <c r="E75" s="29">
        <v>3245961.55</v>
      </c>
      <c r="F75" s="30">
        <v>0</v>
      </c>
      <c r="G75" s="130">
        <v>-82758</v>
      </c>
      <c r="H75" s="129">
        <v>0</v>
      </c>
      <c r="I75" s="115">
        <f>E75+F75+G75+H75</f>
        <v>3163203.55</v>
      </c>
      <c r="J75" s="30">
        <v>0</v>
      </c>
      <c r="K75" s="115">
        <f t="shared" si="7"/>
        <v>3163203.55</v>
      </c>
      <c r="M75" s="20"/>
      <c r="P75" s="58"/>
      <c r="S75" s="18"/>
    </row>
    <row r="76" spans="1:21" x14ac:dyDescent="0.2">
      <c r="A76" s="108" t="s">
        <v>172</v>
      </c>
      <c r="B76" s="28"/>
      <c r="C76" s="28" t="s">
        <v>123</v>
      </c>
      <c r="D76" s="4" t="s">
        <v>226</v>
      </c>
      <c r="E76" s="29">
        <v>64035.05</v>
      </c>
      <c r="F76" s="30">
        <v>0</v>
      </c>
      <c r="G76" s="130">
        <v>-2382</v>
      </c>
      <c r="H76" s="129">
        <v>0</v>
      </c>
      <c r="I76" s="115">
        <f>E76+F76+G76+H76</f>
        <v>61653.05</v>
      </c>
      <c r="J76" s="30">
        <v>0</v>
      </c>
      <c r="K76" s="115">
        <f t="shared" si="7"/>
        <v>61653.05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24806045.040000003</v>
      </c>
      <c r="F78" s="29">
        <f t="shared" ref="F78:K78" si="8">SUM(F73:F77)</f>
        <v>0</v>
      </c>
      <c r="G78" s="29">
        <f>SUM(G73:G77)</f>
        <v>-585279</v>
      </c>
      <c r="H78" s="29">
        <f t="shared" si="8"/>
        <v>0</v>
      </c>
      <c r="I78" s="117">
        <f t="shared" si="8"/>
        <v>24220766.040000003</v>
      </c>
      <c r="J78" s="29">
        <f t="shared" si="8"/>
        <v>0</v>
      </c>
      <c r="K78" s="117">
        <f t="shared" si="8"/>
        <v>24220766.040000003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53684551.770000003</v>
      </c>
      <c r="F84" s="133">
        <f t="shared" si="10"/>
        <v>0</v>
      </c>
      <c r="G84" s="133">
        <f t="shared" si="10"/>
        <v>-889545.66999999993</v>
      </c>
      <c r="H84" s="133">
        <f t="shared" si="10"/>
        <v>-66618.52</v>
      </c>
      <c r="I84" s="134">
        <f t="shared" si="10"/>
        <v>52728387.579999998</v>
      </c>
      <c r="J84" s="133">
        <f t="shared" si="10"/>
        <v>0</v>
      </c>
      <c r="K84" s="134">
        <f t="shared" si="10"/>
        <v>52728387.580000006</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v>0</v>
      </c>
      <c r="F87" s="30">
        <v>0</v>
      </c>
      <c r="G87" s="33">
        <v>3754257.04</v>
      </c>
      <c r="H87" s="33">
        <v>-2724025.3</v>
      </c>
      <c r="I87" s="115">
        <f t="shared" ref="I87:I92" si="11">E87+F87+G87+H87</f>
        <v>1030231.7400000002</v>
      </c>
      <c r="J87" s="30">
        <v>0</v>
      </c>
      <c r="K87" s="115">
        <f t="shared" ref="K87:K92" si="12">I87+J87</f>
        <v>1030231.7400000002</v>
      </c>
      <c r="L87" s="4" t="s">
        <v>22</v>
      </c>
      <c r="M87" s="33"/>
      <c r="N87" s="42"/>
      <c r="O87" s="42"/>
      <c r="S87" s="18">
        <v>191400</v>
      </c>
      <c r="T87" s="58"/>
    </row>
    <row r="88" spans="1:20" x14ac:dyDescent="0.2">
      <c r="A88" s="100" t="s">
        <v>115</v>
      </c>
      <c r="B88" s="18"/>
      <c r="C88" s="28" t="s">
        <v>53</v>
      </c>
      <c r="D88" s="4" t="s">
        <v>115</v>
      </c>
      <c r="E88" s="29">
        <v>0</v>
      </c>
      <c r="F88" s="30">
        <v>0</v>
      </c>
      <c r="G88" s="33">
        <v>-2341925</v>
      </c>
      <c r="H88" s="33">
        <v>0</v>
      </c>
      <c r="I88" s="115">
        <f t="shared" si="11"/>
        <v>-2341925</v>
      </c>
      <c r="J88" s="30">
        <v>0</v>
      </c>
      <c r="K88" s="115">
        <f t="shared" si="12"/>
        <v>-2341925</v>
      </c>
      <c r="L88" s="4" t="s">
        <v>22</v>
      </c>
      <c r="M88" s="30"/>
      <c r="N88" s="42"/>
      <c r="O88" s="42"/>
      <c r="S88" s="18">
        <v>191800</v>
      </c>
      <c r="T88" s="58"/>
    </row>
    <row r="89" spans="1:20" ht="12.75" customHeight="1" x14ac:dyDescent="0.2">
      <c r="A89" s="100" t="s">
        <v>117</v>
      </c>
      <c r="B89" s="18"/>
      <c r="C89" s="28" t="s">
        <v>77</v>
      </c>
      <c r="D89" s="4" t="s">
        <v>117</v>
      </c>
      <c r="E89" s="29">
        <v>-611022</v>
      </c>
      <c r="F89" s="30">
        <v>0</v>
      </c>
      <c r="G89" s="30">
        <v>240768</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v>-3.1650415621697903E-10</v>
      </c>
      <c r="F90" s="30">
        <v>0</v>
      </c>
      <c r="G90" s="30">
        <v>-3084564.84</v>
      </c>
      <c r="H90" s="33">
        <v>0</v>
      </c>
      <c r="I90" s="115">
        <f t="shared" si="11"/>
        <v>-3084564.8400000003</v>
      </c>
      <c r="J90" s="30">
        <v>0</v>
      </c>
      <c r="K90" s="115">
        <f t="shared" si="12"/>
        <v>-3084564.8400000003</v>
      </c>
      <c r="M90" s="20"/>
      <c r="N90" s="42"/>
      <c r="O90" s="42"/>
      <c r="S90" s="18">
        <v>242997</v>
      </c>
      <c r="T90" s="58"/>
    </row>
    <row r="91" spans="1:20" x14ac:dyDescent="0.2">
      <c r="A91" s="100" t="s">
        <v>120</v>
      </c>
      <c r="B91" s="18"/>
      <c r="C91" s="28" t="s">
        <v>54</v>
      </c>
      <c r="D91" s="4" t="s">
        <v>120</v>
      </c>
      <c r="E91" s="29">
        <v>56471.830000000031</v>
      </c>
      <c r="F91" s="33">
        <v>0</v>
      </c>
      <c r="G91" s="144">
        <v>0</v>
      </c>
      <c r="H91" s="33">
        <v>-33745.9</v>
      </c>
      <c r="I91" s="115">
        <f t="shared" si="11"/>
        <v>22725.930000000029</v>
      </c>
      <c r="J91" s="33">
        <v>0</v>
      </c>
      <c r="K91" s="115">
        <f t="shared" si="12"/>
        <v>22725.930000000029</v>
      </c>
      <c r="L91" s="4" t="s">
        <v>22</v>
      </c>
      <c r="M91" s="42"/>
      <c r="N91" s="42"/>
      <c r="O91" s="42"/>
      <c r="S91" s="18">
        <v>253130</v>
      </c>
      <c r="T91" s="58"/>
    </row>
    <row r="92" spans="1:20" x14ac:dyDescent="0.2">
      <c r="A92" s="100" t="s">
        <v>156</v>
      </c>
      <c r="B92" s="18"/>
      <c r="C92" s="28" t="s">
        <v>116</v>
      </c>
      <c r="D92" s="4" t="s">
        <v>211</v>
      </c>
      <c r="E92" s="29">
        <v>-430047.89000000013</v>
      </c>
      <c r="F92" s="33"/>
      <c r="G92" s="33">
        <v>-126459.18</v>
      </c>
      <c r="H92" s="33">
        <v>0</v>
      </c>
      <c r="I92" s="115">
        <f t="shared" si="11"/>
        <v>-556507.07000000007</v>
      </c>
      <c r="J92" s="30">
        <v>0</v>
      </c>
      <c r="K92" s="115">
        <f t="shared" si="12"/>
        <v>-556507.07000000007</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-984598.06000000041</v>
      </c>
      <c r="F94" s="33">
        <f t="shared" si="13"/>
        <v>0</v>
      </c>
      <c r="G94" s="33">
        <f t="shared" si="13"/>
        <v>-1557923.9799999997</v>
      </c>
      <c r="H94" s="33">
        <f t="shared" si="13"/>
        <v>-2757771.1999999997</v>
      </c>
      <c r="I94" s="115">
        <f t="shared" si="13"/>
        <v>-5300293.24</v>
      </c>
      <c r="J94" s="33">
        <f t="shared" si="13"/>
        <v>0</v>
      </c>
      <c r="K94" s="115">
        <f t="shared" si="13"/>
        <v>-5300293.24</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Feb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v>-3835078.63</v>
      </c>
      <c r="F102" s="30">
        <v>0</v>
      </c>
      <c r="G102" s="130">
        <v>99084</v>
      </c>
      <c r="H102" s="130">
        <v>0</v>
      </c>
      <c r="I102" s="125">
        <f>E102+G102+H102+F102</f>
        <v>-3735994.63</v>
      </c>
      <c r="J102" s="91">
        <v>0</v>
      </c>
      <c r="K102" s="115">
        <f>I102+J102</f>
        <v>-3735994.63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v>-19521.540000000005</v>
      </c>
      <c r="F107" s="30">
        <v>0</v>
      </c>
      <c r="G107" s="130">
        <v>2571.42</v>
      </c>
      <c r="H107" s="130">
        <v>0</v>
      </c>
      <c r="I107" s="115">
        <f>E107+F107+G107+H107</f>
        <v>-16950.120000000003</v>
      </c>
      <c r="J107" s="30">
        <v>0</v>
      </c>
      <c r="K107" s="115">
        <f t="shared" si="15"/>
        <v>-16950.120000000003</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-19521.540000000005</v>
      </c>
      <c r="F109" s="30">
        <f t="shared" ref="F109:K109" si="17">SUM(F105:F108)</f>
        <v>0</v>
      </c>
      <c r="G109" s="30">
        <f t="shared" si="17"/>
        <v>2571.42</v>
      </c>
      <c r="H109" s="30">
        <f t="shared" si="17"/>
        <v>0</v>
      </c>
      <c r="I109" s="115">
        <f t="shared" si="17"/>
        <v>-16950.120000000003</v>
      </c>
      <c r="J109" s="30">
        <f t="shared" si="17"/>
        <v>0</v>
      </c>
      <c r="K109" s="115">
        <f t="shared" si="17"/>
        <v>-16950.120000000003</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v>-16637475.470000003</v>
      </c>
      <c r="F111" s="30">
        <v>0</v>
      </c>
      <c r="G111" s="129">
        <v>26563.29</v>
      </c>
      <c r="H111" s="129">
        <v>0</v>
      </c>
      <c r="I111" s="115">
        <f t="shared" ref="I111:I116" si="18">E111+F111+G111+H111</f>
        <v>-16610912.180000003</v>
      </c>
      <c r="J111" s="30">
        <v>0</v>
      </c>
      <c r="K111" s="115">
        <f t="shared" ref="K111:K116" si="19">I111+J111</f>
        <v>-16610912.180000003</v>
      </c>
      <c r="L111" s="4" t="s">
        <v>43</v>
      </c>
      <c r="M111" s="20"/>
      <c r="N111" s="42"/>
      <c r="O111" s="42"/>
      <c r="Q111" s="180">
        <v>75086</v>
      </c>
      <c r="R111" s="58" t="s">
        <v>44</v>
      </c>
      <c r="S111" s="18">
        <v>108201</v>
      </c>
      <c r="T111" s="58"/>
    </row>
    <row r="112" spans="1:23" x14ac:dyDescent="0.2">
      <c r="A112" s="100" t="s">
        <v>166</v>
      </c>
      <c r="B112" s="18"/>
      <c r="C112" s="28" t="s">
        <v>45</v>
      </c>
      <c r="D112" s="4" t="s">
        <v>198</v>
      </c>
      <c r="E112" s="29">
        <v>-48172672.720000006</v>
      </c>
      <c r="F112" s="30">
        <v>0</v>
      </c>
      <c r="G112" s="129">
        <v>-1226939.55</v>
      </c>
      <c r="H112" s="129">
        <v>0</v>
      </c>
      <c r="I112" s="115">
        <f t="shared" si="18"/>
        <v>-49399612.270000003</v>
      </c>
      <c r="J112" s="30">
        <v>0</v>
      </c>
      <c r="K112" s="115">
        <f t="shared" si="19"/>
        <v>-49399612.270000003</v>
      </c>
      <c r="L112" s="4" t="s">
        <v>43</v>
      </c>
      <c r="M112" s="20"/>
      <c r="N112" s="42"/>
      <c r="O112" s="42"/>
      <c r="R112" s="58" t="s">
        <v>44</v>
      </c>
      <c r="S112" s="18">
        <v>108301</v>
      </c>
      <c r="T112" s="58"/>
    </row>
    <row r="113" spans="1:22" x14ac:dyDescent="0.2">
      <c r="A113" s="100" t="s">
        <v>167</v>
      </c>
      <c r="B113" s="18"/>
      <c r="C113" s="28" t="s">
        <v>46</v>
      </c>
      <c r="D113" s="4" t="s">
        <v>199</v>
      </c>
      <c r="E113" s="29">
        <v>10986788.669999998</v>
      </c>
      <c r="F113" s="30">
        <v>0</v>
      </c>
      <c r="G113" s="129">
        <v>974490.34</v>
      </c>
      <c r="H113" s="129">
        <v>0</v>
      </c>
      <c r="I113" s="115">
        <f t="shared" si="18"/>
        <v>11961279.009999998</v>
      </c>
      <c r="J113" s="30">
        <v>0</v>
      </c>
      <c r="K113" s="115">
        <f>I113+J113</f>
        <v>11961279.009999998</v>
      </c>
      <c r="L113" s="4" t="s">
        <v>43</v>
      </c>
      <c r="M113" s="20"/>
      <c r="N113" s="42"/>
      <c r="O113" s="42"/>
      <c r="S113" s="18">
        <v>108410</v>
      </c>
      <c r="T113" s="58"/>
    </row>
    <row r="114" spans="1:22" x14ac:dyDescent="0.2">
      <c r="A114" s="100" t="s">
        <v>168</v>
      </c>
      <c r="B114" s="18"/>
      <c r="C114" s="28" t="s">
        <v>74</v>
      </c>
      <c r="D114" s="4" t="s">
        <v>217</v>
      </c>
      <c r="E114" s="29">
        <v>969240.13</v>
      </c>
      <c r="F114" s="30">
        <v>0</v>
      </c>
      <c r="G114" s="129">
        <v>698382.05</v>
      </c>
      <c r="H114" s="129">
        <v>0</v>
      </c>
      <c r="I114" s="115">
        <f t="shared" si="18"/>
        <v>1667622.1800000002</v>
      </c>
      <c r="J114" s="30">
        <v>0</v>
      </c>
      <c r="K114" s="115">
        <f>I114+J114</f>
        <v>1667622.1800000002</v>
      </c>
      <c r="M114" s="20"/>
      <c r="N114" s="42"/>
      <c r="O114" s="42"/>
      <c r="Q114" s="4" t="s">
        <v>50</v>
      </c>
      <c r="R114" s="4" t="s">
        <v>51</v>
      </c>
      <c r="S114" s="18">
        <v>182303</v>
      </c>
      <c r="T114" s="58"/>
    </row>
    <row r="115" spans="1:22" x14ac:dyDescent="0.2">
      <c r="A115" s="100" t="s">
        <v>169</v>
      </c>
      <c r="B115" s="18"/>
      <c r="C115" s="28" t="s">
        <v>49</v>
      </c>
      <c r="D115" s="4" t="s">
        <v>218</v>
      </c>
      <c r="E115" s="29">
        <v>4055758.2100000014</v>
      </c>
      <c r="F115" s="30">
        <v>0</v>
      </c>
      <c r="G115" s="129">
        <v>60890.42</v>
      </c>
      <c r="H115" s="129">
        <v>0</v>
      </c>
      <c r="I115" s="115">
        <f t="shared" si="18"/>
        <v>4116648.6300000013</v>
      </c>
      <c r="J115" s="30">
        <v>0</v>
      </c>
      <c r="K115" s="115">
        <f t="shared" si="19"/>
        <v>4116648.6300000013</v>
      </c>
      <c r="M115" s="20"/>
      <c r="N115" s="42"/>
      <c r="O115" s="42"/>
      <c r="Q115" s="4" t="s">
        <v>50</v>
      </c>
      <c r="S115" s="18">
        <v>182304</v>
      </c>
      <c r="T115" s="58"/>
    </row>
    <row r="116" spans="1:22" x14ac:dyDescent="0.2">
      <c r="A116" s="100" t="s">
        <v>170</v>
      </c>
      <c r="B116" s="18"/>
      <c r="C116" s="28" t="s">
        <v>42</v>
      </c>
      <c r="D116" s="4" t="s">
        <v>200</v>
      </c>
      <c r="E116" s="29">
        <v>-76910.820000000007</v>
      </c>
      <c r="F116" s="30">
        <v>0</v>
      </c>
      <c r="G116" s="129">
        <v>-17653.43</v>
      </c>
      <c r="H116" s="129">
        <v>0</v>
      </c>
      <c r="I116" s="115">
        <f t="shared" si="18"/>
        <v>-94564.25</v>
      </c>
      <c r="J116" s="30">
        <v>0</v>
      </c>
      <c r="K116" s="115">
        <f t="shared" si="19"/>
        <v>-94564.25</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-48875272.000000007</v>
      </c>
      <c r="F118" s="33">
        <f t="shared" si="20"/>
        <v>0</v>
      </c>
      <c r="G118" s="33">
        <f t="shared" si="20"/>
        <v>515733.12000000005</v>
      </c>
      <c r="H118" s="33">
        <f t="shared" si="20"/>
        <v>0</v>
      </c>
      <c r="I118" s="115">
        <f t="shared" si="20"/>
        <v>-48359538.880000003</v>
      </c>
      <c r="J118" s="33">
        <f t="shared" si="20"/>
        <v>0</v>
      </c>
      <c r="K118" s="115">
        <f t="shared" si="20"/>
        <v>-48359538.880000003</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-53714470.230000004</v>
      </c>
      <c r="F120" s="133">
        <f t="shared" ref="F120:H120" si="21">+F94+F102+F109+F118+F99</f>
        <v>0</v>
      </c>
      <c r="G120" s="133">
        <f t="shared" si="21"/>
        <v>-940535.43999999971</v>
      </c>
      <c r="H120" s="133">
        <f t="shared" si="21"/>
        <v>-2757771.1999999997</v>
      </c>
      <c r="I120" s="134">
        <f>+I94+I102+I109+I118+I99</f>
        <v>-57412776.870000005</v>
      </c>
      <c r="J120" s="133">
        <f>+J94+J102+J109+J118+J99</f>
        <v>0</v>
      </c>
      <c r="K120" s="134">
        <f>+K94+K102+K109+K118+K99</f>
        <v>-57412776.870000005</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-29918.460000000894</v>
      </c>
      <c r="F122" s="137">
        <f>F120+F84</f>
        <v>0</v>
      </c>
      <c r="G122" s="137">
        <f>G120+G84</f>
        <v>-1830081.1099999996</v>
      </c>
      <c r="H122" s="137">
        <f>H120+H84</f>
        <v>-2824389.7199999997</v>
      </c>
      <c r="I122" s="138">
        <f>I84+I120</f>
        <v>-4684389.2900000066</v>
      </c>
      <c r="J122" s="137">
        <f>J120+J84</f>
        <v>0</v>
      </c>
      <c r="K122" s="138">
        <f>K84+K120</f>
        <v>-4684389.2899999991</v>
      </c>
      <c r="L122" s="50">
        <v>0</v>
      </c>
      <c r="M122" s="70"/>
      <c r="N122" s="70"/>
      <c r="O122" s="70"/>
      <c r="P122" s="50"/>
      <c r="Q122" s="50"/>
      <c r="R122" s="50"/>
      <c r="S122" s="18"/>
      <c r="T122" s="29">
        <f>+G122+H122+F122</f>
        <v>-4654470.8299999991</v>
      </c>
      <c r="U122" s="19">
        <v>13111056.41</v>
      </c>
      <c r="V122" s="29">
        <f>+T122-U122</f>
        <v>-17765527.239999998</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1408497</v>
      </c>
      <c r="H124" s="139">
        <f>-H116-H111-H112-H113-H114-H115-H74-H16-H105-H30-H22-H53-H107-H75-H76-H102-H106-H52</f>
        <v>66618.52</v>
      </c>
      <c r="I124" s="74"/>
      <c r="J124" s="74"/>
      <c r="K124" s="74"/>
      <c r="M124" s="76"/>
      <c r="N124" s="77"/>
      <c r="O124" s="77"/>
      <c r="S124" s="18"/>
    </row>
    <row r="125" spans="1:22" ht="12.75" customHeight="1" x14ac:dyDescent="0.2">
      <c r="A125" s="107"/>
      <c r="B125" s="18"/>
      <c r="C125" s="18"/>
      <c r="D125" s="72"/>
      <c r="E125" s="73"/>
      <c r="F125" s="50"/>
      <c r="G125" s="145">
        <f>G122+H122</f>
        <v>-4654470.8299999991</v>
      </c>
      <c r="H125" s="50"/>
      <c r="I125" s="50"/>
      <c r="J125" s="50"/>
      <c r="K125" s="50"/>
      <c r="M125" s="20"/>
      <c r="S125" s="18"/>
    </row>
    <row r="126" spans="1:22" ht="12.75" hidden="1" customHeight="1" x14ac:dyDescent="0.2">
      <c r="A126" s="107" t="s">
        <v>58</v>
      </c>
      <c r="B126" s="18"/>
      <c r="C126" s="71"/>
      <c r="D126" s="72" t="s">
        <v>58</v>
      </c>
      <c r="E126" s="73"/>
      <c r="F126" s="50"/>
      <c r="G126" s="145">
        <f>G122+G124</f>
        <v>-421584.10999999964</v>
      </c>
      <c r="H126" s="50">
        <f>H122+H124</f>
        <v>-2757771.1999999997</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-3179355.3099999991</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3012638.4399999985</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2150324.81</v>
      </c>
      <c r="F133" s="32">
        <f t="shared" ref="F133:F138" si="22">+F82+F83</f>
        <v>0</v>
      </c>
      <c r="G133" s="165"/>
      <c r="H133" s="83"/>
      <c r="I133" s="84">
        <f>+I19</f>
        <v>2089770.81</v>
      </c>
      <c r="J133" s="84">
        <f>+J19</f>
        <v>3076855.04</v>
      </c>
      <c r="K133" s="84">
        <f>+K19</f>
        <v>5166625.8499999996</v>
      </c>
      <c r="M133" s="20"/>
      <c r="S133" s="18"/>
    </row>
    <row r="134" spans="1:19" hidden="1" x14ac:dyDescent="0.2">
      <c r="A134" s="109" t="s">
        <v>141</v>
      </c>
      <c r="B134" s="18"/>
      <c r="C134" s="18"/>
      <c r="D134" s="82" t="s">
        <v>141</v>
      </c>
      <c r="E134" s="83">
        <f>+E24</f>
        <v>1987853.8500000003</v>
      </c>
      <c r="F134" s="32">
        <f t="shared" si="22"/>
        <v>0</v>
      </c>
      <c r="G134" s="165"/>
      <c r="H134" s="83"/>
      <c r="I134" s="84">
        <f>+I24</f>
        <v>1921235.3300000003</v>
      </c>
      <c r="J134" s="84">
        <f>+J24</f>
        <v>-266474.03999999998</v>
      </c>
      <c r="K134" s="84">
        <f>+K24</f>
        <v>1654761.2900000003</v>
      </c>
      <c r="M134" s="20"/>
      <c r="S134" s="18"/>
    </row>
    <row r="135" spans="1:19" hidden="1" x14ac:dyDescent="0.2">
      <c r="A135" s="109" t="s">
        <v>61</v>
      </c>
      <c r="B135" s="18"/>
      <c r="C135" s="18"/>
      <c r="D135" s="82" t="s">
        <v>61</v>
      </c>
      <c r="E135" s="32">
        <f>+E30</f>
        <v>951635.2</v>
      </c>
      <c r="F135" s="32">
        <f t="shared" si="22"/>
        <v>0</v>
      </c>
      <c r="G135" s="157"/>
      <c r="H135" s="32"/>
      <c r="I135" s="84">
        <f>+I30</f>
        <v>996147.19999999995</v>
      </c>
      <c r="J135" s="84">
        <f>+J30</f>
        <v>0</v>
      </c>
      <c r="K135" s="84">
        <f>+K30</f>
        <v>996147.19999999995</v>
      </c>
      <c r="M135" s="20"/>
      <c r="S135" s="18"/>
    </row>
    <row r="136" spans="1:19" hidden="1" x14ac:dyDescent="0.2">
      <c r="A136" s="109" t="s">
        <v>143</v>
      </c>
      <c r="B136" s="18"/>
      <c r="C136" s="18"/>
      <c r="D136" s="82" t="s">
        <v>143</v>
      </c>
      <c r="E136" s="32">
        <f>+E70</f>
        <v>20776054.43</v>
      </c>
      <c r="F136" s="32">
        <f t="shared" si="22"/>
        <v>0</v>
      </c>
      <c r="G136" s="157"/>
      <c r="H136" s="32"/>
      <c r="I136" s="84">
        <f>+I70</f>
        <v>23500468.199999999</v>
      </c>
      <c r="J136" s="84">
        <f>+J70</f>
        <v>-2810381</v>
      </c>
      <c r="K136" s="84">
        <f>+K70</f>
        <v>20690087.199999999</v>
      </c>
      <c r="M136" s="20"/>
      <c r="S136" s="18"/>
    </row>
    <row r="137" spans="1:19" hidden="1" x14ac:dyDescent="0.2">
      <c r="A137" s="109" t="s">
        <v>151</v>
      </c>
      <c r="B137" s="18"/>
      <c r="C137" s="18"/>
      <c r="D137" s="82" t="s">
        <v>151</v>
      </c>
      <c r="E137" s="32">
        <f>+E78</f>
        <v>24806045.040000003</v>
      </c>
      <c r="F137" s="32">
        <f t="shared" si="22"/>
        <v>0</v>
      </c>
      <c r="G137" s="157"/>
      <c r="H137" s="32"/>
      <c r="I137" s="84">
        <f>+I78</f>
        <v>24220766.040000003</v>
      </c>
      <c r="J137" s="84">
        <f>+J78</f>
        <v>0</v>
      </c>
      <c r="K137" s="84">
        <f>+K78</f>
        <v>24220766.040000003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-984598.06000000041</v>
      </c>
      <c r="F139" s="32" t="e">
        <f>+F88+#REF!</f>
        <v>#REF!</v>
      </c>
      <c r="G139" s="157"/>
      <c r="H139" s="32"/>
      <c r="I139" s="84">
        <f>+I94</f>
        <v>-5300293.24</v>
      </c>
      <c r="J139" s="84">
        <f>+J94</f>
        <v>0</v>
      </c>
      <c r="K139" s="84">
        <f>+K94</f>
        <v>-5300293.24</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-3835078.63</v>
      </c>
      <c r="F141" s="32" t="e">
        <f>+#REF!+#REF!</f>
        <v>#REF!</v>
      </c>
      <c r="G141" s="157"/>
      <c r="H141" s="32"/>
      <c r="I141" s="84">
        <f>+I102</f>
        <v>-3735994.63</v>
      </c>
      <c r="J141" s="84">
        <f>+J102</f>
        <v>0</v>
      </c>
      <c r="K141" s="84">
        <f>+K102</f>
        <v>-3735994.63</v>
      </c>
      <c r="M141" s="20"/>
      <c r="S141" s="18"/>
    </row>
    <row r="142" spans="1:19" hidden="1" x14ac:dyDescent="0.2">
      <c r="A142" s="109" t="s">
        <v>153</v>
      </c>
      <c r="B142" s="18"/>
      <c r="C142" s="18"/>
      <c r="D142" s="82" t="s">
        <v>153</v>
      </c>
      <c r="E142" s="32">
        <f>+E109</f>
        <v>-19521.540000000005</v>
      </c>
      <c r="F142" s="32" t="e">
        <f>+#REF!+F89</f>
        <v>#REF!</v>
      </c>
      <c r="G142" s="157"/>
      <c r="H142" s="32"/>
      <c r="I142" s="84">
        <f>+I109</f>
        <v>-16950.120000000003</v>
      </c>
      <c r="J142" s="84">
        <f>+J109</f>
        <v>0</v>
      </c>
      <c r="K142" s="84">
        <f>+K109</f>
        <v>-16950.120000000003</v>
      </c>
      <c r="M142" s="20"/>
      <c r="S142" s="18"/>
    </row>
    <row r="143" spans="1:19" hidden="1" x14ac:dyDescent="0.2">
      <c r="A143" s="109" t="s">
        <v>155</v>
      </c>
      <c r="B143" s="18"/>
      <c r="C143" s="18"/>
      <c r="D143" s="82" t="s">
        <v>155</v>
      </c>
      <c r="E143" s="32">
        <f>+E118</f>
        <v>-48875272.000000007</v>
      </c>
      <c r="F143" s="32">
        <f t="shared" ref="F143" si="23">+F89+F90</f>
        <v>0</v>
      </c>
      <c r="G143" s="157"/>
      <c r="H143" s="32"/>
      <c r="I143" s="84">
        <f>+I118</f>
        <v>-48359538.880000003</v>
      </c>
      <c r="J143" s="84">
        <f>+J118</f>
        <v>0</v>
      </c>
      <c r="K143" s="84">
        <f>+K118</f>
        <v>-48359538.880000003</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-29918.460000015795</v>
      </c>
      <c r="F145" s="88" t="e">
        <f>SUM(F135:F144)</f>
        <v>#REF!</v>
      </c>
      <c r="G145" s="166"/>
      <c r="H145" s="88"/>
      <c r="I145" s="89">
        <f>SUM(I131:I144)</f>
        <v>-4684389.2900000066</v>
      </c>
      <c r="J145" s="89">
        <f>SUM(J131:J144)</f>
        <v>0</v>
      </c>
      <c r="K145" s="89">
        <f>SUM(K131:K144)</f>
        <v>-4684389.2900000066</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-1.4901161193847656E-8</v>
      </c>
      <c r="F147" s="19"/>
      <c r="G147" s="148"/>
      <c r="H147" s="19"/>
      <c r="I147" s="19">
        <f>+I145-I122</f>
        <v>0</v>
      </c>
      <c r="J147" s="19">
        <f>+J145-J122</f>
        <v>0</v>
      </c>
      <c r="K147" s="19">
        <f>+K145-K122</f>
        <v>-7.4505805969238281E-9</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283440</v>
      </c>
      <c r="H151" s="19">
        <f>+H34+H52+H42+H44+H46+H48+H73+H57+H59+H15+H50+H66+H55</f>
        <v>0</v>
      </c>
      <c r="I151" s="19"/>
      <c r="J151" s="19"/>
      <c r="K151" s="19"/>
      <c r="M151" s="20"/>
      <c r="S151" s="18"/>
    </row>
    <row r="152" spans="1:19" hidden="1" x14ac:dyDescent="0.2">
      <c r="A152" s="100" t="s">
        <v>64</v>
      </c>
      <c r="B152" s="18"/>
      <c r="C152" s="18"/>
      <c r="D152" s="34" t="s">
        <v>64</v>
      </c>
      <c r="F152" s="19"/>
      <c r="G152" s="148">
        <f>+G9+G80+G10</f>
        <v>-3012638.44</v>
      </c>
      <c r="H152" s="19">
        <f>+H9+H80+H10</f>
        <v>0</v>
      </c>
      <c r="I152" s="19"/>
      <c r="J152" s="19"/>
      <c r="K152" s="19"/>
      <c r="M152" s="20"/>
      <c r="S152" s="18"/>
    </row>
    <row r="153" spans="1:19" hidden="1" x14ac:dyDescent="0.2">
      <c r="A153" s="100" t="s">
        <v>65</v>
      </c>
      <c r="B153" s="18"/>
      <c r="C153" s="18"/>
      <c r="D153" s="34" t="s">
        <v>65</v>
      </c>
      <c r="F153" s="19"/>
      <c r="G153" s="148">
        <f>+G88+G89+G90+G91+G87+G92</f>
        <v>-1557923.9799999997</v>
      </c>
      <c r="H153" s="19">
        <f>+H88+H89+H90+H91+H87</f>
        <v>-2757771.1999999997</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-3865538.3100000005</v>
      </c>
      <c r="H155" s="110">
        <f>+H151+H152+H153-H126</f>
        <v>0</v>
      </c>
      <c r="I155" s="19"/>
      <c r="J155" s="19"/>
      <c r="K155" s="19"/>
      <c r="M155" s="20"/>
      <c r="S155" s="18"/>
    </row>
    <row r="156" spans="1:19" hidden="1" x14ac:dyDescent="0.2">
      <c r="B156" s="18"/>
      <c r="C156" s="18"/>
      <c r="F156" s="19"/>
      <c r="H156" s="29">
        <f>+H152+H153+H151+G151+G152+G153</f>
        <v>-7044893.6199999992</v>
      </c>
      <c r="I156" s="19"/>
      <c r="J156" s="19"/>
      <c r="K156" s="19"/>
      <c r="M156" s="20"/>
      <c r="S156" s="18"/>
    </row>
    <row r="157" spans="1:19" hidden="1" x14ac:dyDescent="0.2">
      <c r="B157" s="18"/>
      <c r="C157" s="18"/>
      <c r="F157" s="19"/>
      <c r="G157" s="148"/>
      <c r="H157" s="29">
        <f>+H156-G126-H126</f>
        <v>-3865538.31</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6"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32"/>
  <sheetViews>
    <sheetView topLeftCell="A88" zoomScale="80" zoomScaleNormal="80" workbookViewId="0">
      <selection activeCell="E10" sqref="E10"/>
    </sheetView>
  </sheetViews>
  <sheetFormatPr defaultColWidth="9.140625" defaultRowHeight="12.75" x14ac:dyDescent="0.2"/>
  <cols>
    <col min="1" max="1" width="3.85546875" style="100"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213"/>
      <c r="H3" s="214"/>
      <c r="I3" s="214"/>
      <c r="J3" s="214"/>
      <c r="K3" s="3"/>
      <c r="M3" s="5"/>
      <c r="P3" s="296" t="s">
        <v>66</v>
      </c>
    </row>
    <row r="4" spans="1:22" x14ac:dyDescent="0.2">
      <c r="A4" s="99"/>
      <c r="B4" s="7"/>
      <c r="C4" s="3"/>
      <c r="D4" s="3"/>
      <c r="E4" s="212"/>
      <c r="F4" s="8"/>
      <c r="G4" s="215"/>
      <c r="H4" s="216"/>
      <c r="I4" s="202"/>
      <c r="J4" s="202"/>
      <c r="K4" s="202"/>
      <c r="M4" s="10"/>
      <c r="P4" s="296" t="s">
        <v>1</v>
      </c>
    </row>
    <row r="5" spans="1:22" x14ac:dyDescent="0.2">
      <c r="E5" s="217" t="s">
        <v>208</v>
      </c>
      <c r="F5" s="296" t="s">
        <v>3</v>
      </c>
      <c r="G5" s="296" t="s">
        <v>4</v>
      </c>
      <c r="H5" s="296"/>
      <c r="I5" s="204" t="s">
        <v>208</v>
      </c>
      <c r="J5" s="261" t="s">
        <v>180</v>
      </c>
      <c r="K5" s="204" t="s">
        <v>209</v>
      </c>
      <c r="L5" s="296" t="s">
        <v>5</v>
      </c>
      <c r="M5" s="11" t="s">
        <v>6</v>
      </c>
      <c r="N5" s="11" t="s">
        <v>0</v>
      </c>
      <c r="O5" s="11" t="s">
        <v>8</v>
      </c>
      <c r="P5" s="296" t="s">
        <v>9</v>
      </c>
      <c r="Q5" s="576" t="s">
        <v>10</v>
      </c>
      <c r="R5" s="576"/>
      <c r="U5" s="12" t="s">
        <v>11</v>
      </c>
    </row>
    <row r="6" spans="1:22" x14ac:dyDescent="0.2">
      <c r="E6" s="218">
        <v>43008</v>
      </c>
      <c r="F6" s="13" t="s">
        <v>12</v>
      </c>
      <c r="G6" s="14" t="s">
        <v>13</v>
      </c>
      <c r="H6" s="14" t="s">
        <v>8</v>
      </c>
      <c r="I6" s="205">
        <v>43039</v>
      </c>
      <c r="J6" s="261" t="s">
        <v>210</v>
      </c>
      <c r="K6" s="205">
        <f>I6</f>
        <v>43039</v>
      </c>
      <c r="L6" s="15" t="s">
        <v>14</v>
      </c>
      <c r="M6" s="16" t="s">
        <v>15</v>
      </c>
      <c r="N6" s="17" t="s">
        <v>7</v>
      </c>
      <c r="O6" s="17" t="s">
        <v>16</v>
      </c>
      <c r="P6" s="15" t="s">
        <v>17</v>
      </c>
      <c r="Q6" s="15" t="s">
        <v>18</v>
      </c>
      <c r="R6" s="15" t="s">
        <v>19</v>
      </c>
      <c r="S6" s="15" t="s">
        <v>78</v>
      </c>
      <c r="U6" s="12" t="s">
        <v>20</v>
      </c>
    </row>
    <row r="7" spans="1:22" x14ac:dyDescent="0.2">
      <c r="B7" s="18"/>
      <c r="C7" s="18"/>
      <c r="E7" s="98"/>
      <c r="F7" s="19"/>
      <c r="G7" s="148"/>
      <c r="H7" s="19"/>
      <c r="I7" s="113"/>
      <c r="J7" s="19"/>
      <c r="K7" s="113"/>
      <c r="M7" s="20"/>
      <c r="S7" s="18"/>
    </row>
    <row r="8" spans="1:22" s="22" customFormat="1" x14ac:dyDescent="0.2">
      <c r="A8" s="101"/>
      <c r="B8" s="21" t="s">
        <v>127</v>
      </c>
      <c r="E8" s="219"/>
      <c r="F8" s="24"/>
      <c r="G8" s="149"/>
      <c r="H8" s="23"/>
      <c r="I8" s="114"/>
      <c r="J8" s="23"/>
      <c r="K8" s="114"/>
      <c r="L8" s="25"/>
      <c r="M8" s="25"/>
      <c r="N8" s="26"/>
      <c r="O8" s="26"/>
      <c r="P8" s="25"/>
      <c r="R8" s="25"/>
      <c r="S8" s="25"/>
      <c r="T8" s="25"/>
      <c r="U8" s="25"/>
      <c r="V8" s="27"/>
    </row>
    <row r="9" spans="1:22" x14ac:dyDescent="0.2">
      <c r="A9" s="100" t="s">
        <v>70</v>
      </c>
      <c r="B9" s="18"/>
      <c r="C9" s="28" t="s">
        <v>33</v>
      </c>
      <c r="D9" s="4" t="s">
        <v>70</v>
      </c>
      <c r="E9" s="32">
        <v>-1.1641532182693481E-9</v>
      </c>
      <c r="F9" s="30">
        <v>0</v>
      </c>
      <c r="G9" s="33">
        <v>0</v>
      </c>
      <c r="H9" s="30">
        <v>0</v>
      </c>
      <c r="I9" s="115">
        <f>E9+F9+G9+H9</f>
        <v>-1.1641532182693481E-9</v>
      </c>
      <c r="J9" s="30">
        <v>0</v>
      </c>
      <c r="K9" s="115">
        <f>I9+J9</f>
        <v>-1.1641532182693481E-9</v>
      </c>
      <c r="L9" s="210" t="s">
        <v>274</v>
      </c>
      <c r="M9" s="20"/>
      <c r="P9" s="31"/>
      <c r="S9" s="18">
        <v>142982</v>
      </c>
    </row>
    <row r="10" spans="1:22" x14ac:dyDescent="0.2">
      <c r="A10" s="100" t="s">
        <v>109</v>
      </c>
      <c r="B10" s="28"/>
      <c r="C10" s="28" t="s">
        <v>34</v>
      </c>
      <c r="D10" s="4" t="s">
        <v>109</v>
      </c>
      <c r="E10" s="32">
        <v>0</v>
      </c>
      <c r="F10" s="33">
        <v>0</v>
      </c>
      <c r="G10" s="33">
        <v>0</v>
      </c>
      <c r="H10" s="33">
        <v>0</v>
      </c>
      <c r="I10" s="115">
        <f>E10+F10+G10+H10</f>
        <v>0</v>
      </c>
      <c r="J10" s="30">
        <v>0</v>
      </c>
      <c r="K10" s="115">
        <f>I10+J10</f>
        <v>0</v>
      </c>
      <c r="L10" s="210" t="s">
        <v>22</v>
      </c>
      <c r="M10" s="20"/>
      <c r="S10" s="18">
        <v>191990</v>
      </c>
    </row>
    <row r="11" spans="1:22" x14ac:dyDescent="0.2">
      <c r="B11" s="28"/>
      <c r="C11" s="28"/>
      <c r="D11" s="34"/>
      <c r="E11" s="35"/>
      <c r="F11" s="36"/>
      <c r="G11" s="36"/>
      <c r="H11" s="36"/>
      <c r="I11" s="116"/>
      <c r="J11" s="36"/>
      <c r="K11" s="116"/>
      <c r="M11" s="20"/>
      <c r="S11" s="18"/>
    </row>
    <row r="12" spans="1:22" x14ac:dyDescent="0.2">
      <c r="B12" s="28"/>
      <c r="C12" s="18"/>
      <c r="E12" s="32">
        <v>-1.1641532182693481E-9</v>
      </c>
      <c r="F12" s="29">
        <f t="shared" ref="F12:J12" si="0">SUM(F9:F10)</f>
        <v>0</v>
      </c>
      <c r="G12" s="29">
        <f t="shared" si="0"/>
        <v>0</v>
      </c>
      <c r="H12" s="29">
        <f t="shared" si="0"/>
        <v>0</v>
      </c>
      <c r="I12" s="269">
        <f t="shared" si="0"/>
        <v>-1.1641532182693481E-9</v>
      </c>
      <c r="J12" s="29">
        <f t="shared" si="0"/>
        <v>0</v>
      </c>
      <c r="K12" s="269">
        <f>SUM(K9:K10)</f>
        <v>-1.1641532182693481E-9</v>
      </c>
      <c r="L12" s="280" t="s">
        <v>273</v>
      </c>
      <c r="M12" s="20"/>
      <c r="S12" s="18"/>
    </row>
    <row r="13" spans="1:22" x14ac:dyDescent="0.2">
      <c r="B13" s="28"/>
      <c r="C13" s="18"/>
      <c r="E13" s="32"/>
      <c r="F13" s="30"/>
      <c r="G13" s="30"/>
      <c r="H13" s="30"/>
      <c r="I13" s="118"/>
      <c r="J13" s="37"/>
      <c r="K13" s="118"/>
      <c r="M13" s="20"/>
      <c r="S13" s="18"/>
    </row>
    <row r="14" spans="1:22" s="22" customFormat="1" x14ac:dyDescent="0.2">
      <c r="A14" s="101"/>
      <c r="B14" s="21" t="s">
        <v>190</v>
      </c>
      <c r="E14" s="32"/>
      <c r="F14" s="92"/>
      <c r="G14" s="92"/>
      <c r="H14" s="92"/>
      <c r="I14" s="119"/>
      <c r="J14" s="92"/>
      <c r="K14" s="119"/>
      <c r="L14" s="96"/>
      <c r="M14" s="90"/>
      <c r="N14" s="90"/>
      <c r="O14" s="90"/>
      <c r="P14" s="96"/>
      <c r="Q14" s="96"/>
      <c r="R14" s="96"/>
      <c r="U14" s="27"/>
    </row>
    <row r="15" spans="1:22" x14ac:dyDescent="0.2">
      <c r="A15" s="100" t="s">
        <v>137</v>
      </c>
      <c r="B15" s="28"/>
      <c r="C15" s="28" t="s">
        <v>136</v>
      </c>
      <c r="D15" s="4" t="s">
        <v>201</v>
      </c>
      <c r="E15" s="32">
        <v>618809.81000000006</v>
      </c>
      <c r="F15" s="30">
        <v>0</v>
      </c>
      <c r="G15" s="33">
        <v>0</v>
      </c>
      <c r="H15" s="30">
        <v>0</v>
      </c>
      <c r="I15" s="115">
        <f>E15+F15+G15+H15</f>
        <v>618809.81000000006</v>
      </c>
      <c r="J15" s="30">
        <v>0</v>
      </c>
      <c r="K15" s="115">
        <f>I15+J15</f>
        <v>618809.81000000006</v>
      </c>
      <c r="L15" s="210" t="s">
        <v>22</v>
      </c>
      <c r="M15" s="20"/>
      <c r="S15" s="18"/>
    </row>
    <row r="16" spans="1:22" x14ac:dyDescent="0.2">
      <c r="A16" s="100" t="s">
        <v>157</v>
      </c>
      <c r="B16" s="28"/>
      <c r="C16" s="28" t="s">
        <v>37</v>
      </c>
      <c r="D16" s="4" t="s">
        <v>192</v>
      </c>
      <c r="E16" s="32">
        <v>1348263</v>
      </c>
      <c r="F16" s="30">
        <v>0</v>
      </c>
      <c r="G16" s="33">
        <v>0</v>
      </c>
      <c r="H16" s="30">
        <v>0</v>
      </c>
      <c r="I16" s="115">
        <f>E16+F16+G16+H16</f>
        <v>1348263</v>
      </c>
      <c r="J16" s="30">
        <v>0</v>
      </c>
      <c r="K16" s="115">
        <f>I16+J16</f>
        <v>1348263</v>
      </c>
      <c r="L16" s="210" t="s">
        <v>22</v>
      </c>
      <c r="M16" s="20"/>
      <c r="P16" s="58"/>
      <c r="R16" s="4" t="s">
        <v>96</v>
      </c>
      <c r="S16" s="18">
        <v>186342</v>
      </c>
    </row>
    <row r="17" spans="1:21" x14ac:dyDescent="0.2">
      <c r="A17" s="100" t="s">
        <v>183</v>
      </c>
      <c r="B17" s="28"/>
      <c r="C17" s="28" t="s">
        <v>184</v>
      </c>
      <c r="D17" s="4" t="s">
        <v>202</v>
      </c>
      <c r="E17" s="32">
        <v>0</v>
      </c>
      <c r="F17" s="30">
        <v>0</v>
      </c>
      <c r="G17" s="33">
        <v>0</v>
      </c>
      <c r="H17" s="33">
        <v>0</v>
      </c>
      <c r="I17" s="115">
        <f>E17+F17+G17+H17</f>
        <v>0</v>
      </c>
      <c r="J17" s="268">
        <v>2006593.04</v>
      </c>
      <c r="K17" s="115">
        <f t="shared" ref="K17" si="1">I17+J17</f>
        <v>2006593.04</v>
      </c>
      <c r="L17" s="210" t="s">
        <v>22</v>
      </c>
      <c r="M17" s="20"/>
      <c r="P17" s="58"/>
      <c r="R17" s="4" t="s">
        <v>96</v>
      </c>
      <c r="S17" s="18">
        <v>186342</v>
      </c>
    </row>
    <row r="18" spans="1:21" x14ac:dyDescent="0.2">
      <c r="B18" s="28"/>
      <c r="C18" s="18"/>
      <c r="E18" s="35"/>
      <c r="F18" s="36"/>
      <c r="G18" s="36"/>
      <c r="H18" s="36"/>
      <c r="I18" s="120"/>
      <c r="J18" s="93"/>
      <c r="K18" s="120"/>
      <c r="M18" s="20"/>
      <c r="S18" s="18"/>
    </row>
    <row r="19" spans="1:21" x14ac:dyDescent="0.2">
      <c r="B19" s="28"/>
      <c r="C19" s="18"/>
      <c r="E19" s="221">
        <v>1967072.81</v>
      </c>
      <c r="F19" s="29">
        <f t="shared" ref="F19:J19" si="2">SUM(F15:F18)</f>
        <v>0</v>
      </c>
      <c r="G19" s="29">
        <f t="shared" si="2"/>
        <v>0</v>
      </c>
      <c r="H19" s="29">
        <f t="shared" si="2"/>
        <v>0</v>
      </c>
      <c r="I19" s="269">
        <f t="shared" si="2"/>
        <v>1967072.81</v>
      </c>
      <c r="J19" s="49">
        <f t="shared" si="2"/>
        <v>2006593.04</v>
      </c>
      <c r="K19" s="269">
        <f>SUM(K15:K18)</f>
        <v>3973665.85</v>
      </c>
      <c r="L19" s="280" t="s">
        <v>258</v>
      </c>
      <c r="M19" s="20" t="s">
        <v>222</v>
      </c>
      <c r="S19" s="18"/>
    </row>
    <row r="20" spans="1:21" x14ac:dyDescent="0.2">
      <c r="B20" s="28"/>
      <c r="C20" s="18"/>
      <c r="E20" s="32"/>
      <c r="F20" s="30"/>
      <c r="G20" s="30"/>
      <c r="H20" s="30"/>
      <c r="I20" s="118"/>
      <c r="J20" s="37"/>
      <c r="K20" s="118"/>
      <c r="M20" s="20"/>
      <c r="S20" s="18"/>
    </row>
    <row r="21" spans="1:21" x14ac:dyDescent="0.2">
      <c r="B21" s="38" t="s">
        <v>206</v>
      </c>
      <c r="C21" s="18"/>
      <c r="E21" s="32"/>
      <c r="F21" s="30"/>
      <c r="G21" s="152"/>
      <c r="H21" s="152"/>
      <c r="I21" s="115"/>
      <c r="J21" s="30"/>
      <c r="K21" s="115"/>
      <c r="M21" s="20"/>
      <c r="S21" s="18"/>
    </row>
    <row r="22" spans="1:21" x14ac:dyDescent="0.2">
      <c r="A22" s="100" t="s">
        <v>158</v>
      </c>
      <c r="B22" s="28"/>
      <c r="C22" s="28" t="s">
        <v>40</v>
      </c>
      <c r="D22" s="4" t="s">
        <v>207</v>
      </c>
      <c r="E22" s="32">
        <v>1255050.2800000012</v>
      </c>
      <c r="F22" s="33">
        <v>0</v>
      </c>
      <c r="G22" s="33">
        <v>-22206.18</v>
      </c>
      <c r="H22" s="33">
        <v>0</v>
      </c>
      <c r="I22" s="115">
        <f>E22+F22+G22+H22</f>
        <v>1232844.1000000013</v>
      </c>
      <c r="J22" s="30">
        <v>-266474.03999999998</v>
      </c>
      <c r="K22" s="115">
        <f>I22+J22</f>
        <v>966370.06000000122</v>
      </c>
      <c r="L22" s="210" t="s">
        <v>22</v>
      </c>
      <c r="M22" s="20"/>
      <c r="R22" s="4" t="s">
        <v>27</v>
      </c>
      <c r="S22" s="18">
        <v>189010</v>
      </c>
      <c r="U22" s="39" t="s">
        <v>113</v>
      </c>
    </row>
    <row r="23" spans="1:21" x14ac:dyDescent="0.2">
      <c r="B23" s="28"/>
      <c r="C23" s="18"/>
      <c r="E23" s="40"/>
      <c r="F23" s="40"/>
      <c r="G23" s="94"/>
      <c r="H23" s="156"/>
      <c r="I23" s="121"/>
      <c r="J23" s="40"/>
      <c r="K23" s="121"/>
      <c r="M23" s="20"/>
      <c r="S23" s="18"/>
    </row>
    <row r="24" spans="1:21" x14ac:dyDescent="0.2">
      <c r="B24" s="28"/>
      <c r="C24" s="18"/>
      <c r="E24" s="32">
        <v>1255050.2800000012</v>
      </c>
      <c r="F24" s="29">
        <f t="shared" ref="F24:K24" si="3">SUM(F22:F23)</f>
        <v>0</v>
      </c>
      <c r="G24" s="29">
        <f t="shared" si="3"/>
        <v>-22206.18</v>
      </c>
      <c r="H24" s="29">
        <f t="shared" si="3"/>
        <v>0</v>
      </c>
      <c r="I24" s="269">
        <f t="shared" si="3"/>
        <v>1232844.1000000013</v>
      </c>
      <c r="J24" s="49">
        <f t="shared" si="3"/>
        <v>-266474.03999999998</v>
      </c>
      <c r="K24" s="269">
        <f t="shared" si="3"/>
        <v>966370.06000000122</v>
      </c>
      <c r="L24" s="280" t="s">
        <v>262</v>
      </c>
      <c r="M24" s="20"/>
      <c r="S24" s="18"/>
    </row>
    <row r="25" spans="1:21" x14ac:dyDescent="0.2">
      <c r="B25" s="28"/>
      <c r="C25" s="18"/>
      <c r="E25" s="32"/>
      <c r="F25" s="30"/>
      <c r="G25" s="152"/>
      <c r="H25" s="152"/>
      <c r="I25" s="118"/>
      <c r="J25" s="37"/>
      <c r="K25" s="118"/>
      <c r="M25" s="20"/>
      <c r="S25" s="18"/>
    </row>
    <row r="26" spans="1:21" x14ac:dyDescent="0.2">
      <c r="B26" s="41" t="s">
        <v>191</v>
      </c>
      <c r="E26" s="32"/>
      <c r="F26" s="30"/>
      <c r="G26" s="152"/>
      <c r="H26" s="152"/>
      <c r="I26" s="115"/>
      <c r="J26" s="30"/>
      <c r="K26" s="115"/>
      <c r="M26" s="20"/>
    </row>
    <row r="27" spans="1:21" x14ac:dyDescent="0.2">
      <c r="A27" s="100" t="s">
        <v>79</v>
      </c>
      <c r="B27" s="28"/>
      <c r="C27" s="28" t="s">
        <v>21</v>
      </c>
      <c r="D27" s="4" t="s">
        <v>203</v>
      </c>
      <c r="E27" s="32">
        <v>2338240</v>
      </c>
      <c r="F27" s="33">
        <v>0</v>
      </c>
      <c r="G27" s="33">
        <v>17762</v>
      </c>
      <c r="H27" s="29">
        <v>0</v>
      </c>
      <c r="I27" s="115">
        <f>E27+F27+G27+H27</f>
        <v>2356002</v>
      </c>
      <c r="J27" s="33">
        <v>0</v>
      </c>
      <c r="K27" s="115">
        <f>I27+J27</f>
        <v>2356002</v>
      </c>
      <c r="L27" s="210" t="s">
        <v>22</v>
      </c>
      <c r="M27" s="226"/>
      <c r="S27" s="28" t="s">
        <v>23</v>
      </c>
    </row>
    <row r="28" spans="1:21" ht="13.5" customHeight="1" x14ac:dyDescent="0.2">
      <c r="A28" s="100" t="s">
        <v>80</v>
      </c>
      <c r="B28" s="28"/>
      <c r="C28" s="28" t="s">
        <v>24</v>
      </c>
      <c r="D28" s="4" t="s">
        <v>204</v>
      </c>
      <c r="E28" s="32">
        <v>-399612.79999999981</v>
      </c>
      <c r="F28" s="33">
        <v>0</v>
      </c>
      <c r="G28" s="33">
        <v>4088</v>
      </c>
      <c r="H28" s="32">
        <v>0</v>
      </c>
      <c r="I28" s="115">
        <f>E28+F28+G28+H28</f>
        <v>-395524.79999999981</v>
      </c>
      <c r="J28" s="33">
        <v>0</v>
      </c>
      <c r="K28" s="115">
        <f>I28+J28</f>
        <v>-395524.79999999981</v>
      </c>
      <c r="L28" s="210"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32">
        <v>1938627.2000000002</v>
      </c>
      <c r="F30" s="44">
        <f t="shared" ref="F30:K30" si="4">SUM(F27:F28)</f>
        <v>0</v>
      </c>
      <c r="G30" s="33">
        <f t="shared" si="4"/>
        <v>21850</v>
      </c>
      <c r="H30" s="33">
        <f t="shared" si="4"/>
        <v>0</v>
      </c>
      <c r="I30" s="269">
        <f t="shared" si="4"/>
        <v>1960477.2000000002</v>
      </c>
      <c r="J30" s="33">
        <f t="shared" si="4"/>
        <v>0</v>
      </c>
      <c r="K30" s="269">
        <f t="shared" si="4"/>
        <v>1960477.2000000002</v>
      </c>
      <c r="L30" s="280" t="s">
        <v>261</v>
      </c>
      <c r="M30" s="45"/>
      <c r="S30" s="18"/>
    </row>
    <row r="31" spans="1:21" x14ac:dyDescent="0.2">
      <c r="B31" s="18"/>
      <c r="C31" s="18"/>
      <c r="E31" s="32"/>
      <c r="F31" s="30"/>
      <c r="G31" s="152"/>
      <c r="H31" s="30"/>
      <c r="I31" s="115"/>
      <c r="J31" s="30"/>
      <c r="K31" s="115"/>
      <c r="M31" s="20"/>
      <c r="S31" s="18"/>
    </row>
    <row r="32" spans="1:21" s="22" customFormat="1" ht="12.75" hidden="1" customHeight="1" x14ac:dyDescent="0.2">
      <c r="A32" s="101"/>
      <c r="B32" s="21" t="s">
        <v>128</v>
      </c>
      <c r="C32" s="46"/>
      <c r="E32" s="220"/>
      <c r="F32" s="30"/>
      <c r="G32" s="152"/>
      <c r="H32" s="30"/>
      <c r="I32" s="115"/>
      <c r="J32" s="30"/>
      <c r="K32" s="115"/>
      <c r="M32" s="48"/>
      <c r="N32" s="48"/>
      <c r="O32" s="48"/>
      <c r="S32" s="46"/>
    </row>
    <row r="33" spans="1:21" ht="12.75" hidden="1" customHeight="1" x14ac:dyDescent="0.2">
      <c r="A33" s="103"/>
      <c r="C33" s="38" t="s">
        <v>81</v>
      </c>
      <c r="D33" s="41"/>
      <c r="E33" s="32"/>
      <c r="F33" s="30"/>
      <c r="G33" s="152"/>
      <c r="H33" s="30"/>
      <c r="I33" s="115"/>
      <c r="J33" s="30"/>
      <c r="K33" s="115"/>
      <c r="M33" s="20"/>
      <c r="S33" s="38"/>
    </row>
    <row r="34" spans="1:21" ht="25.5" hidden="1" customHeight="1" x14ac:dyDescent="0.2">
      <c r="A34" s="100" t="s">
        <v>83</v>
      </c>
      <c r="C34" s="28" t="s">
        <v>82</v>
      </c>
      <c r="D34" s="4" t="s">
        <v>83</v>
      </c>
      <c r="E34" s="32">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2"/>
      <c r="F35" s="35"/>
      <c r="G35" s="158"/>
      <c r="H35" s="36"/>
      <c r="I35" s="116"/>
      <c r="J35" s="36"/>
      <c r="K35" s="116"/>
      <c r="P35" s="31"/>
      <c r="S35" s="18"/>
      <c r="U35" s="39"/>
    </row>
    <row r="36" spans="1:21" ht="12.75" hidden="1" customHeight="1" x14ac:dyDescent="0.2">
      <c r="E36" s="221">
        <v>0</v>
      </c>
      <c r="F36" s="49">
        <f>F34</f>
        <v>0</v>
      </c>
      <c r="G36" s="159">
        <f>G34</f>
        <v>0</v>
      </c>
      <c r="H36" s="49">
        <f>H34</f>
        <v>0</v>
      </c>
      <c r="I36" s="122">
        <f>E36+F36+G36+H36</f>
        <v>0</v>
      </c>
      <c r="J36" s="50">
        <f>F36+G36+H36+I36</f>
        <v>0</v>
      </c>
      <c r="K36" s="122">
        <f>G36+H36+I36+J36</f>
        <v>0</v>
      </c>
    </row>
    <row r="37" spans="1:21" ht="12.75" hidden="1" customHeight="1" x14ac:dyDescent="0.2">
      <c r="C37" s="38" t="s">
        <v>28</v>
      </c>
      <c r="E37" s="32"/>
      <c r="F37" s="30"/>
      <c r="G37" s="152"/>
      <c r="H37" s="30"/>
      <c r="I37" s="115"/>
      <c r="J37" s="30"/>
      <c r="K37" s="115"/>
      <c r="M37" s="20"/>
      <c r="S37" s="18"/>
    </row>
    <row r="38" spans="1:21" ht="12.75" hidden="1" customHeight="1" x14ac:dyDescent="0.2">
      <c r="B38" s="18"/>
      <c r="C38" s="28"/>
      <c r="E38" s="32"/>
      <c r="F38" s="36"/>
      <c r="G38" s="150"/>
      <c r="H38" s="36"/>
      <c r="I38" s="116"/>
      <c r="J38" s="36"/>
      <c r="K38" s="116"/>
      <c r="M38" s="20"/>
      <c r="P38" s="51"/>
      <c r="S38" s="18"/>
      <c r="U38" s="39"/>
    </row>
    <row r="39" spans="1:21" ht="12.75" hidden="1" customHeight="1" x14ac:dyDescent="0.2">
      <c r="B39" s="28"/>
      <c r="C39" s="52"/>
      <c r="E39" s="221">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32"/>
      <c r="F40" s="30"/>
      <c r="G40" s="152"/>
      <c r="H40" s="30"/>
      <c r="I40" s="115"/>
      <c r="J40" s="30"/>
      <c r="K40" s="115"/>
      <c r="M40" s="20"/>
      <c r="S40" s="18"/>
    </row>
    <row r="41" spans="1:21" hidden="1" x14ac:dyDescent="0.2">
      <c r="C41" s="38" t="s">
        <v>32</v>
      </c>
      <c r="E41" s="32"/>
      <c r="F41" s="30"/>
      <c r="G41" s="152"/>
      <c r="H41" s="30"/>
      <c r="I41" s="115"/>
      <c r="J41" s="30"/>
      <c r="K41" s="115"/>
      <c r="M41" s="20"/>
      <c r="S41" s="18"/>
    </row>
    <row r="42" spans="1:21" ht="25.5" hidden="1" customHeight="1" x14ac:dyDescent="0.2">
      <c r="A42" s="100" t="s">
        <v>90</v>
      </c>
      <c r="B42" s="18"/>
      <c r="C42" s="28" t="s">
        <v>89</v>
      </c>
      <c r="D42" s="4" t="s">
        <v>90</v>
      </c>
      <c r="E42" s="32">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3"/>
      <c r="F43" s="30"/>
      <c r="G43" s="152"/>
      <c r="H43" s="30"/>
      <c r="I43" s="115"/>
      <c r="J43" s="30"/>
      <c r="K43" s="115"/>
      <c r="M43" s="20"/>
      <c r="S43" s="18"/>
    </row>
    <row r="44" spans="1:21" ht="25.5" hidden="1" customHeight="1" x14ac:dyDescent="0.2">
      <c r="A44" s="100" t="s">
        <v>98</v>
      </c>
      <c r="B44" s="18"/>
      <c r="C44" s="28" t="s">
        <v>97</v>
      </c>
      <c r="D44" s="4" t="s">
        <v>98</v>
      </c>
      <c r="E44" s="32">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3"/>
      <c r="F45" s="30"/>
      <c r="G45" s="152"/>
      <c r="H45" s="30"/>
      <c r="I45" s="115"/>
      <c r="J45" s="30"/>
      <c r="K45" s="115"/>
      <c r="M45" s="20"/>
      <c r="P45" s="31"/>
      <c r="S45" s="18"/>
    </row>
    <row r="46" spans="1:21" ht="25.5" hidden="1" customHeight="1" x14ac:dyDescent="0.2">
      <c r="A46" s="100" t="s">
        <v>101</v>
      </c>
      <c r="B46" s="28"/>
      <c r="C46" s="28" t="s">
        <v>100</v>
      </c>
      <c r="D46" s="4" t="s">
        <v>101</v>
      </c>
      <c r="E46" s="32">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3"/>
      <c r="F47" s="30"/>
      <c r="G47" s="152"/>
      <c r="H47" s="30"/>
      <c r="I47" s="115"/>
      <c r="J47" s="30"/>
      <c r="K47" s="115"/>
      <c r="M47" s="20"/>
      <c r="P47" s="31"/>
      <c r="S47" s="18"/>
    </row>
    <row r="48" spans="1:21" ht="25.5" hidden="1" customHeight="1" x14ac:dyDescent="0.2">
      <c r="A48" s="100" t="s">
        <v>106</v>
      </c>
      <c r="B48" s="18"/>
      <c r="C48" s="28" t="s">
        <v>105</v>
      </c>
      <c r="D48" s="4" t="s">
        <v>106</v>
      </c>
      <c r="E48" s="32">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3"/>
      <c r="F49" s="33"/>
      <c r="G49" s="144"/>
      <c r="H49" s="33"/>
      <c r="I49" s="115"/>
      <c r="J49" s="30"/>
      <c r="K49" s="115"/>
      <c r="M49" s="42"/>
      <c r="O49" s="53"/>
      <c r="P49" s="31"/>
      <c r="S49" s="18"/>
      <c r="U49" s="39"/>
    </row>
    <row r="50" spans="1:23" hidden="1" x14ac:dyDescent="0.2">
      <c r="A50" s="104" t="s">
        <v>95</v>
      </c>
      <c r="B50" s="18"/>
      <c r="C50" s="97" t="s">
        <v>94</v>
      </c>
      <c r="D50" s="98" t="s">
        <v>95</v>
      </c>
      <c r="E50" s="32">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3"/>
      <c r="F51" s="30"/>
      <c r="G51" s="152"/>
      <c r="H51" s="30"/>
      <c r="I51" s="115"/>
      <c r="J51" s="30"/>
      <c r="K51" s="115"/>
      <c r="M51" s="20"/>
      <c r="P51" s="31"/>
      <c r="S51" s="18"/>
    </row>
    <row r="52" spans="1:23" ht="25.5" x14ac:dyDescent="0.2">
      <c r="A52" s="100" t="s">
        <v>159</v>
      </c>
      <c r="B52" s="18"/>
      <c r="C52" s="28" t="s">
        <v>29</v>
      </c>
      <c r="D52" s="4" t="s">
        <v>193</v>
      </c>
      <c r="E52" s="32">
        <v>2055107.9700000021</v>
      </c>
      <c r="F52" s="33">
        <v>0</v>
      </c>
      <c r="G52" s="33">
        <v>216600.47</v>
      </c>
      <c r="H52" s="33">
        <v>0</v>
      </c>
      <c r="I52" s="115">
        <f>E52+F52+G52+H52</f>
        <v>2271708.4400000023</v>
      </c>
      <c r="J52" s="30">
        <v>-1740119</v>
      </c>
      <c r="K52" s="115">
        <f>I52+J52</f>
        <v>531589.44000000227</v>
      </c>
      <c r="L52" s="210" t="s">
        <v>22</v>
      </c>
      <c r="M52" s="6" t="s">
        <v>248</v>
      </c>
      <c r="N52" s="6" t="s">
        <v>67</v>
      </c>
      <c r="O52" s="6" t="s">
        <v>68</v>
      </c>
      <c r="P52" s="51" t="s">
        <v>69</v>
      </c>
      <c r="R52" s="4" t="s">
        <v>30</v>
      </c>
      <c r="S52" s="18">
        <v>182401</v>
      </c>
      <c r="U52" s="39" t="s">
        <v>31</v>
      </c>
    </row>
    <row r="53" spans="1:23" ht="25.5" x14ac:dyDescent="0.2">
      <c r="A53" s="100" t="s">
        <v>160</v>
      </c>
      <c r="B53" s="28"/>
      <c r="C53" s="28" t="s">
        <v>35</v>
      </c>
      <c r="D53" s="4" t="s">
        <v>212</v>
      </c>
      <c r="E53" s="32">
        <v>4679173</v>
      </c>
      <c r="F53" s="33">
        <v>0</v>
      </c>
      <c r="G53" s="33">
        <v>0</v>
      </c>
      <c r="H53" s="33">
        <v>0</v>
      </c>
      <c r="I53" s="115">
        <f>E53+F53+G53+H53</f>
        <v>4679173</v>
      </c>
      <c r="J53" s="33">
        <v>0</v>
      </c>
      <c r="K53" s="115">
        <f>I53+J53</f>
        <v>4679173</v>
      </c>
      <c r="L53" s="210" t="s">
        <v>22</v>
      </c>
      <c r="M53" s="6" t="s">
        <v>110</v>
      </c>
      <c r="N53" s="6" t="s">
        <v>111</v>
      </c>
      <c r="S53" s="18">
        <v>182410</v>
      </c>
    </row>
    <row r="54" spans="1:23" x14ac:dyDescent="0.2">
      <c r="B54" s="28"/>
      <c r="C54" s="28"/>
      <c r="E54" s="32"/>
      <c r="F54" s="33"/>
      <c r="G54" s="33"/>
      <c r="H54" s="33"/>
      <c r="I54" s="115"/>
      <c r="J54" s="33"/>
      <c r="K54" s="115"/>
      <c r="S54" s="18"/>
    </row>
    <row r="55" spans="1:23" x14ac:dyDescent="0.2">
      <c r="A55" s="100" t="s">
        <v>173</v>
      </c>
      <c r="B55" s="28"/>
      <c r="C55" s="28" t="s">
        <v>174</v>
      </c>
      <c r="D55" s="4" t="s">
        <v>173</v>
      </c>
      <c r="E55" s="32">
        <v>0</v>
      </c>
      <c r="F55" s="33">
        <v>0</v>
      </c>
      <c r="G55" s="33">
        <v>0</v>
      </c>
      <c r="H55" s="30">
        <v>0</v>
      </c>
      <c r="I55" s="115">
        <f>E55+F55+G55+H55</f>
        <v>0</v>
      </c>
      <c r="J55" s="33">
        <f>F55+G55+H55+I55</f>
        <v>0</v>
      </c>
      <c r="K55" s="115">
        <f>G55+H55+I55+J55</f>
        <v>0</v>
      </c>
      <c r="S55" s="18"/>
      <c r="W55" s="47"/>
    </row>
    <row r="56" spans="1:23" x14ac:dyDescent="0.2">
      <c r="B56" s="28"/>
      <c r="C56" s="28"/>
      <c r="E56" s="32"/>
      <c r="F56" s="33"/>
      <c r="G56" s="33"/>
      <c r="H56" s="33"/>
      <c r="I56" s="115"/>
      <c r="J56" s="33"/>
      <c r="K56" s="115"/>
      <c r="S56" s="18"/>
      <c r="W56" s="47"/>
    </row>
    <row r="57" spans="1:23" x14ac:dyDescent="0.2">
      <c r="A57" s="100" t="s">
        <v>132</v>
      </c>
      <c r="B57" s="28"/>
      <c r="C57" s="28" t="s">
        <v>131</v>
      </c>
      <c r="D57" s="4" t="s">
        <v>132</v>
      </c>
      <c r="E57" s="32">
        <v>0</v>
      </c>
      <c r="F57" s="33">
        <v>0</v>
      </c>
      <c r="G57" s="33">
        <v>0</v>
      </c>
      <c r="H57" s="33">
        <v>0</v>
      </c>
      <c r="I57" s="115">
        <f>E57+F57+G57+H57</f>
        <v>0</v>
      </c>
      <c r="J57" s="33">
        <v>0</v>
      </c>
      <c r="K57" s="115">
        <f>I57+J57</f>
        <v>0</v>
      </c>
      <c r="S57" s="18"/>
    </row>
    <row r="58" spans="1:23" x14ac:dyDescent="0.2">
      <c r="B58" s="28"/>
      <c r="C58" s="28"/>
      <c r="E58" s="32"/>
      <c r="F58" s="33"/>
      <c r="G58" s="33"/>
      <c r="H58" s="33"/>
      <c r="I58" s="115"/>
      <c r="J58" s="33"/>
      <c r="K58" s="115"/>
      <c r="S58" s="18"/>
    </row>
    <row r="59" spans="1:23" x14ac:dyDescent="0.2">
      <c r="A59" s="100" t="s">
        <v>134</v>
      </c>
      <c r="B59" s="28"/>
      <c r="C59" s="28" t="s">
        <v>133</v>
      </c>
      <c r="D59" s="4" t="s">
        <v>205</v>
      </c>
      <c r="E59" s="32">
        <v>1750000</v>
      </c>
      <c r="F59" s="33">
        <v>0</v>
      </c>
      <c r="G59" s="33">
        <v>0</v>
      </c>
      <c r="H59" s="33">
        <v>0</v>
      </c>
      <c r="I59" s="115">
        <f>E59+F59+G59+H59</f>
        <v>1750000</v>
      </c>
      <c r="J59" s="33">
        <v>0</v>
      </c>
      <c r="K59" s="115">
        <f>I59+J59</f>
        <v>1750000</v>
      </c>
      <c r="L59" s="210" t="s">
        <v>22</v>
      </c>
      <c r="M59" s="20" t="s">
        <v>249</v>
      </c>
      <c r="S59" s="18"/>
    </row>
    <row r="60" spans="1:23" x14ac:dyDescent="0.2">
      <c r="B60" s="28"/>
      <c r="C60" s="28"/>
      <c r="E60" s="32"/>
      <c r="F60" s="33"/>
      <c r="G60" s="33"/>
      <c r="H60" s="33"/>
      <c r="I60" s="115"/>
      <c r="J60" s="33"/>
      <c r="K60" s="115"/>
      <c r="L60" s="210"/>
      <c r="M60" s="20"/>
      <c r="S60" s="18"/>
    </row>
    <row r="61" spans="1:23" ht="25.5" x14ac:dyDescent="0.2">
      <c r="B61" s="28"/>
      <c r="C61" s="28" t="s">
        <v>299</v>
      </c>
      <c r="D61" s="4" t="s">
        <v>302</v>
      </c>
      <c r="E61" s="32">
        <v>54395.92</v>
      </c>
      <c r="F61" s="33"/>
      <c r="G61" s="33">
        <v>69103.11</v>
      </c>
      <c r="H61" s="33">
        <v>0</v>
      </c>
      <c r="I61" s="115">
        <f t="shared" ref="I61" si="5">E61+F61+G61+H61</f>
        <v>123499.03</v>
      </c>
      <c r="J61" s="33">
        <v>0</v>
      </c>
      <c r="K61" s="115">
        <f t="shared" ref="K61" si="6">I61+J61</f>
        <v>123499.03</v>
      </c>
      <c r="L61" s="210"/>
      <c r="M61" s="20"/>
      <c r="N61" s="6" t="s">
        <v>303</v>
      </c>
      <c r="S61" s="18"/>
    </row>
    <row r="62" spans="1:23" x14ac:dyDescent="0.2">
      <c r="B62" s="28"/>
      <c r="C62" s="28"/>
      <c r="E62" s="32"/>
      <c r="F62" s="33"/>
      <c r="G62" s="33"/>
      <c r="H62" s="33"/>
      <c r="I62" s="115"/>
      <c r="J62" s="33"/>
      <c r="K62" s="115"/>
      <c r="S62" s="18"/>
    </row>
    <row r="63" spans="1:23" x14ac:dyDescent="0.2">
      <c r="A63" s="100" t="s">
        <v>175</v>
      </c>
      <c r="B63" s="28"/>
      <c r="C63" s="28" t="s">
        <v>176</v>
      </c>
      <c r="D63" s="4" t="s">
        <v>175</v>
      </c>
      <c r="E63" s="32">
        <v>0</v>
      </c>
      <c r="F63" s="33">
        <v>0</v>
      </c>
      <c r="G63" s="33">
        <v>0</v>
      </c>
      <c r="H63" s="33">
        <v>0</v>
      </c>
      <c r="I63" s="115">
        <v>0</v>
      </c>
      <c r="J63" s="33">
        <v>0</v>
      </c>
      <c r="K63" s="115">
        <v>0</v>
      </c>
      <c r="S63" s="18"/>
      <c r="W63" s="47"/>
    </row>
    <row r="64" spans="1:23" x14ac:dyDescent="0.2">
      <c r="B64" s="28"/>
      <c r="C64" s="28"/>
      <c r="E64" s="32"/>
      <c r="F64" s="33"/>
      <c r="G64" s="33"/>
      <c r="H64" s="33"/>
      <c r="I64" s="115"/>
      <c r="J64" s="33"/>
      <c r="K64" s="115"/>
      <c r="S64" s="18"/>
      <c r="W64" s="47"/>
    </row>
    <row r="65" spans="1:19" x14ac:dyDescent="0.2">
      <c r="A65" s="100" t="s">
        <v>39</v>
      </c>
      <c r="B65" s="28"/>
      <c r="C65" s="28" t="s">
        <v>38</v>
      </c>
      <c r="D65" s="4" t="s">
        <v>39</v>
      </c>
      <c r="E65" s="32">
        <v>4912684</v>
      </c>
      <c r="F65" s="33">
        <v>0</v>
      </c>
      <c r="G65" s="44">
        <v>0</v>
      </c>
      <c r="H65" s="33">
        <v>0</v>
      </c>
      <c r="I65" s="115">
        <f>E65+F65+G65+H65</f>
        <v>4912684</v>
      </c>
      <c r="J65" s="33">
        <v>0</v>
      </c>
      <c r="K65" s="115">
        <f>I65+J65</f>
        <v>4912684</v>
      </c>
      <c r="L65" s="210" t="s">
        <v>22</v>
      </c>
      <c r="M65" s="20" t="s">
        <v>112</v>
      </c>
      <c r="S65" s="18"/>
    </row>
    <row r="66" spans="1:19" x14ac:dyDescent="0.2">
      <c r="B66" s="28"/>
      <c r="C66" s="28"/>
      <c r="E66" s="32">
        <v>0</v>
      </c>
      <c r="F66" s="33"/>
      <c r="G66" s="33"/>
      <c r="H66" s="33"/>
      <c r="I66" s="115">
        <f t="shared" ref="I66:I75" si="7">E66+F66+G66+H66</f>
        <v>0</v>
      </c>
      <c r="J66" s="33"/>
      <c r="K66" s="115">
        <f t="shared" ref="K66:K75" si="8">I66+J66</f>
        <v>0</v>
      </c>
      <c r="M66" s="20"/>
      <c r="S66" s="18"/>
    </row>
    <row r="67" spans="1:19" ht="12.75" customHeight="1" x14ac:dyDescent="0.2">
      <c r="A67" s="100" t="s">
        <v>178</v>
      </c>
      <c r="B67" s="28"/>
      <c r="C67" s="28" t="s">
        <v>177</v>
      </c>
      <c r="D67" s="4" t="s">
        <v>178</v>
      </c>
      <c r="E67" s="32">
        <v>0</v>
      </c>
      <c r="F67" s="33">
        <v>0</v>
      </c>
      <c r="G67" s="44">
        <v>0</v>
      </c>
      <c r="H67" s="33">
        <v>0</v>
      </c>
      <c r="I67" s="115">
        <f t="shared" si="7"/>
        <v>0</v>
      </c>
      <c r="J67" s="33">
        <f>F67+G67+H67+I67</f>
        <v>0</v>
      </c>
      <c r="K67" s="115">
        <f t="shared" si="8"/>
        <v>0</v>
      </c>
      <c r="M67" s="20"/>
      <c r="S67" s="18"/>
    </row>
    <row r="68" spans="1:19" ht="12.75" customHeight="1" x14ac:dyDescent="0.2">
      <c r="B68" s="28"/>
      <c r="C68" s="28"/>
      <c r="E68" s="32"/>
      <c r="F68" s="33"/>
      <c r="G68" s="44"/>
      <c r="H68" s="33"/>
      <c r="I68" s="115"/>
      <c r="J68" s="33"/>
      <c r="K68" s="115"/>
      <c r="M68" s="20"/>
      <c r="S68" s="18"/>
    </row>
    <row r="69" spans="1:19" ht="15.75" customHeight="1" x14ac:dyDescent="0.35">
      <c r="A69" s="100" t="s">
        <v>231</v>
      </c>
      <c r="B69" s="28"/>
      <c r="C69" s="28" t="s">
        <v>229</v>
      </c>
      <c r="D69" s="4" t="s">
        <v>230</v>
      </c>
      <c r="E69" s="32">
        <v>31237737.049999997</v>
      </c>
      <c r="F69" s="172"/>
      <c r="G69" s="33">
        <v>834370.74</v>
      </c>
      <c r="H69" s="33">
        <v>0</v>
      </c>
      <c r="I69" s="115">
        <f t="shared" si="7"/>
        <v>32072107.789999995</v>
      </c>
      <c r="J69" s="33">
        <v>0</v>
      </c>
      <c r="K69" s="115">
        <f t="shared" si="8"/>
        <v>32072107.789999995</v>
      </c>
      <c r="L69" s="210" t="s">
        <v>250</v>
      </c>
      <c r="M69" s="20" t="s">
        <v>246</v>
      </c>
      <c r="S69" s="18"/>
    </row>
    <row r="70" spans="1:19" ht="12.75" customHeight="1" x14ac:dyDescent="0.35">
      <c r="B70" s="28"/>
      <c r="C70" s="28"/>
      <c r="E70" s="32"/>
      <c r="F70" s="172"/>
      <c r="G70" s="33"/>
      <c r="H70" s="172"/>
      <c r="I70" s="115"/>
      <c r="J70" s="172"/>
      <c r="K70" s="115"/>
      <c r="M70" s="20"/>
      <c r="S70" s="18"/>
    </row>
    <row r="71" spans="1:19" ht="20.25" customHeight="1" x14ac:dyDescent="0.35">
      <c r="A71" s="100" t="s">
        <v>238</v>
      </c>
      <c r="B71" s="28"/>
      <c r="C71" s="28" t="s">
        <v>236</v>
      </c>
      <c r="D71" s="4" t="s">
        <v>238</v>
      </c>
      <c r="E71" s="32">
        <v>0</v>
      </c>
      <c r="F71" s="172"/>
      <c r="G71" s="33">
        <v>0</v>
      </c>
      <c r="H71" s="33">
        <v>0</v>
      </c>
      <c r="I71" s="115">
        <f t="shared" si="7"/>
        <v>0</v>
      </c>
      <c r="J71" s="33">
        <v>0</v>
      </c>
      <c r="K71" s="115">
        <f t="shared" si="8"/>
        <v>0</v>
      </c>
      <c r="L71" s="210" t="s">
        <v>251</v>
      </c>
      <c r="M71" s="20"/>
      <c r="S71" s="18"/>
    </row>
    <row r="72" spans="1:19" ht="12.75" customHeight="1" x14ac:dyDescent="0.35">
      <c r="B72" s="28"/>
      <c r="C72" s="28"/>
      <c r="E72" s="32" t="s">
        <v>222</v>
      </c>
      <c r="F72" s="172"/>
      <c r="G72" s="33"/>
      <c r="H72" s="144"/>
      <c r="I72" s="115" t="s">
        <v>222</v>
      </c>
      <c r="J72" s="33"/>
      <c r="K72" s="115" t="s">
        <v>222</v>
      </c>
      <c r="L72" s="210"/>
      <c r="M72" s="20"/>
      <c r="S72" s="18"/>
    </row>
    <row r="73" spans="1:19" ht="20.25" customHeight="1" x14ac:dyDescent="0.35">
      <c r="A73" s="100" t="s">
        <v>296</v>
      </c>
      <c r="B73" s="28"/>
      <c r="C73" s="28" t="s">
        <v>297</v>
      </c>
      <c r="D73" s="4" t="s">
        <v>296</v>
      </c>
      <c r="E73" s="32">
        <v>0</v>
      </c>
      <c r="F73" s="172"/>
      <c r="G73" s="33">
        <v>0</v>
      </c>
      <c r="H73" s="33">
        <v>0</v>
      </c>
      <c r="I73" s="115">
        <f>E73+F73+G73+H73</f>
        <v>0</v>
      </c>
      <c r="J73" s="33">
        <v>7214174.9800000004</v>
      </c>
      <c r="K73" s="115">
        <v>7214175</v>
      </c>
      <c r="L73" s="210"/>
      <c r="M73" s="20"/>
      <c r="N73" s="295" t="s">
        <v>303</v>
      </c>
      <c r="S73" s="18"/>
    </row>
    <row r="74" spans="1:19" ht="12.75" customHeight="1" x14ac:dyDescent="0.35">
      <c r="B74" s="28"/>
      <c r="C74" s="28"/>
      <c r="E74" s="32"/>
      <c r="F74" s="172"/>
      <c r="G74" s="33"/>
      <c r="H74" s="33"/>
      <c r="I74" s="115"/>
      <c r="J74" s="33"/>
      <c r="K74" s="115"/>
      <c r="L74" s="210"/>
      <c r="M74" s="20"/>
      <c r="S74" s="18"/>
    </row>
    <row r="75" spans="1:19" ht="12.75" customHeight="1" x14ac:dyDescent="0.35">
      <c r="A75" s="100" t="s">
        <v>257</v>
      </c>
      <c r="B75" s="28"/>
      <c r="C75" s="28" t="s">
        <v>256</v>
      </c>
      <c r="D75" s="4" t="s">
        <v>257</v>
      </c>
      <c r="E75" s="32">
        <v>-577032.67999999993</v>
      </c>
      <c r="F75" s="172"/>
      <c r="G75" s="33">
        <v>-32253.31</v>
      </c>
      <c r="H75" s="33">
        <v>0</v>
      </c>
      <c r="I75" s="115">
        <f t="shared" si="7"/>
        <v>-609285.99</v>
      </c>
      <c r="J75" s="33">
        <v>0</v>
      </c>
      <c r="K75" s="115">
        <f t="shared" si="8"/>
        <v>-609285.99</v>
      </c>
      <c r="L75" s="210"/>
      <c r="M75" s="20"/>
      <c r="S75" s="18"/>
    </row>
    <row r="76" spans="1:19" ht="12.75" customHeight="1" x14ac:dyDescent="0.35">
      <c r="B76" s="28"/>
      <c r="C76" s="28"/>
      <c r="E76" s="32"/>
      <c r="F76" s="172"/>
      <c r="G76" s="144"/>
      <c r="H76" s="33"/>
      <c r="I76" s="115"/>
      <c r="J76" s="33"/>
      <c r="K76" s="115" t="s">
        <v>222</v>
      </c>
      <c r="M76" s="20"/>
      <c r="S76" s="18"/>
    </row>
    <row r="77" spans="1:19" ht="12.75" customHeight="1" x14ac:dyDescent="0.35">
      <c r="A77" s="100" t="s">
        <v>283</v>
      </c>
      <c r="B77" s="28"/>
      <c r="C77" s="28" t="s">
        <v>282</v>
      </c>
      <c r="D77" s="4" t="s">
        <v>283</v>
      </c>
      <c r="E77" s="32">
        <v>0</v>
      </c>
      <c r="F77" s="172"/>
      <c r="G77" s="33">
        <v>0</v>
      </c>
      <c r="H77" s="33">
        <v>0</v>
      </c>
      <c r="I77" s="115">
        <f t="shared" ref="I77" si="9">E77+F77+G77+H77</f>
        <v>0</v>
      </c>
      <c r="J77" s="33">
        <v>0</v>
      </c>
      <c r="K77" s="115">
        <f t="shared" ref="K77" si="10">I77+J77</f>
        <v>0</v>
      </c>
      <c r="L77" s="210"/>
      <c r="M77" s="20"/>
      <c r="S77" s="18"/>
    </row>
    <row r="78" spans="1:19" ht="12.75" customHeight="1" x14ac:dyDescent="0.35">
      <c r="B78" s="28"/>
      <c r="C78" s="28"/>
      <c r="E78" s="32"/>
      <c r="F78" s="172"/>
      <c r="G78" s="144"/>
      <c r="H78" s="33"/>
      <c r="I78" s="115"/>
      <c r="J78" s="33"/>
      <c r="K78" s="115"/>
      <c r="L78" s="210"/>
      <c r="M78" s="20"/>
      <c r="S78" s="18"/>
    </row>
    <row r="79" spans="1:19" ht="16.5" customHeight="1" x14ac:dyDescent="0.35">
      <c r="A79" s="100" t="s">
        <v>240</v>
      </c>
      <c r="B79" s="28"/>
      <c r="C79" s="28" t="s">
        <v>239</v>
      </c>
      <c r="D79" s="4" t="s">
        <v>240</v>
      </c>
      <c r="E79" s="32">
        <v>11663440.000000002</v>
      </c>
      <c r="F79" s="172"/>
      <c r="G79" s="33">
        <v>-22320</v>
      </c>
      <c r="H79" s="33">
        <v>0</v>
      </c>
      <c r="I79" s="115">
        <f t="shared" ref="I79" si="11">E79+F79+G79+H79</f>
        <v>11641120.000000002</v>
      </c>
      <c r="J79" s="33">
        <v>0</v>
      </c>
      <c r="K79" s="115">
        <f t="shared" ref="K79" si="12">I79+J79</f>
        <v>11641120.000000002</v>
      </c>
      <c r="L79" s="210" t="s">
        <v>22</v>
      </c>
      <c r="M79" s="20" t="s">
        <v>247</v>
      </c>
      <c r="S79" s="18"/>
    </row>
    <row r="80" spans="1:19" ht="12.75" customHeight="1" x14ac:dyDescent="0.35">
      <c r="B80" s="28"/>
      <c r="C80" s="28"/>
      <c r="E80" s="32"/>
      <c r="F80" s="172"/>
      <c r="G80" s="144"/>
      <c r="H80" s="33"/>
      <c r="I80" s="115"/>
      <c r="J80" s="33"/>
      <c r="K80" s="115"/>
      <c r="M80" s="20"/>
      <c r="S80" s="18"/>
    </row>
    <row r="81" spans="1:21" ht="16.5" customHeight="1" x14ac:dyDescent="0.35">
      <c r="A81" s="100" t="s">
        <v>288</v>
      </c>
      <c r="B81" s="28"/>
      <c r="C81" s="28" t="s">
        <v>289</v>
      </c>
      <c r="D81" s="4" t="s">
        <v>288</v>
      </c>
      <c r="E81" s="32">
        <v>410897.67000000004</v>
      </c>
      <c r="F81" s="172"/>
      <c r="G81" s="33">
        <v>8998.98</v>
      </c>
      <c r="H81" s="33">
        <v>0</v>
      </c>
      <c r="I81" s="115">
        <f t="shared" ref="I81" si="13">E81+F81+G81+H81</f>
        <v>419896.65</v>
      </c>
      <c r="J81" s="33">
        <v>0</v>
      </c>
      <c r="K81" s="115">
        <f t="shared" ref="K81" si="14">I81+J81</f>
        <v>419896.65</v>
      </c>
      <c r="L81" s="210" t="s">
        <v>22</v>
      </c>
      <c r="M81" s="20" t="s">
        <v>247</v>
      </c>
      <c r="S81" s="18"/>
    </row>
    <row r="82" spans="1:21" ht="16.5" customHeight="1" x14ac:dyDescent="0.35">
      <c r="B82" s="28"/>
      <c r="C82" s="28"/>
      <c r="E82" s="32"/>
      <c r="F82" s="172"/>
      <c r="G82" s="144"/>
      <c r="H82" s="33"/>
      <c r="I82" s="115"/>
      <c r="J82" s="33"/>
      <c r="K82" s="115"/>
      <c r="L82" s="210"/>
      <c r="M82" s="20"/>
      <c r="S82" s="18"/>
    </row>
    <row r="83" spans="1:21" ht="12.75" customHeight="1" x14ac:dyDescent="0.35">
      <c r="A83" s="100" t="s">
        <v>234</v>
      </c>
      <c r="B83" s="28"/>
      <c r="C83" s="28" t="s">
        <v>232</v>
      </c>
      <c r="D83" s="4" t="s">
        <v>233</v>
      </c>
      <c r="E83" s="32">
        <v>0</v>
      </c>
      <c r="F83" s="174"/>
      <c r="G83" s="144">
        <v>0</v>
      </c>
      <c r="H83" s="33">
        <v>0</v>
      </c>
      <c r="I83" s="115">
        <f t="shared" ref="I83:I85" si="15">E83+F83+G83+H83</f>
        <v>0</v>
      </c>
      <c r="J83" s="33">
        <v>0</v>
      </c>
      <c r="K83" s="115">
        <f t="shared" ref="K83:K85" si="16">I83+J83</f>
        <v>0</v>
      </c>
      <c r="M83" s="20"/>
      <c r="S83" s="18"/>
    </row>
    <row r="84" spans="1:21" ht="12.75" customHeight="1" x14ac:dyDescent="0.35">
      <c r="B84" s="28"/>
      <c r="C84" s="28"/>
      <c r="E84" s="32"/>
      <c r="F84" s="172"/>
      <c r="G84" s="144"/>
      <c r="H84" s="33"/>
      <c r="I84" s="115"/>
      <c r="J84" s="33"/>
      <c r="K84" s="115"/>
      <c r="M84" s="20"/>
      <c r="S84" s="18"/>
    </row>
    <row r="85" spans="1:21" ht="17.25" customHeight="1" x14ac:dyDescent="0.35">
      <c r="A85" s="100" t="s">
        <v>276</v>
      </c>
      <c r="B85" s="28"/>
      <c r="C85" s="28" t="s">
        <v>275</v>
      </c>
      <c r="D85" s="4" t="s">
        <v>276</v>
      </c>
      <c r="E85" s="35">
        <v>2796093.9499999997</v>
      </c>
      <c r="F85" s="174"/>
      <c r="G85" s="36">
        <v>62353.02</v>
      </c>
      <c r="H85" s="36">
        <v>0</v>
      </c>
      <c r="I85" s="116">
        <f t="shared" si="15"/>
        <v>2858446.9699999997</v>
      </c>
      <c r="J85" s="36">
        <v>0</v>
      </c>
      <c r="K85" s="116">
        <f t="shared" si="16"/>
        <v>2858446.9699999997</v>
      </c>
      <c r="M85" s="20"/>
      <c r="S85" s="18"/>
    </row>
    <row r="86" spans="1:21" x14ac:dyDescent="0.2">
      <c r="B86" s="54"/>
      <c r="C86" s="28"/>
      <c r="E86" s="221">
        <v>58982496.880000003</v>
      </c>
      <c r="F86" s="29">
        <f>SUM(F39:F67)+F36</f>
        <v>0</v>
      </c>
      <c r="G86" s="29">
        <f>SUM(G39:G85)+G36</f>
        <v>1136853.01</v>
      </c>
      <c r="H86" s="29">
        <f>SUM(H39:H85)+H36</f>
        <v>0</v>
      </c>
      <c r="I86" s="269">
        <f>SUM(I39:I85)</f>
        <v>60119349.889999993</v>
      </c>
      <c r="J86" s="49">
        <f>SUM(J39:J85)+J36</f>
        <v>5474055.9800000004</v>
      </c>
      <c r="K86" s="275">
        <f>SUM(K39:K85)</f>
        <v>65593405.889999993</v>
      </c>
      <c r="L86" s="280" t="s">
        <v>259</v>
      </c>
      <c r="M86" s="20"/>
      <c r="S86" s="18"/>
    </row>
    <row r="87" spans="1:21" x14ac:dyDescent="0.2">
      <c r="B87" s="54"/>
      <c r="C87" s="28"/>
      <c r="E87" s="32"/>
      <c r="F87" s="32"/>
      <c r="G87" s="157"/>
      <c r="H87" s="32"/>
      <c r="I87" s="123"/>
      <c r="J87" s="32"/>
      <c r="K87" s="123"/>
      <c r="L87" s="230"/>
      <c r="M87" s="20"/>
      <c r="S87" s="18"/>
    </row>
    <row r="88" spans="1:21" ht="16.5" customHeight="1" x14ac:dyDescent="0.35">
      <c r="A88" s="100" t="s">
        <v>255</v>
      </c>
      <c r="B88" s="28"/>
      <c r="C88" s="28" t="s">
        <v>254</v>
      </c>
      <c r="D88" s="4" t="s">
        <v>255</v>
      </c>
      <c r="E88" s="32">
        <v>11949160.57</v>
      </c>
      <c r="F88" s="172"/>
      <c r="G88" s="33">
        <v>537611.96</v>
      </c>
      <c r="H88" s="33">
        <v>0</v>
      </c>
      <c r="I88" s="115">
        <f>E88+F88+G88+H88</f>
        <v>12486772.530000001</v>
      </c>
      <c r="J88" s="33">
        <v>0</v>
      </c>
      <c r="K88" s="115">
        <f>I88+J88</f>
        <v>12486772.530000001</v>
      </c>
      <c r="L88" s="210"/>
      <c r="M88" s="20"/>
      <c r="S88" s="18"/>
    </row>
    <row r="89" spans="1:21" x14ac:dyDescent="0.2">
      <c r="A89" s="100" t="s">
        <v>269</v>
      </c>
      <c r="B89" s="54"/>
      <c r="C89" s="28" t="s">
        <v>268</v>
      </c>
      <c r="D89" s="4" t="s">
        <v>269</v>
      </c>
      <c r="E89" s="35">
        <v>2351672.36</v>
      </c>
      <c r="F89" s="35"/>
      <c r="G89" s="35">
        <v>-353570.67</v>
      </c>
      <c r="H89" s="35">
        <v>0</v>
      </c>
      <c r="I89" s="267">
        <f>E89+F89+G89+H89</f>
        <v>1998101.69</v>
      </c>
      <c r="J89" s="274">
        <v>0</v>
      </c>
      <c r="K89" s="267">
        <f t="shared" ref="K89" si="17">I89+J89</f>
        <v>1998101.69</v>
      </c>
      <c r="L89" s="280" t="s">
        <v>279</v>
      </c>
      <c r="M89" s="20"/>
      <c r="S89" s="18"/>
    </row>
    <row r="90" spans="1:21" x14ac:dyDescent="0.2">
      <c r="B90" s="54"/>
      <c r="C90" s="28"/>
      <c r="E90" s="221">
        <v>14300832.93</v>
      </c>
      <c r="F90" s="32"/>
      <c r="G90" s="32">
        <f>SUM(G88:G89)</f>
        <v>184041.28999999998</v>
      </c>
      <c r="H90" s="32">
        <f>SUM(H88:H89)</f>
        <v>0</v>
      </c>
      <c r="I90" s="269">
        <f>SUM(I88:I89)</f>
        <v>14484874.220000001</v>
      </c>
      <c r="J90" s="221">
        <f>SUM(J89)</f>
        <v>0</v>
      </c>
      <c r="K90" s="269">
        <f>SUM(K88:K89)</f>
        <v>14484874.220000001</v>
      </c>
      <c r="L90" s="258"/>
      <c r="M90" s="20"/>
      <c r="S90" s="18"/>
    </row>
    <row r="91" spans="1:21" x14ac:dyDescent="0.2">
      <c r="B91" s="54"/>
      <c r="C91" s="28"/>
      <c r="E91" s="32"/>
      <c r="F91" s="29"/>
      <c r="G91" s="151"/>
      <c r="H91" s="29"/>
      <c r="I91" s="123"/>
      <c r="J91" s="49"/>
      <c r="K91" s="123"/>
      <c r="L91" s="230"/>
      <c r="M91" s="20"/>
      <c r="S91" s="18"/>
    </row>
    <row r="92" spans="1:21" s="22" customFormat="1" x14ac:dyDescent="0.2">
      <c r="A92" s="101"/>
      <c r="B92" s="54" t="s">
        <v>129</v>
      </c>
      <c r="C92" s="55"/>
      <c r="E92" s="220"/>
      <c r="F92" s="47"/>
      <c r="G92" s="162"/>
      <c r="H92" s="47"/>
      <c r="I92" s="124"/>
      <c r="J92" s="47"/>
      <c r="K92" s="124"/>
      <c r="M92" s="19"/>
      <c r="N92" s="48"/>
      <c r="O92" s="48"/>
      <c r="P92" s="56"/>
      <c r="R92" s="57"/>
      <c r="S92" s="57"/>
      <c r="T92" s="55"/>
      <c r="U92" s="55"/>
    </row>
    <row r="93" spans="1:21" ht="25.5" x14ac:dyDescent="0.2">
      <c r="A93" s="100" t="s">
        <v>125</v>
      </c>
      <c r="B93" s="28"/>
      <c r="C93" s="28" t="s">
        <v>73</v>
      </c>
      <c r="D93" s="4" t="s">
        <v>125</v>
      </c>
      <c r="E93" s="32">
        <v>23097675.719999999</v>
      </c>
      <c r="F93" s="30">
        <v>0</v>
      </c>
      <c r="G93" s="33">
        <v>-5273</v>
      </c>
      <c r="H93" s="30">
        <v>0</v>
      </c>
      <c r="I93" s="115">
        <f>E93+F93+G93+H93</f>
        <v>23092402.719999999</v>
      </c>
      <c r="J93" s="30">
        <v>0</v>
      </c>
      <c r="K93" s="115">
        <f t="shared" ref="K93:K100" si="18">I93+J93</f>
        <v>23092402.719999999</v>
      </c>
      <c r="L93" s="210"/>
      <c r="M93" s="20" t="s">
        <v>126</v>
      </c>
      <c r="P93" s="58"/>
      <c r="R93" s="4" t="s">
        <v>107</v>
      </c>
      <c r="S93" s="18">
        <v>182940</v>
      </c>
      <c r="U93" s="4" t="s">
        <v>36</v>
      </c>
    </row>
    <row r="94" spans="1:21" x14ac:dyDescent="0.2">
      <c r="A94" s="100" t="s">
        <v>291</v>
      </c>
      <c r="B94" s="28"/>
      <c r="C94" s="28" t="s">
        <v>290</v>
      </c>
      <c r="D94" s="4" t="s">
        <v>291</v>
      </c>
      <c r="E94" s="32">
        <v>2400183.5499999998</v>
      </c>
      <c r="F94" s="30">
        <v>0</v>
      </c>
      <c r="G94" s="33">
        <v>0</v>
      </c>
      <c r="H94" s="30">
        <v>0</v>
      </c>
      <c r="I94" s="115">
        <f t="shared" ref="I94:I100" si="19">E94+F94+G94+H94</f>
        <v>2400183.5499999998</v>
      </c>
      <c r="J94" s="30">
        <v>0</v>
      </c>
      <c r="K94" s="115">
        <f t="shared" si="18"/>
        <v>2400183.5499999998</v>
      </c>
      <c r="L94" s="210" t="s">
        <v>22</v>
      </c>
      <c r="M94" s="20"/>
      <c r="P94" s="58"/>
      <c r="S94" s="18">
        <v>186801</v>
      </c>
    </row>
    <row r="95" spans="1:21" x14ac:dyDescent="0.2">
      <c r="A95" s="100" t="s">
        <v>281</v>
      </c>
      <c r="B95" s="28"/>
      <c r="C95" s="28" t="s">
        <v>280</v>
      </c>
      <c r="D95" s="4" t="s">
        <v>281</v>
      </c>
      <c r="E95" s="32">
        <v>4497317.7200000007</v>
      </c>
      <c r="F95" s="30">
        <v>0</v>
      </c>
      <c r="G95" s="33">
        <v>-5862</v>
      </c>
      <c r="H95" s="30">
        <v>0</v>
      </c>
      <c r="I95" s="115">
        <f t="shared" si="19"/>
        <v>4491455.7200000007</v>
      </c>
      <c r="J95" s="30">
        <v>0</v>
      </c>
      <c r="K95" s="115">
        <f t="shared" si="18"/>
        <v>4491455.7200000007</v>
      </c>
      <c r="L95" s="210" t="s">
        <v>22</v>
      </c>
      <c r="M95" s="20"/>
      <c r="P95" s="58"/>
      <c r="S95" s="18">
        <v>186801</v>
      </c>
    </row>
    <row r="96" spans="1:21" x14ac:dyDescent="0.2">
      <c r="A96" s="100" t="s">
        <v>293</v>
      </c>
      <c r="B96" s="28"/>
      <c r="C96" s="28" t="s">
        <v>292</v>
      </c>
      <c r="D96" s="4" t="s">
        <v>293</v>
      </c>
      <c r="E96" s="32">
        <v>47703.05</v>
      </c>
      <c r="F96" s="30">
        <v>0</v>
      </c>
      <c r="G96" s="33">
        <v>0</v>
      </c>
      <c r="H96" s="30">
        <v>0</v>
      </c>
      <c r="I96" s="115">
        <f t="shared" si="19"/>
        <v>47703.05</v>
      </c>
      <c r="J96" s="30">
        <v>0</v>
      </c>
      <c r="K96" s="115">
        <f t="shared" si="18"/>
        <v>47703.05</v>
      </c>
      <c r="L96" s="210" t="s">
        <v>22</v>
      </c>
      <c r="M96" s="20"/>
      <c r="P96" s="58"/>
      <c r="S96" s="18"/>
    </row>
    <row r="97" spans="1:20" x14ac:dyDescent="0.2">
      <c r="A97" s="100" t="s">
        <v>161</v>
      </c>
      <c r="B97" s="28"/>
      <c r="C97" s="28" t="s">
        <v>72</v>
      </c>
      <c r="D97" s="4" t="s">
        <v>224</v>
      </c>
      <c r="E97" s="32">
        <v>0</v>
      </c>
      <c r="F97" s="30">
        <v>0</v>
      </c>
      <c r="G97" s="33">
        <v>-104110</v>
      </c>
      <c r="H97" s="30">
        <v>0</v>
      </c>
      <c r="I97" s="115">
        <f t="shared" si="19"/>
        <v>-104110</v>
      </c>
      <c r="J97" s="30">
        <v>0</v>
      </c>
      <c r="K97" s="115">
        <f t="shared" si="18"/>
        <v>-104110</v>
      </c>
      <c r="L97" s="210" t="s">
        <v>22</v>
      </c>
      <c r="M97" s="20"/>
      <c r="P97" s="58"/>
      <c r="S97" s="18"/>
    </row>
    <row r="98" spans="1:20" x14ac:dyDescent="0.2">
      <c r="A98" s="108" t="s">
        <v>171</v>
      </c>
      <c r="B98" s="28"/>
      <c r="C98" s="28" t="s">
        <v>122</v>
      </c>
      <c r="D98" s="4" t="s">
        <v>225</v>
      </c>
      <c r="E98" s="32">
        <v>0</v>
      </c>
      <c r="F98" s="30">
        <v>0</v>
      </c>
      <c r="G98" s="33">
        <v>-23330</v>
      </c>
      <c r="H98" s="30">
        <v>0</v>
      </c>
      <c r="I98" s="115">
        <f t="shared" si="19"/>
        <v>-23330</v>
      </c>
      <c r="J98" s="30">
        <v>0</v>
      </c>
      <c r="K98" s="115">
        <f t="shared" si="18"/>
        <v>-23330</v>
      </c>
      <c r="L98" s="210" t="s">
        <v>22</v>
      </c>
      <c r="M98" s="20"/>
      <c r="P98" s="58"/>
      <c r="S98" s="18"/>
    </row>
    <row r="99" spans="1:20" x14ac:dyDescent="0.2">
      <c r="A99" s="108" t="s">
        <v>284</v>
      </c>
      <c r="B99" s="28"/>
      <c r="C99" s="28" t="s">
        <v>285</v>
      </c>
      <c r="D99" s="4" t="s">
        <v>284</v>
      </c>
      <c r="E99" s="32">
        <v>0</v>
      </c>
      <c r="F99" s="30"/>
      <c r="G99" s="33">
        <v>-36260</v>
      </c>
      <c r="H99" s="30">
        <v>0</v>
      </c>
      <c r="I99" s="115">
        <f t="shared" si="19"/>
        <v>-36260</v>
      </c>
      <c r="J99" s="30">
        <v>0</v>
      </c>
      <c r="K99" s="115">
        <f t="shared" si="18"/>
        <v>-36260</v>
      </c>
      <c r="L99" s="210"/>
      <c r="M99" s="20"/>
      <c r="P99" s="58"/>
      <c r="S99" s="18"/>
    </row>
    <row r="100" spans="1:20" x14ac:dyDescent="0.2">
      <c r="A100" s="108" t="s">
        <v>172</v>
      </c>
      <c r="B100" s="28"/>
      <c r="C100" s="28" t="s">
        <v>123</v>
      </c>
      <c r="D100" s="4" t="s">
        <v>226</v>
      </c>
      <c r="E100" s="35">
        <v>0</v>
      </c>
      <c r="F100" s="36"/>
      <c r="G100" s="36">
        <v>-374</v>
      </c>
      <c r="H100" s="36">
        <v>0</v>
      </c>
      <c r="I100" s="116">
        <f t="shared" si="19"/>
        <v>-374</v>
      </c>
      <c r="J100" s="36">
        <v>0</v>
      </c>
      <c r="K100" s="116">
        <f t="shared" si="18"/>
        <v>-374</v>
      </c>
      <c r="M100" s="20"/>
      <c r="P100" s="58"/>
      <c r="S100" s="18"/>
    </row>
    <row r="101" spans="1:20" x14ac:dyDescent="0.2">
      <c r="B101" s="28"/>
      <c r="C101" s="18"/>
      <c r="E101" s="221">
        <v>30042880.040000003</v>
      </c>
      <c r="F101" s="29">
        <f t="shared" ref="F101:K101" si="20">SUM(F93:F100)</f>
        <v>0</v>
      </c>
      <c r="G101" s="29">
        <f>SUM(G93:G100)</f>
        <v>-175209</v>
      </c>
      <c r="H101" s="29">
        <f t="shared" si="20"/>
        <v>0</v>
      </c>
      <c r="I101" s="269">
        <f t="shared" si="20"/>
        <v>29867671.040000003</v>
      </c>
      <c r="J101" s="29">
        <f t="shared" si="20"/>
        <v>0</v>
      </c>
      <c r="K101" s="269">
        <f t="shared" si="20"/>
        <v>29867671.040000003</v>
      </c>
      <c r="L101" s="280" t="s">
        <v>260</v>
      </c>
      <c r="M101" s="20"/>
      <c r="S101" s="18"/>
    </row>
    <row r="102" spans="1:20" ht="12.75" customHeight="1" x14ac:dyDescent="0.2">
      <c r="B102" s="54" t="s">
        <v>135</v>
      </c>
      <c r="C102" s="18"/>
      <c r="E102" s="32"/>
      <c r="F102" s="29"/>
      <c r="G102" s="151"/>
      <c r="H102" s="151"/>
      <c r="I102" s="117"/>
      <c r="J102" s="29"/>
      <c r="K102" s="117"/>
      <c r="M102" s="20"/>
      <c r="S102" s="18"/>
    </row>
    <row r="103" spans="1:20" ht="12.75" customHeight="1" x14ac:dyDescent="0.2">
      <c r="A103" s="100" t="s">
        <v>108</v>
      </c>
      <c r="B103" s="28"/>
      <c r="C103" s="28" t="s">
        <v>71</v>
      </c>
      <c r="D103" s="4" t="s">
        <v>108</v>
      </c>
      <c r="E103" s="32">
        <v>0</v>
      </c>
      <c r="F103" s="30">
        <v>0</v>
      </c>
      <c r="G103" s="152">
        <v>0</v>
      </c>
      <c r="H103" s="152">
        <v>0</v>
      </c>
      <c r="I103" s="115">
        <f t="shared" ref="I103:K104" si="21">E103+F103+G103+H103</f>
        <v>0</v>
      </c>
      <c r="J103" s="30">
        <f t="shared" si="21"/>
        <v>0</v>
      </c>
      <c r="K103" s="115">
        <f t="shared" si="21"/>
        <v>0</v>
      </c>
      <c r="M103" s="20"/>
      <c r="S103" s="18">
        <v>174995</v>
      </c>
    </row>
    <row r="104" spans="1:20" ht="12.75" customHeight="1" x14ac:dyDescent="0.2">
      <c r="A104" s="100" t="s">
        <v>139</v>
      </c>
      <c r="B104" s="28"/>
      <c r="C104" s="28" t="s">
        <v>124</v>
      </c>
      <c r="D104" s="4" t="s">
        <v>139</v>
      </c>
      <c r="E104" s="32">
        <v>0</v>
      </c>
      <c r="F104" s="30">
        <v>0</v>
      </c>
      <c r="G104" s="152">
        <v>0</v>
      </c>
      <c r="H104" s="152">
        <v>0</v>
      </c>
      <c r="I104" s="115">
        <f t="shared" si="21"/>
        <v>0</v>
      </c>
      <c r="J104" s="30">
        <f t="shared" si="21"/>
        <v>0</v>
      </c>
      <c r="K104" s="115">
        <f t="shared" si="21"/>
        <v>0</v>
      </c>
      <c r="M104" s="20"/>
      <c r="S104" s="18"/>
    </row>
    <row r="105" spans="1:20" ht="7.5" customHeight="1" x14ac:dyDescent="0.2">
      <c r="B105" s="28"/>
      <c r="C105" s="18"/>
      <c r="D105" s="59"/>
      <c r="E105" s="32"/>
      <c r="F105" s="30"/>
      <c r="G105" s="152"/>
      <c r="H105" s="152"/>
      <c r="I105" s="115"/>
      <c r="J105" s="30"/>
      <c r="K105" s="115"/>
      <c r="M105" s="20"/>
      <c r="P105" s="58"/>
      <c r="S105" s="18"/>
    </row>
    <row r="106" spans="1:20" x14ac:dyDescent="0.2">
      <c r="B106" s="28"/>
      <c r="C106" s="18"/>
      <c r="E106" s="32"/>
      <c r="F106" s="30"/>
      <c r="G106" s="152"/>
      <c r="H106" s="152"/>
      <c r="I106" s="115"/>
      <c r="J106" s="30"/>
      <c r="K106" s="115"/>
      <c r="M106" s="20"/>
      <c r="S106" s="18"/>
    </row>
    <row r="107" spans="1:20" x14ac:dyDescent="0.2">
      <c r="B107" s="18"/>
      <c r="C107" s="131" t="s">
        <v>41</v>
      </c>
      <c r="D107" s="135"/>
      <c r="E107" s="133">
        <v>108486960.14</v>
      </c>
      <c r="F107" s="133">
        <f>+F12+F24+F30+F86+F101+F103+F19+F104</f>
        <v>0</v>
      </c>
      <c r="G107" s="133">
        <f>+G12+G24+G30+G86+G90+G101+G103+G19+G104</f>
        <v>1145329.1200000001</v>
      </c>
      <c r="H107" s="133">
        <f>+H12+H24+H30+H86+H90+H101+H103+H19+H104</f>
        <v>0</v>
      </c>
      <c r="I107" s="134">
        <f>+I12+I24+I30+I86+I90+I101+I103+I19+I104</f>
        <v>109632289.26000001</v>
      </c>
      <c r="J107" s="133">
        <f>+J12+J24+J30+J86+J90+J101+J103+J19+J104</f>
        <v>7214174.9800000004</v>
      </c>
      <c r="K107" s="134">
        <f>+K12+K24+K30+K86+K90+K101+K103+K19+K104</f>
        <v>116846464.25999999</v>
      </c>
      <c r="M107" s="45"/>
      <c r="N107" s="143"/>
      <c r="S107" s="18"/>
    </row>
    <row r="108" spans="1:20" x14ac:dyDescent="0.2">
      <c r="A108" s="105"/>
      <c r="B108" s="18"/>
      <c r="C108" s="18"/>
      <c r="D108" s="12"/>
      <c r="E108" s="221"/>
      <c r="F108" s="50"/>
      <c r="G108" s="145"/>
      <c r="H108" s="145"/>
      <c r="I108" s="115"/>
      <c r="J108" s="30"/>
      <c r="K108" s="115"/>
      <c r="M108" s="45"/>
      <c r="S108" s="18"/>
    </row>
    <row r="109" spans="1:20" s="22" customFormat="1" x14ac:dyDescent="0.2">
      <c r="A109" s="106"/>
      <c r="B109" s="21" t="s">
        <v>130</v>
      </c>
      <c r="C109" s="46"/>
      <c r="D109" s="27"/>
      <c r="E109" s="222"/>
      <c r="F109" s="50"/>
      <c r="G109" s="145"/>
      <c r="H109" s="145"/>
      <c r="I109" s="113"/>
      <c r="J109" s="19"/>
      <c r="K109" s="113"/>
      <c r="M109" s="19"/>
      <c r="N109" s="20"/>
      <c r="O109" s="48"/>
      <c r="R109" s="57"/>
      <c r="S109" s="57"/>
    </row>
    <row r="110" spans="1:20" x14ac:dyDescent="0.2">
      <c r="A110" s="100" t="s">
        <v>114</v>
      </c>
      <c r="B110" s="18"/>
      <c r="C110" s="28" t="s">
        <v>52</v>
      </c>
      <c r="D110" s="4" t="s">
        <v>114</v>
      </c>
      <c r="E110" s="32">
        <v>-416454.09999999945</v>
      </c>
      <c r="F110" s="30">
        <v>0</v>
      </c>
      <c r="G110" s="33">
        <v>762131.68</v>
      </c>
      <c r="H110" s="33">
        <v>24175</v>
      </c>
      <c r="I110" s="115">
        <f t="shared" ref="I110:I115" si="22">E110+F110+G110+H110</f>
        <v>369852.5800000006</v>
      </c>
      <c r="J110" s="30">
        <v>0</v>
      </c>
      <c r="K110" s="115">
        <f t="shared" ref="K110:K115" si="23">I110+J110</f>
        <v>369852.5800000006</v>
      </c>
      <c r="L110" s="210" t="s">
        <v>22</v>
      </c>
      <c r="M110" s="33"/>
      <c r="N110" s="42"/>
      <c r="O110" s="42"/>
      <c r="S110" s="18">
        <v>191400</v>
      </c>
      <c r="T110" s="58"/>
    </row>
    <row r="111" spans="1:20" x14ac:dyDescent="0.2">
      <c r="A111" s="100" t="s">
        <v>115</v>
      </c>
      <c r="B111" s="18"/>
      <c r="C111" s="28" t="s">
        <v>53</v>
      </c>
      <c r="D111" s="4" t="s">
        <v>115</v>
      </c>
      <c r="E111" s="32">
        <v>-481411.18999999994</v>
      </c>
      <c r="F111" s="30">
        <v>0</v>
      </c>
      <c r="G111" s="33">
        <v>-727869.69</v>
      </c>
      <c r="H111" s="144">
        <v>0</v>
      </c>
      <c r="I111" s="115">
        <f t="shared" si="22"/>
        <v>-1209280.8799999999</v>
      </c>
      <c r="J111" s="30">
        <v>0</v>
      </c>
      <c r="K111" s="115">
        <f t="shared" si="23"/>
        <v>-1209280.8799999999</v>
      </c>
      <c r="L111" s="210" t="s">
        <v>22</v>
      </c>
      <c r="M111" s="30"/>
      <c r="N111" s="42"/>
      <c r="O111" s="42"/>
      <c r="S111" s="18">
        <v>191800</v>
      </c>
      <c r="T111" s="58"/>
    </row>
    <row r="112" spans="1:20" ht="12.75" customHeight="1" x14ac:dyDescent="0.2">
      <c r="A112" s="100" t="s">
        <v>117</v>
      </c>
      <c r="B112" s="18"/>
      <c r="C112" s="28" t="s">
        <v>77</v>
      </c>
      <c r="D112" s="4" t="s">
        <v>117</v>
      </c>
      <c r="E112" s="32">
        <v>-33327.399999999907</v>
      </c>
      <c r="F112" s="30">
        <v>0</v>
      </c>
      <c r="G112" s="30"/>
      <c r="H112" s="144">
        <v>0</v>
      </c>
      <c r="I112" s="115">
        <f t="shared" si="22"/>
        <v>-33327.399999999907</v>
      </c>
      <c r="J112" s="30">
        <v>0</v>
      </c>
      <c r="K112" s="115">
        <f t="shared" si="23"/>
        <v>-33327.399999999907</v>
      </c>
      <c r="L112" s="210" t="s">
        <v>22</v>
      </c>
      <c r="M112" s="20"/>
      <c r="N112" s="42"/>
      <c r="O112" s="42"/>
      <c r="S112" s="18">
        <v>242995</v>
      </c>
      <c r="T112" s="58"/>
    </row>
    <row r="113" spans="1:21" x14ac:dyDescent="0.2">
      <c r="A113" s="100" t="s">
        <v>119</v>
      </c>
      <c r="B113" s="18"/>
      <c r="C113" s="28" t="s">
        <v>118</v>
      </c>
      <c r="D113" s="4" t="s">
        <v>119</v>
      </c>
      <c r="E113" s="32">
        <v>-444236.30000000051</v>
      </c>
      <c r="F113" s="30">
        <v>0</v>
      </c>
      <c r="G113" s="30">
        <v>-309129.77</v>
      </c>
      <c r="H113" s="144">
        <v>0</v>
      </c>
      <c r="I113" s="115">
        <f t="shared" si="22"/>
        <v>-753366.07000000053</v>
      </c>
      <c r="J113" s="30">
        <v>0</v>
      </c>
      <c r="K113" s="115">
        <f t="shared" si="23"/>
        <v>-753366.07000000053</v>
      </c>
      <c r="L113" s="210" t="s">
        <v>22</v>
      </c>
      <c r="M113" s="20"/>
      <c r="N113" s="42"/>
      <c r="O113" s="42"/>
      <c r="S113" s="18">
        <v>242997</v>
      </c>
      <c r="T113" s="58"/>
    </row>
    <row r="114" spans="1:21" x14ac:dyDescent="0.2">
      <c r="A114" s="100" t="s">
        <v>120</v>
      </c>
      <c r="B114" s="18"/>
      <c r="C114" s="28" t="s">
        <v>54</v>
      </c>
      <c r="D114" s="4" t="s">
        <v>120</v>
      </c>
      <c r="E114" s="32">
        <v>667235.91000000015</v>
      </c>
      <c r="F114" s="33">
        <v>0</v>
      </c>
      <c r="G114" s="33">
        <v>0</v>
      </c>
      <c r="H114" s="33">
        <v>-3263.93</v>
      </c>
      <c r="I114" s="115">
        <f t="shared" si="22"/>
        <v>663971.9800000001</v>
      </c>
      <c r="J114" s="33">
        <v>0</v>
      </c>
      <c r="K114" s="115">
        <f t="shared" si="23"/>
        <v>663971.9800000001</v>
      </c>
      <c r="L114" s="210" t="s">
        <v>22</v>
      </c>
      <c r="M114" s="42"/>
      <c r="N114" s="42"/>
      <c r="O114" s="42"/>
      <c r="S114" s="18">
        <v>253130</v>
      </c>
      <c r="T114" s="58"/>
    </row>
    <row r="115" spans="1:21" x14ac:dyDescent="0.2">
      <c r="A115" s="100" t="s">
        <v>156</v>
      </c>
      <c r="B115" s="18"/>
      <c r="C115" s="28" t="s">
        <v>116</v>
      </c>
      <c r="D115" s="4" t="s">
        <v>211</v>
      </c>
      <c r="E115" s="32">
        <v>-850382.6</v>
      </c>
      <c r="F115" s="33"/>
      <c r="G115" s="33">
        <v>675975.95</v>
      </c>
      <c r="H115" s="33">
        <v>0</v>
      </c>
      <c r="I115" s="115">
        <f t="shared" si="22"/>
        <v>-174406.65000000002</v>
      </c>
      <c r="J115" s="30">
        <v>0</v>
      </c>
      <c r="K115" s="115">
        <f t="shared" si="23"/>
        <v>-174406.65000000002</v>
      </c>
      <c r="M115" s="42"/>
      <c r="N115" s="42"/>
      <c r="O115" s="42"/>
      <c r="S115" s="18"/>
      <c r="T115" s="58"/>
    </row>
    <row r="116" spans="1:21" x14ac:dyDescent="0.2">
      <c r="B116" s="18"/>
      <c r="C116" s="28"/>
      <c r="E116" s="32"/>
      <c r="F116" s="33"/>
      <c r="G116" s="33"/>
      <c r="H116" s="33"/>
      <c r="I116" s="115"/>
      <c r="J116" s="30"/>
      <c r="K116" s="115"/>
      <c r="M116" s="42"/>
      <c r="N116" s="42"/>
      <c r="O116" s="42"/>
      <c r="S116" s="18"/>
      <c r="T116" s="58"/>
    </row>
    <row r="117" spans="1:21" x14ac:dyDescent="0.2">
      <c r="B117" s="18"/>
      <c r="C117" s="28"/>
      <c r="E117" s="32"/>
      <c r="F117" s="33"/>
      <c r="G117" s="33"/>
      <c r="H117" s="33"/>
      <c r="I117" s="115"/>
      <c r="J117" s="30"/>
      <c r="K117" s="115"/>
      <c r="M117" s="42"/>
      <c r="N117" s="42"/>
      <c r="O117" s="42"/>
      <c r="S117" s="18"/>
      <c r="T117" s="58"/>
    </row>
    <row r="118" spans="1:21" x14ac:dyDescent="0.2">
      <c r="B118" s="18"/>
      <c r="C118" s="28"/>
      <c r="E118" s="36"/>
      <c r="F118" s="36"/>
      <c r="G118" s="150"/>
      <c r="H118" s="150"/>
      <c r="I118" s="116"/>
      <c r="J118" s="36"/>
      <c r="K118" s="116"/>
      <c r="M118" s="42"/>
      <c r="N118" s="42"/>
      <c r="O118" s="42"/>
      <c r="S118" s="18"/>
      <c r="T118" s="58"/>
    </row>
    <row r="119" spans="1:21" x14ac:dyDescent="0.2">
      <c r="B119" s="18"/>
      <c r="C119" s="61"/>
      <c r="D119" s="34"/>
      <c r="E119" s="44">
        <v>-1558575.6799999997</v>
      </c>
      <c r="F119" s="33">
        <f t="shared" ref="F119:K119" si="24">SUM(F110:F118)</f>
        <v>0</v>
      </c>
      <c r="G119" s="33">
        <f t="shared" si="24"/>
        <v>401108.17000000004</v>
      </c>
      <c r="H119" s="33">
        <f t="shared" si="24"/>
        <v>20911.07</v>
      </c>
      <c r="I119" s="269">
        <f t="shared" si="24"/>
        <v>-1136556.4399999997</v>
      </c>
      <c r="J119" s="33">
        <f t="shared" si="24"/>
        <v>0</v>
      </c>
      <c r="K119" s="269">
        <f t="shared" si="24"/>
        <v>-1136556.4399999997</v>
      </c>
      <c r="L119" s="280" t="s">
        <v>263</v>
      </c>
      <c r="M119" s="42"/>
      <c r="N119" s="42"/>
      <c r="O119" s="42"/>
      <c r="S119" s="18"/>
      <c r="T119" s="58"/>
    </row>
    <row r="120" spans="1:21" x14ac:dyDescent="0.2">
      <c r="B120" s="21" t="s">
        <v>188</v>
      </c>
      <c r="C120" s="61"/>
      <c r="D120" s="34"/>
      <c r="E120" s="33"/>
      <c r="F120" s="33"/>
      <c r="G120" s="144"/>
      <c r="H120" s="144"/>
      <c r="I120" s="115"/>
      <c r="J120" s="33"/>
      <c r="K120" s="115"/>
      <c r="M120" s="42"/>
      <c r="N120" s="42"/>
      <c r="O120" s="42"/>
      <c r="S120" s="18"/>
      <c r="T120" s="58"/>
    </row>
    <row r="121" spans="1:21" x14ac:dyDescent="0.2">
      <c r="A121" s="100" t="s">
        <v>185</v>
      </c>
      <c r="B121" s="18"/>
      <c r="C121" s="28" t="s">
        <v>186</v>
      </c>
      <c r="D121" s="4" t="s">
        <v>213</v>
      </c>
      <c r="E121" s="32">
        <v>0</v>
      </c>
      <c r="F121" s="33">
        <v>0</v>
      </c>
      <c r="G121" s="144">
        <v>0</v>
      </c>
      <c r="H121" s="144">
        <v>0</v>
      </c>
      <c r="I121" s="115">
        <f>E121+F121+G121+H121</f>
        <v>0</v>
      </c>
      <c r="J121" s="33">
        <v>0</v>
      </c>
      <c r="K121" s="115">
        <f>I121+J121</f>
        <v>0</v>
      </c>
      <c r="M121" s="42"/>
      <c r="N121" s="42"/>
      <c r="O121" s="42"/>
      <c r="S121" s="18"/>
      <c r="T121" s="58"/>
    </row>
    <row r="122" spans="1:21" ht="12.75" customHeight="1" x14ac:dyDescent="0.2">
      <c r="A122" s="100" t="s">
        <v>181</v>
      </c>
      <c r="B122" s="18"/>
      <c r="C122" s="28" t="s">
        <v>182</v>
      </c>
      <c r="D122" s="4" t="s">
        <v>213</v>
      </c>
      <c r="E122" s="32">
        <v>0</v>
      </c>
      <c r="F122" s="33">
        <v>0</v>
      </c>
      <c r="G122" s="144">
        <v>0</v>
      </c>
      <c r="H122" s="144">
        <v>0</v>
      </c>
      <c r="I122" s="115">
        <f>E122+F122+G122+H122</f>
        <v>0</v>
      </c>
      <c r="J122" s="30">
        <v>0</v>
      </c>
      <c r="K122" s="115">
        <f>I122+J122</f>
        <v>0</v>
      </c>
      <c r="L122" s="4" t="s">
        <v>22</v>
      </c>
      <c r="M122" s="42"/>
      <c r="N122" s="42"/>
      <c r="O122" s="42"/>
      <c r="S122" s="18">
        <v>253130</v>
      </c>
      <c r="T122" s="58"/>
    </row>
    <row r="123" spans="1:21" x14ac:dyDescent="0.2">
      <c r="B123" s="18"/>
      <c r="C123" s="28"/>
      <c r="E123" s="33"/>
      <c r="F123" s="36"/>
      <c r="G123" s="150"/>
      <c r="H123" s="150"/>
      <c r="I123" s="116"/>
      <c r="J123" s="36"/>
      <c r="K123" s="116"/>
      <c r="M123" s="42"/>
      <c r="N123" s="42"/>
      <c r="O123" s="42"/>
      <c r="S123" s="18"/>
      <c r="T123" s="58"/>
    </row>
    <row r="124" spans="1:21" x14ac:dyDescent="0.2">
      <c r="B124" s="18"/>
      <c r="C124" s="28"/>
      <c r="E124" s="297">
        <v>0</v>
      </c>
      <c r="F124" s="33">
        <f t="shared" ref="F124:L124" si="25">SUM(F121:F122)</f>
        <v>0</v>
      </c>
      <c r="G124" s="144">
        <f t="shared" si="25"/>
        <v>0</v>
      </c>
      <c r="H124" s="144">
        <f t="shared" si="25"/>
        <v>0</v>
      </c>
      <c r="I124" s="128">
        <f>SUM(I121:I122)</f>
        <v>0</v>
      </c>
      <c r="J124" s="33">
        <f t="shared" si="25"/>
        <v>0</v>
      </c>
      <c r="K124" s="128">
        <f t="shared" si="25"/>
        <v>0</v>
      </c>
      <c r="L124" s="33">
        <f t="shared" si="25"/>
        <v>0</v>
      </c>
      <c r="M124" s="42"/>
      <c r="N124" s="42"/>
      <c r="O124" s="42"/>
      <c r="S124" s="18"/>
      <c r="T124" s="58"/>
    </row>
    <row r="125" spans="1:21" x14ac:dyDescent="0.2">
      <c r="B125" s="18"/>
      <c r="C125" s="61"/>
      <c r="D125" s="34"/>
      <c r="E125" s="33"/>
      <c r="F125" s="33"/>
      <c r="G125" s="144"/>
      <c r="H125" s="144"/>
      <c r="I125" s="115"/>
      <c r="J125" s="33"/>
      <c r="K125" s="115"/>
      <c r="M125" s="42"/>
      <c r="N125" s="42"/>
      <c r="O125" s="42"/>
      <c r="S125" s="18"/>
      <c r="T125" s="58"/>
    </row>
    <row r="126" spans="1:21" s="22" customFormat="1" x14ac:dyDescent="0.2">
      <c r="A126" s="101"/>
      <c r="B126" s="21" t="s">
        <v>214</v>
      </c>
      <c r="C126" s="63"/>
      <c r="D126" s="64"/>
      <c r="E126" s="33"/>
      <c r="F126" s="30"/>
      <c r="G126" s="152" t="s">
        <v>187</v>
      </c>
      <c r="H126" s="152"/>
      <c r="I126" s="113"/>
      <c r="J126" s="19"/>
      <c r="K126" s="113"/>
      <c r="M126" s="19"/>
      <c r="N126" s="42"/>
      <c r="O126" s="48"/>
      <c r="T126" s="46"/>
      <c r="U126" s="46"/>
    </row>
    <row r="127" spans="1:21" x14ac:dyDescent="0.2">
      <c r="A127" s="100" t="s">
        <v>162</v>
      </c>
      <c r="B127" s="18"/>
      <c r="C127" s="28" t="s">
        <v>76</v>
      </c>
      <c r="D127" s="4" t="s">
        <v>194</v>
      </c>
      <c r="E127" s="32">
        <v>0</v>
      </c>
      <c r="F127" s="30">
        <v>0</v>
      </c>
      <c r="G127" s="33">
        <v>0</v>
      </c>
      <c r="H127" s="33">
        <v>0</v>
      </c>
      <c r="I127" s="123">
        <f>E127+G127+H127+F127</f>
        <v>0</v>
      </c>
      <c r="J127" s="91">
        <v>0</v>
      </c>
      <c r="K127" s="123">
        <f>I127+J127</f>
        <v>0</v>
      </c>
      <c r="L127" s="259"/>
      <c r="M127" s="67"/>
      <c r="P127" s="51"/>
      <c r="Q127" s="18"/>
      <c r="R127" s="58"/>
      <c r="S127" s="18"/>
    </row>
    <row r="128" spans="1:21" x14ac:dyDescent="0.2">
      <c r="A128" s="100" t="s">
        <v>287</v>
      </c>
      <c r="B128" s="18"/>
      <c r="C128" s="28" t="s">
        <v>286</v>
      </c>
      <c r="D128" s="4" t="s">
        <v>287</v>
      </c>
      <c r="E128" s="35">
        <v>-5093204.7300000004</v>
      </c>
      <c r="F128" s="36">
        <v>0</v>
      </c>
      <c r="G128" s="36">
        <v>50719</v>
      </c>
      <c r="H128" s="36">
        <v>0</v>
      </c>
      <c r="I128" s="267">
        <f>E128+G128+H128+F128</f>
        <v>-5042485.7300000004</v>
      </c>
      <c r="J128" s="266">
        <v>0</v>
      </c>
      <c r="K128" s="267">
        <f>I128+J128</f>
        <v>-5042485.7300000004</v>
      </c>
      <c r="L128" s="210" t="s">
        <v>22</v>
      </c>
      <c r="M128" s="67"/>
      <c r="P128" s="51"/>
      <c r="Q128" s="18"/>
      <c r="R128" s="58"/>
      <c r="S128" s="18"/>
    </row>
    <row r="129" spans="1:23" ht="15" x14ac:dyDescent="0.25">
      <c r="B129" s="18"/>
      <c r="C129" s="28"/>
      <c r="D129" s="65"/>
      <c r="E129" s="234">
        <v>-5093204.7300000004</v>
      </c>
      <c r="F129" s="30"/>
      <c r="G129" s="33">
        <f>SUM(G127:G128)</f>
        <v>50719</v>
      </c>
      <c r="H129" s="33">
        <f>SUM(H127:H128)</f>
        <v>0</v>
      </c>
      <c r="I129" s="271">
        <f>SUM(I127:I128)</f>
        <v>-5042485.7300000004</v>
      </c>
      <c r="J129" s="1"/>
      <c r="K129" s="271">
        <f>SUM(K127:K128)</f>
        <v>-5042485.7300000004</v>
      </c>
      <c r="L129" s="281" t="s">
        <v>264</v>
      </c>
      <c r="M129" s="67"/>
      <c r="P129" s="51"/>
      <c r="Q129" s="18"/>
      <c r="R129" s="58"/>
      <c r="S129" s="18"/>
    </row>
    <row r="130" spans="1:23" x14ac:dyDescent="0.2">
      <c r="B130" s="21" t="s">
        <v>227</v>
      </c>
      <c r="C130" s="28"/>
      <c r="E130" s="83"/>
      <c r="F130" s="30"/>
      <c r="G130" s="152"/>
      <c r="H130" s="30"/>
      <c r="I130" s="115"/>
      <c r="J130" s="30"/>
      <c r="K130" s="115"/>
      <c r="M130" s="20"/>
      <c r="N130" s="42"/>
      <c r="O130" s="42"/>
      <c r="R130" s="58"/>
      <c r="S130" s="18"/>
      <c r="T130" s="58"/>
    </row>
    <row r="131" spans="1:23" x14ac:dyDescent="0.2">
      <c r="A131" s="100" t="s">
        <v>163</v>
      </c>
      <c r="B131" s="18"/>
      <c r="C131" s="28" t="s">
        <v>48</v>
      </c>
      <c r="D131" s="4" t="s">
        <v>195</v>
      </c>
      <c r="E131" s="32">
        <v>0</v>
      </c>
      <c r="F131" s="30">
        <v>0</v>
      </c>
      <c r="G131" s="33">
        <v>0</v>
      </c>
      <c r="H131" s="33">
        <v>0</v>
      </c>
      <c r="I131" s="115">
        <f>E131+F131+G131+H131</f>
        <v>0</v>
      </c>
      <c r="J131" s="30">
        <v>0</v>
      </c>
      <c r="K131" s="115">
        <f t="shared" ref="K131:K133" si="26">I131+J131</f>
        <v>0</v>
      </c>
      <c r="M131" s="62"/>
      <c r="P131" s="51"/>
      <c r="Q131" s="18"/>
      <c r="R131" s="58"/>
      <c r="S131" s="18">
        <v>254998</v>
      </c>
    </row>
    <row r="132" spans="1:23" x14ac:dyDescent="0.2">
      <c r="A132" s="100" t="s">
        <v>179</v>
      </c>
      <c r="B132" s="18"/>
      <c r="C132" s="28" t="s">
        <v>47</v>
      </c>
      <c r="D132" s="4" t="s">
        <v>196</v>
      </c>
      <c r="E132" s="32">
        <v>0</v>
      </c>
      <c r="F132" s="30">
        <v>0</v>
      </c>
      <c r="G132" s="152">
        <v>0</v>
      </c>
      <c r="H132" s="33">
        <v>0</v>
      </c>
      <c r="I132" s="115">
        <f>E132+F132+G132+H132</f>
        <v>0</v>
      </c>
      <c r="J132" s="30">
        <v>0</v>
      </c>
      <c r="K132" s="115">
        <f t="shared" si="26"/>
        <v>0</v>
      </c>
      <c r="M132" s="62"/>
      <c r="P132" s="51"/>
      <c r="Q132" s="18"/>
      <c r="R132" s="58"/>
      <c r="S132" s="18">
        <v>254998</v>
      </c>
      <c r="W132" s="47"/>
    </row>
    <row r="133" spans="1:23" x14ac:dyDescent="0.2">
      <c r="A133" s="100" t="s">
        <v>164</v>
      </c>
      <c r="B133" s="18"/>
      <c r="C133" s="28" t="s">
        <v>75</v>
      </c>
      <c r="D133" s="4" t="s">
        <v>215</v>
      </c>
      <c r="E133" s="32">
        <v>-14344.590000000004</v>
      </c>
      <c r="F133" s="30">
        <v>0</v>
      </c>
      <c r="G133" s="33">
        <v>37.119999999999997</v>
      </c>
      <c r="H133" s="33">
        <v>0</v>
      </c>
      <c r="I133" s="117">
        <f>E133+F133+G133+H133</f>
        <v>-14307.470000000003</v>
      </c>
      <c r="J133" s="30">
        <v>0</v>
      </c>
      <c r="K133" s="117">
        <f t="shared" si="26"/>
        <v>-14307.470000000003</v>
      </c>
      <c r="L133" s="230"/>
      <c r="M133" s="62"/>
      <c r="P133" s="51"/>
      <c r="Q133" s="18"/>
      <c r="R133" s="58"/>
      <c r="S133" s="18">
        <v>254210</v>
      </c>
    </row>
    <row r="134" spans="1:23" x14ac:dyDescent="0.2">
      <c r="B134" s="18"/>
      <c r="C134" s="28"/>
      <c r="D134" s="65"/>
      <c r="E134" s="36"/>
      <c r="F134" s="36"/>
      <c r="G134" s="150"/>
      <c r="H134" s="36"/>
      <c r="I134" s="116"/>
      <c r="J134" s="36"/>
      <c r="K134" s="116"/>
      <c r="M134" s="62"/>
      <c r="P134" s="51"/>
      <c r="Q134" s="18"/>
      <c r="R134" s="58"/>
      <c r="S134" s="18"/>
    </row>
    <row r="135" spans="1:23" x14ac:dyDescent="0.2">
      <c r="B135" s="18"/>
      <c r="C135" s="28"/>
      <c r="E135" s="44">
        <v>-14344.590000000004</v>
      </c>
      <c r="F135" s="30">
        <f t="shared" ref="F135:K135" si="27">SUM(F131:F134)</f>
        <v>0</v>
      </c>
      <c r="G135" s="30">
        <f t="shared" si="27"/>
        <v>37.119999999999997</v>
      </c>
      <c r="H135" s="30">
        <f t="shared" si="27"/>
        <v>0</v>
      </c>
      <c r="I135" s="270">
        <f t="shared" si="27"/>
        <v>-14307.470000000003</v>
      </c>
      <c r="J135" s="30">
        <f t="shared" si="27"/>
        <v>0</v>
      </c>
      <c r="K135" s="270">
        <f t="shared" si="27"/>
        <v>-14307.470000000003</v>
      </c>
      <c r="L135" s="281" t="s">
        <v>265</v>
      </c>
      <c r="M135" s="20"/>
      <c r="N135" s="42"/>
      <c r="O135" s="42"/>
      <c r="R135" s="58"/>
      <c r="S135" s="18"/>
      <c r="T135" s="58"/>
    </row>
    <row r="136" spans="1:23" x14ac:dyDescent="0.2">
      <c r="B136" s="21" t="s">
        <v>216</v>
      </c>
      <c r="C136" s="28"/>
      <c r="E136" s="33"/>
      <c r="F136" s="30"/>
      <c r="G136" s="152"/>
      <c r="H136" s="152"/>
      <c r="I136" s="115"/>
      <c r="J136" s="30"/>
      <c r="K136" s="115"/>
      <c r="M136" s="20"/>
      <c r="N136" s="42"/>
      <c r="O136" s="42"/>
      <c r="R136" s="58"/>
      <c r="S136" s="18"/>
      <c r="T136" s="58"/>
    </row>
    <row r="137" spans="1:23" x14ac:dyDescent="0.2">
      <c r="A137" s="100" t="s">
        <v>165</v>
      </c>
      <c r="B137" s="18"/>
      <c r="C137" s="28" t="s">
        <v>45</v>
      </c>
      <c r="D137" s="4" t="s">
        <v>294</v>
      </c>
      <c r="E137" s="32">
        <v>-18733952.290000007</v>
      </c>
      <c r="F137" s="30">
        <v>0</v>
      </c>
      <c r="G137" s="30">
        <v>-65803.839999999997</v>
      </c>
      <c r="H137" s="30">
        <v>0</v>
      </c>
      <c r="I137" s="115">
        <f>E137+F137+G137+H137</f>
        <v>-18799756.130000006</v>
      </c>
      <c r="J137" s="30">
        <v>0</v>
      </c>
      <c r="K137" s="115">
        <f t="shared" ref="K137:K143" si="28">I137+J137</f>
        <v>-18799756.130000006</v>
      </c>
      <c r="L137" s="210" t="s">
        <v>241</v>
      </c>
      <c r="M137" s="20"/>
      <c r="N137" s="42"/>
      <c r="O137" s="42"/>
      <c r="Q137" s="296">
        <v>75086</v>
      </c>
      <c r="R137" s="58" t="s">
        <v>44</v>
      </c>
      <c r="S137" s="18">
        <v>108201</v>
      </c>
      <c r="T137" s="58"/>
    </row>
    <row r="138" spans="1:23" x14ac:dyDescent="0.2">
      <c r="A138" s="100" t="s">
        <v>166</v>
      </c>
      <c r="B138" s="18"/>
      <c r="C138" s="28" t="s">
        <v>45</v>
      </c>
      <c r="D138" s="4" t="s">
        <v>295</v>
      </c>
      <c r="E138" s="32">
        <v>-47899618.420000002</v>
      </c>
      <c r="F138" s="30">
        <v>0</v>
      </c>
      <c r="G138" s="30">
        <v>42195.62</v>
      </c>
      <c r="H138" s="30">
        <v>0</v>
      </c>
      <c r="I138" s="115">
        <f t="shared" ref="I138:I143" si="29">E138+F138+G138+H138</f>
        <v>-47857422.800000004</v>
      </c>
      <c r="J138" s="30">
        <v>0</v>
      </c>
      <c r="K138" s="115">
        <f t="shared" si="28"/>
        <v>-47857422.800000004</v>
      </c>
      <c r="L138" s="210" t="s">
        <v>242</v>
      </c>
      <c r="M138" s="20"/>
      <c r="N138" s="42"/>
      <c r="O138" s="42"/>
      <c r="R138" s="58" t="s">
        <v>44</v>
      </c>
      <c r="S138" s="18">
        <v>108301</v>
      </c>
      <c r="T138" s="58"/>
    </row>
    <row r="139" spans="1:23" x14ac:dyDescent="0.2">
      <c r="A139" s="100" t="s">
        <v>167</v>
      </c>
      <c r="B139" s="18"/>
      <c r="C139" s="28" t="s">
        <v>46</v>
      </c>
      <c r="D139" s="4" t="s">
        <v>199</v>
      </c>
      <c r="E139" s="32">
        <v>12523951.519999998</v>
      </c>
      <c r="F139" s="30">
        <v>0</v>
      </c>
      <c r="G139" s="30">
        <v>1082562.78</v>
      </c>
      <c r="H139" s="30">
        <v>0</v>
      </c>
      <c r="I139" s="115">
        <f t="shared" si="29"/>
        <v>13606514.299999997</v>
      </c>
      <c r="J139" s="30">
        <v>0</v>
      </c>
      <c r="K139" s="115">
        <f>I139+J139</f>
        <v>13606514.299999997</v>
      </c>
      <c r="L139" s="210" t="s">
        <v>242</v>
      </c>
      <c r="M139" s="20"/>
      <c r="N139" s="42"/>
      <c r="O139" s="42"/>
      <c r="S139" s="18">
        <v>108410</v>
      </c>
      <c r="T139" s="58"/>
    </row>
    <row r="140" spans="1:23" x14ac:dyDescent="0.2">
      <c r="A140" s="100" t="s">
        <v>168</v>
      </c>
      <c r="B140" s="18"/>
      <c r="C140" s="28" t="s">
        <v>74</v>
      </c>
      <c r="D140" s="4" t="s">
        <v>217</v>
      </c>
      <c r="E140" s="32">
        <v>8685415.0399999991</v>
      </c>
      <c r="F140" s="30">
        <v>0</v>
      </c>
      <c r="G140" s="30">
        <v>320547.31</v>
      </c>
      <c r="H140" s="30">
        <v>0</v>
      </c>
      <c r="I140" s="115">
        <f t="shared" si="29"/>
        <v>9005962.3499999996</v>
      </c>
      <c r="J140" s="30">
        <v>0</v>
      </c>
      <c r="K140" s="115">
        <f>I140+J140</f>
        <v>9005962.3499999996</v>
      </c>
      <c r="M140" s="20"/>
      <c r="N140" s="42"/>
      <c r="O140" s="42"/>
      <c r="Q140" s="4" t="s">
        <v>50</v>
      </c>
      <c r="R140" s="4" t="s">
        <v>51</v>
      </c>
      <c r="S140" s="18">
        <v>182303</v>
      </c>
      <c r="T140" s="58"/>
    </row>
    <row r="141" spans="1:23" x14ac:dyDescent="0.2">
      <c r="A141" s="100" t="s">
        <v>169</v>
      </c>
      <c r="B141" s="18"/>
      <c r="C141" s="28" t="s">
        <v>49</v>
      </c>
      <c r="D141" s="4" t="s">
        <v>218</v>
      </c>
      <c r="E141" s="32">
        <v>4888463.2500000028</v>
      </c>
      <c r="F141" s="30">
        <v>0</v>
      </c>
      <c r="G141" s="30">
        <v>29893.47</v>
      </c>
      <c r="H141" s="30">
        <v>0</v>
      </c>
      <c r="I141" s="115">
        <f t="shared" si="29"/>
        <v>4918356.7200000025</v>
      </c>
      <c r="J141" s="30">
        <v>0</v>
      </c>
      <c r="K141" s="115">
        <f t="shared" si="28"/>
        <v>4918356.7200000025</v>
      </c>
      <c r="M141" s="20"/>
      <c r="N141" s="42"/>
      <c r="O141" s="42"/>
      <c r="Q141" s="4" t="s">
        <v>50</v>
      </c>
      <c r="S141" s="18">
        <v>182304</v>
      </c>
      <c r="T141" s="58"/>
    </row>
    <row r="142" spans="1:23" x14ac:dyDescent="0.2">
      <c r="A142" s="100" t="s">
        <v>170</v>
      </c>
      <c r="B142" s="18"/>
      <c r="C142" s="28" t="s">
        <v>42</v>
      </c>
      <c r="D142" s="4" t="s">
        <v>200</v>
      </c>
      <c r="E142" s="32">
        <v>-275951.25</v>
      </c>
      <c r="F142" s="30">
        <v>0</v>
      </c>
      <c r="G142" s="30">
        <v>-6112.76</v>
      </c>
      <c r="H142" s="30">
        <v>0</v>
      </c>
      <c r="I142" s="115">
        <f t="shared" si="29"/>
        <v>-282064.01</v>
      </c>
      <c r="J142" s="30">
        <v>0</v>
      </c>
      <c r="K142" s="115">
        <f t="shared" si="28"/>
        <v>-282064.01</v>
      </c>
      <c r="L142" s="210" t="s">
        <v>241</v>
      </c>
      <c r="M142" s="20"/>
      <c r="N142" s="42"/>
      <c r="O142" s="42"/>
      <c r="R142" s="58" t="s">
        <v>44</v>
      </c>
      <c r="S142" s="18">
        <v>108101</v>
      </c>
      <c r="T142" s="58"/>
    </row>
    <row r="143" spans="1:23" x14ac:dyDescent="0.2">
      <c r="A143" s="100" t="s">
        <v>272</v>
      </c>
      <c r="B143" s="18"/>
      <c r="C143" s="28" t="s">
        <v>271</v>
      </c>
      <c r="D143" s="4" t="s">
        <v>272</v>
      </c>
      <c r="E143" s="32">
        <v>751.54</v>
      </c>
      <c r="F143" s="30">
        <v>0</v>
      </c>
      <c r="G143" s="30">
        <v>-1439.23</v>
      </c>
      <c r="H143" s="30">
        <v>0</v>
      </c>
      <c r="I143" s="115">
        <f t="shared" si="29"/>
        <v>-687.69</v>
      </c>
      <c r="J143" s="30">
        <v>0</v>
      </c>
      <c r="K143" s="115">
        <f t="shared" si="28"/>
        <v>-687.69</v>
      </c>
      <c r="L143" s="210" t="s">
        <v>241</v>
      </c>
      <c r="M143" s="20"/>
      <c r="N143" s="42"/>
      <c r="O143" s="42"/>
      <c r="R143" s="58" t="s">
        <v>44</v>
      </c>
      <c r="S143" s="18">
        <v>108101</v>
      </c>
      <c r="T143" s="58"/>
    </row>
    <row r="144" spans="1:23" x14ac:dyDescent="0.2">
      <c r="B144" s="18"/>
      <c r="C144" s="28"/>
      <c r="E144" s="36"/>
      <c r="F144" s="36"/>
      <c r="G144" s="150"/>
      <c r="H144" s="150"/>
      <c r="I144" s="127"/>
      <c r="J144" s="68"/>
      <c r="K144" s="127"/>
      <c r="M144" s="62"/>
      <c r="P144" s="51"/>
      <c r="Q144" s="18"/>
      <c r="R144" s="58"/>
      <c r="S144" s="18">
        <v>254401</v>
      </c>
    </row>
    <row r="145" spans="1:22" x14ac:dyDescent="0.2">
      <c r="B145" s="18"/>
      <c r="C145" s="28"/>
      <c r="E145" s="44">
        <v>-40810940.610000014</v>
      </c>
      <c r="F145" s="33">
        <f t="shared" ref="F145:K145" si="30">SUM(F137:F144)</f>
        <v>0</v>
      </c>
      <c r="G145" s="33">
        <f t="shared" si="30"/>
        <v>1401843.35</v>
      </c>
      <c r="H145" s="33">
        <f t="shared" si="30"/>
        <v>0</v>
      </c>
      <c r="I145" s="269">
        <f t="shared" si="30"/>
        <v>-39409097.259999998</v>
      </c>
      <c r="J145" s="33">
        <f t="shared" si="30"/>
        <v>0</v>
      </c>
      <c r="K145" s="269">
        <f t="shared" si="30"/>
        <v>-39409097.259999998</v>
      </c>
      <c r="L145" s="281" t="s">
        <v>266</v>
      </c>
      <c r="M145" s="62"/>
      <c r="P145" s="51"/>
      <c r="Q145" s="18"/>
      <c r="R145" s="58"/>
      <c r="S145" s="18"/>
    </row>
    <row r="146" spans="1:22" ht="15" x14ac:dyDescent="0.25">
      <c r="B146" s="18"/>
      <c r="C146" s="28"/>
      <c r="D146" s="65"/>
      <c r="E146" s="33"/>
      <c r="F146" s="30"/>
      <c r="G146" s="144"/>
      <c r="H146" s="33"/>
      <c r="I146" s="126"/>
      <c r="J146" s="1"/>
      <c r="K146" s="126"/>
      <c r="L146" s="66"/>
      <c r="M146" s="67"/>
      <c r="P146" s="51"/>
      <c r="Q146" s="18"/>
      <c r="R146" s="58"/>
      <c r="S146" s="18"/>
    </row>
    <row r="147" spans="1:22" x14ac:dyDescent="0.2">
      <c r="A147" s="105" t="s">
        <v>55</v>
      </c>
      <c r="B147" s="18"/>
      <c r="C147" s="131" t="s">
        <v>55</v>
      </c>
      <c r="D147" s="132"/>
      <c r="E147" s="133">
        <v>-47477065.610000014</v>
      </c>
      <c r="F147" s="133">
        <f t="shared" ref="F147" si="31">+F119+F127+F135+F145+F124</f>
        <v>0</v>
      </c>
      <c r="G147" s="133">
        <f>+G119+G129+G135+G145+G124</f>
        <v>1853707.6400000001</v>
      </c>
      <c r="H147" s="133">
        <f>+H119+H129+H135+H145+H124</f>
        <v>20911.07</v>
      </c>
      <c r="I147" s="134">
        <f>+I119+I129+I135+I145+I124</f>
        <v>-45602446.899999999</v>
      </c>
      <c r="J147" s="133">
        <f>+J119+J127+J135+J145+J124</f>
        <v>0</v>
      </c>
      <c r="K147" s="134">
        <f>+K119+K129+K135+K145+K124</f>
        <v>-45602446.899999999</v>
      </c>
      <c r="M147" s="20"/>
      <c r="N147" s="69"/>
      <c r="R147" s="58"/>
      <c r="S147" s="18"/>
    </row>
    <row r="148" spans="1:22" x14ac:dyDescent="0.2">
      <c r="A148" s="105"/>
      <c r="B148" s="18"/>
      <c r="C148" s="18"/>
      <c r="D148" s="12"/>
      <c r="E148" s="221"/>
      <c r="F148" s="50"/>
      <c r="G148" s="145"/>
      <c r="H148" s="50"/>
      <c r="I148" s="122"/>
      <c r="J148" s="50"/>
      <c r="K148" s="122"/>
      <c r="M148" s="45"/>
      <c r="S148" s="18"/>
    </row>
    <row r="149" spans="1:22" x14ac:dyDescent="0.2">
      <c r="A149" s="105" t="s">
        <v>56</v>
      </c>
      <c r="B149" s="18"/>
      <c r="C149" s="18"/>
      <c r="D149" s="136" t="s">
        <v>219</v>
      </c>
      <c r="E149" s="137">
        <v>61009894.529999986</v>
      </c>
      <c r="F149" s="137">
        <f>F147+F107</f>
        <v>0</v>
      </c>
      <c r="G149" s="137">
        <f>G147+G107</f>
        <v>2999036.7600000002</v>
      </c>
      <c r="H149" s="137">
        <f>H147+H107</f>
        <v>20911.07</v>
      </c>
      <c r="I149" s="138">
        <f>I107+I147</f>
        <v>64029842.360000007</v>
      </c>
      <c r="J149" s="137">
        <f>J147+J107</f>
        <v>7214174.9800000004</v>
      </c>
      <c r="K149" s="138">
        <f>K107+K147</f>
        <v>71244017.359999985</v>
      </c>
      <c r="L149" s="50">
        <v>0</v>
      </c>
      <c r="M149" s="70"/>
      <c r="N149" s="70"/>
      <c r="O149" s="70"/>
      <c r="P149" s="50"/>
      <c r="Q149" s="50"/>
      <c r="R149" s="50"/>
      <c r="S149" s="18"/>
      <c r="T149" s="29">
        <f>+G149+H149+F149</f>
        <v>3019947.83</v>
      </c>
      <c r="U149" s="19">
        <v>13111056.41</v>
      </c>
      <c r="V149" s="29">
        <f>+T149-U149</f>
        <v>-10091108.58</v>
      </c>
    </row>
    <row r="150" spans="1:22" x14ac:dyDescent="0.2">
      <c r="A150" s="105"/>
      <c r="B150" s="18"/>
      <c r="C150" s="18"/>
      <c r="D150" s="12"/>
      <c r="E150" s="221"/>
      <c r="F150" s="50"/>
      <c r="G150" s="145"/>
      <c r="H150" s="50"/>
      <c r="I150" s="50"/>
      <c r="J150" s="50"/>
      <c r="K150" s="50"/>
      <c r="M150" s="45"/>
      <c r="S150" s="18"/>
    </row>
    <row r="151" spans="1:22" s="75" customFormat="1" ht="12.75" hidden="1" customHeight="1" x14ac:dyDescent="0.2">
      <c r="A151" s="107" t="s">
        <v>57</v>
      </c>
      <c r="B151" s="71"/>
      <c r="C151" s="18"/>
      <c r="D151" s="140" t="s">
        <v>57</v>
      </c>
      <c r="E151" s="223"/>
      <c r="F151" s="142"/>
      <c r="G151" s="163" t="e">
        <f>-G142-G137-G138-G139-G140-G141-#REF!-G16-G131-G30-G22-G53-G133-G96-G98-G127-G132-G52</f>
        <v>#REF!</v>
      </c>
      <c r="H151" s="139" t="e">
        <f>-H142-H137-H138-H139-H140-H141-#REF!-H16-H131-H30-H22-H53-H133-H96-H98-H127-H132-H52</f>
        <v>#REF!</v>
      </c>
      <c r="I151" s="74"/>
      <c r="J151" s="74"/>
      <c r="K151" s="74"/>
      <c r="M151" s="76"/>
      <c r="N151" s="77"/>
      <c r="O151" s="77"/>
      <c r="S151" s="18"/>
    </row>
    <row r="152" spans="1:22" ht="12.75" customHeight="1" x14ac:dyDescent="0.2">
      <c r="A152" s="107"/>
      <c r="B152" s="18"/>
      <c r="C152" s="18"/>
      <c r="D152" s="72"/>
      <c r="E152" s="224"/>
      <c r="F152" s="50"/>
      <c r="G152" s="152">
        <f>G149+H149</f>
        <v>3019947.83</v>
      </c>
      <c r="H152" s="145"/>
      <c r="I152" s="145">
        <f>I149+J149</f>
        <v>71244017.340000004</v>
      </c>
      <c r="J152" s="50"/>
      <c r="K152" s="50"/>
      <c r="M152" s="20"/>
      <c r="S152" s="18"/>
    </row>
    <row r="153" spans="1:22" ht="12.75" customHeight="1" x14ac:dyDescent="0.2">
      <c r="A153" s="107" t="s">
        <v>58</v>
      </c>
      <c r="B153" s="18"/>
      <c r="C153" s="71"/>
      <c r="D153" s="168"/>
      <c r="E153" s="73"/>
      <c r="F153" s="50"/>
      <c r="G153" s="152"/>
      <c r="H153" s="50"/>
      <c r="I153" s="294">
        <f>I152-K149</f>
        <v>-1.9999980926513672E-2</v>
      </c>
      <c r="J153" s="50"/>
      <c r="K153" s="30"/>
      <c r="M153" s="20"/>
      <c r="S153" s="71"/>
    </row>
    <row r="154" spans="1:22" ht="12.75" customHeight="1" x14ac:dyDescent="0.2">
      <c r="A154" s="107"/>
      <c r="B154" s="18"/>
      <c r="C154" s="18"/>
      <c r="D154" s="72"/>
      <c r="E154" s="83"/>
      <c r="F154" s="50"/>
      <c r="G154" s="145"/>
      <c r="H154" s="50"/>
      <c r="I154" s="50"/>
      <c r="J154" s="50"/>
      <c r="K154" s="33"/>
      <c r="M154" s="20"/>
      <c r="S154" s="18"/>
    </row>
    <row r="155" spans="1:22" ht="12.75" customHeight="1" x14ac:dyDescent="0.2">
      <c r="A155" s="107"/>
      <c r="B155" s="18"/>
      <c r="C155" s="18"/>
      <c r="D155" s="72"/>
      <c r="E155" s="83"/>
      <c r="F155" s="50"/>
      <c r="G155" s="30"/>
      <c r="H155" s="50"/>
      <c r="I155" s="50"/>
      <c r="J155" s="50"/>
      <c r="K155" s="33"/>
      <c r="M155" s="20"/>
      <c r="S155" s="18"/>
    </row>
    <row r="156" spans="1:22" ht="12.75" customHeight="1" x14ac:dyDescent="0.2">
      <c r="A156" s="107"/>
      <c r="B156" s="18"/>
      <c r="C156" s="18"/>
      <c r="D156" s="72"/>
      <c r="E156" s="236"/>
      <c r="F156" s="50"/>
      <c r="G156" s="44"/>
      <c r="H156" s="50"/>
      <c r="I156" s="50"/>
      <c r="J156" s="50"/>
      <c r="K156" s="161"/>
      <c r="M156" s="20"/>
      <c r="S156" s="18"/>
    </row>
    <row r="157" spans="1:22" ht="12.75" customHeight="1" x14ac:dyDescent="0.2">
      <c r="A157" s="107"/>
      <c r="B157" s="18"/>
      <c r="C157" s="18"/>
      <c r="D157" s="72"/>
      <c r="E157" s="224"/>
      <c r="F157" s="50"/>
      <c r="G157" s="145"/>
      <c r="H157" s="50"/>
      <c r="I157" s="50"/>
      <c r="J157" s="50"/>
      <c r="K157" s="44"/>
      <c r="M157" s="20"/>
      <c r="S157" s="18"/>
    </row>
    <row r="158" spans="1:22" ht="12.75" customHeight="1" x14ac:dyDescent="0.2">
      <c r="A158" s="107"/>
      <c r="B158" s="18"/>
      <c r="C158" s="18"/>
      <c r="D158" s="264"/>
      <c r="E158" s="73"/>
      <c r="F158" s="50"/>
      <c r="G158" s="145"/>
      <c r="H158" s="50"/>
      <c r="I158" s="50"/>
      <c r="J158" s="50"/>
      <c r="K158" s="44"/>
      <c r="M158" s="20"/>
      <c r="S158" s="18"/>
    </row>
    <row r="159" spans="1:22" ht="12.75" customHeight="1" x14ac:dyDescent="0.2">
      <c r="A159" s="107"/>
      <c r="B159" s="18"/>
      <c r="C159" s="18"/>
      <c r="D159" s="264"/>
      <c r="E159" s="73"/>
      <c r="F159" s="50"/>
      <c r="G159" s="145"/>
      <c r="H159" s="50"/>
      <c r="I159" s="50"/>
      <c r="J159" s="50"/>
      <c r="K159" s="44"/>
      <c r="M159" s="20"/>
      <c r="S159" s="18"/>
    </row>
    <row r="160" spans="1:22" ht="12.75" customHeight="1" x14ac:dyDescent="0.2">
      <c r="A160" s="107"/>
      <c r="B160" s="18"/>
      <c r="C160" s="18"/>
      <c r="D160" s="264"/>
      <c r="E160" s="73"/>
      <c r="F160" s="50"/>
      <c r="G160" s="145"/>
      <c r="H160" s="50"/>
      <c r="I160" s="50"/>
      <c r="J160" s="50"/>
      <c r="K160" s="50"/>
      <c r="M160" s="20"/>
      <c r="S160" s="18"/>
    </row>
    <row r="161" spans="1:19" ht="12.75" customHeight="1" x14ac:dyDescent="0.2">
      <c r="A161" s="107"/>
      <c r="B161" s="18"/>
      <c r="C161" s="18"/>
      <c r="D161" s="264"/>
      <c r="E161" s="73"/>
      <c r="F161" s="50"/>
      <c r="G161" s="145"/>
      <c r="H161" s="50"/>
      <c r="I161" s="50"/>
      <c r="J161" s="50"/>
      <c r="K161" s="50"/>
      <c r="M161" s="20"/>
      <c r="S161" s="18"/>
    </row>
    <row r="162" spans="1:19" ht="12.75" customHeight="1" x14ac:dyDescent="0.2">
      <c r="A162" s="107"/>
      <c r="B162" s="18"/>
      <c r="C162" s="18"/>
      <c r="D162" s="264"/>
      <c r="E162" s="73"/>
      <c r="F162" s="50"/>
      <c r="G162" s="145"/>
      <c r="H162" s="50"/>
      <c r="I162" s="50"/>
      <c r="J162" s="50"/>
      <c r="K162" s="50"/>
      <c r="M162" s="20"/>
      <c r="S162" s="18"/>
    </row>
    <row r="163" spans="1:19" ht="12.75" customHeight="1" x14ac:dyDescent="0.2">
      <c r="A163" s="107"/>
      <c r="B163" s="18"/>
      <c r="C163" s="18"/>
      <c r="D163" s="264"/>
      <c r="E163" s="73"/>
      <c r="F163" s="50"/>
      <c r="G163" s="145"/>
      <c r="H163" s="50"/>
      <c r="I163" s="50"/>
      <c r="J163" s="50"/>
      <c r="K163" s="50"/>
      <c r="M163" s="20"/>
      <c r="S163" s="18"/>
    </row>
    <row r="164" spans="1:19" ht="12.75" customHeight="1" x14ac:dyDescent="0.2">
      <c r="A164" s="107"/>
      <c r="B164" s="18"/>
      <c r="C164" s="18"/>
      <c r="D164" s="264"/>
      <c r="E164" s="73"/>
      <c r="F164" s="50"/>
      <c r="G164" s="145"/>
      <c r="H164" s="50"/>
      <c r="I164" s="50"/>
      <c r="J164" s="50"/>
      <c r="K164" s="50"/>
      <c r="M164" s="20"/>
      <c r="S164" s="18"/>
    </row>
    <row r="165" spans="1:19" ht="12.75" customHeight="1" x14ac:dyDescent="0.2">
      <c r="A165" s="107"/>
      <c r="B165" s="18"/>
      <c r="C165" s="18"/>
      <c r="D165" s="265"/>
      <c r="E165" s="73"/>
      <c r="F165" s="50"/>
      <c r="G165" s="145"/>
      <c r="H165" s="50"/>
      <c r="I165" s="50"/>
      <c r="J165" s="50"/>
      <c r="K165" s="50"/>
      <c r="M165" s="20"/>
      <c r="S165" s="18"/>
    </row>
    <row r="166" spans="1:19" ht="12.75" customHeight="1" x14ac:dyDescent="0.2">
      <c r="A166" s="107"/>
      <c r="B166" s="18"/>
      <c r="C166" s="18"/>
      <c r="D166" s="72"/>
      <c r="E166" s="73"/>
      <c r="F166" s="50"/>
      <c r="G166" s="145"/>
      <c r="H166" s="50"/>
      <c r="I166" s="50"/>
      <c r="J166" s="50"/>
      <c r="K166" s="50"/>
      <c r="M166" s="20"/>
      <c r="S166" s="18"/>
    </row>
    <row r="167" spans="1:19" ht="12.75" customHeight="1" x14ac:dyDescent="0.2">
      <c r="A167" s="107"/>
      <c r="B167" s="18"/>
      <c r="C167" s="18"/>
      <c r="D167" s="72"/>
      <c r="E167" s="73"/>
      <c r="F167" s="50"/>
      <c r="G167" s="145"/>
      <c r="H167" s="50"/>
      <c r="I167" s="50"/>
      <c r="J167" s="50"/>
      <c r="K167" s="50"/>
      <c r="M167" s="20"/>
      <c r="S167" s="18"/>
    </row>
    <row r="168" spans="1:19" ht="12.75" customHeight="1" x14ac:dyDescent="0.2">
      <c r="A168" s="107"/>
      <c r="B168" s="18"/>
      <c r="C168" s="18"/>
      <c r="D168" s="72"/>
      <c r="E168" s="73"/>
      <c r="F168" s="50"/>
      <c r="G168" s="145"/>
      <c r="H168" s="50"/>
      <c r="I168" s="50"/>
      <c r="J168" s="50"/>
      <c r="K168" s="50"/>
      <c r="M168" s="20"/>
      <c r="S168" s="18"/>
    </row>
    <row r="169" spans="1:19" ht="12.75" customHeight="1" x14ac:dyDescent="0.2">
      <c r="A169" s="107"/>
      <c r="B169" s="18"/>
      <c r="C169" s="18"/>
      <c r="D169" s="72"/>
      <c r="E169" s="73"/>
      <c r="F169" s="50"/>
      <c r="G169" s="145"/>
      <c r="H169" s="50"/>
      <c r="I169" s="50"/>
      <c r="J169" s="50"/>
      <c r="K169" s="50"/>
      <c r="M169" s="20"/>
      <c r="S169" s="18"/>
    </row>
    <row r="170" spans="1:19" ht="12.75" customHeight="1" x14ac:dyDescent="0.2">
      <c r="A170" s="107"/>
      <c r="B170" s="18"/>
      <c r="C170" s="18"/>
      <c r="D170" s="72"/>
      <c r="E170" s="73"/>
      <c r="F170" s="50"/>
      <c r="G170" s="145"/>
      <c r="H170" s="50"/>
      <c r="I170" s="50"/>
      <c r="J170" s="50"/>
      <c r="K170" s="50"/>
      <c r="M170" s="20"/>
      <c r="S170" s="18"/>
    </row>
    <row r="171" spans="1:19" ht="12.75" customHeight="1" x14ac:dyDescent="0.2">
      <c r="A171" s="107"/>
      <c r="B171" s="18"/>
      <c r="C171" s="18"/>
      <c r="D171" s="72"/>
      <c r="E171" s="73"/>
      <c r="F171" s="50"/>
      <c r="G171" s="145"/>
      <c r="H171" s="50"/>
      <c r="I171" s="50"/>
      <c r="J171" s="50"/>
      <c r="K171" s="50"/>
      <c r="M171" s="20"/>
      <c r="S171" s="18"/>
    </row>
    <row r="172" spans="1:19" ht="12.75" customHeight="1" x14ac:dyDescent="0.2">
      <c r="A172" s="107"/>
      <c r="B172" s="18"/>
      <c r="C172" s="18"/>
      <c r="D172" s="72"/>
      <c r="E172" s="73"/>
      <c r="F172" s="50"/>
      <c r="G172" s="145"/>
      <c r="H172" s="50"/>
      <c r="I172" s="50"/>
      <c r="J172" s="50"/>
      <c r="K172" s="50"/>
      <c r="M172" s="20"/>
      <c r="S172" s="18"/>
    </row>
    <row r="173" spans="1:19" ht="12.75" hidden="1" customHeight="1" x14ac:dyDescent="0.2">
      <c r="A173" s="107" t="s">
        <v>59</v>
      </c>
      <c r="B173" s="18"/>
      <c r="C173" s="18"/>
      <c r="D173" s="72" t="s">
        <v>59</v>
      </c>
      <c r="E173" s="73"/>
      <c r="F173" s="50"/>
      <c r="G173" s="145" t="e">
        <f>+G149+H149+G151+H151</f>
        <v>#REF!</v>
      </c>
      <c r="H173" s="50"/>
      <c r="I173" s="50"/>
      <c r="J173" s="50"/>
      <c r="K173" s="50"/>
      <c r="M173" s="20"/>
      <c r="S173" s="18"/>
    </row>
    <row r="174" spans="1:19" hidden="1" x14ac:dyDescent="0.2">
      <c r="B174" s="18"/>
      <c r="C174" s="18"/>
      <c r="E174" s="29"/>
      <c r="F174" s="19"/>
      <c r="G174" s="148"/>
      <c r="H174" s="19"/>
      <c r="I174" s="19"/>
      <c r="J174" s="19"/>
      <c r="K174" s="19"/>
      <c r="M174" s="20"/>
      <c r="S174" s="18"/>
    </row>
    <row r="175" spans="1:19" hidden="1" x14ac:dyDescent="0.2">
      <c r="A175" s="109" t="s">
        <v>60</v>
      </c>
      <c r="B175" s="18"/>
      <c r="C175" s="18"/>
      <c r="D175" s="78" t="s">
        <v>60</v>
      </c>
      <c r="E175" s="79"/>
      <c r="F175" s="80"/>
      <c r="G175" s="164"/>
      <c r="H175" s="80"/>
      <c r="I175" s="81"/>
      <c r="J175" s="81"/>
      <c r="K175" s="81"/>
      <c r="M175" s="20"/>
      <c r="S175" s="18"/>
    </row>
    <row r="176" spans="1:19" hidden="1" x14ac:dyDescent="0.2">
      <c r="A176" s="109" t="s">
        <v>138</v>
      </c>
      <c r="B176" s="18"/>
      <c r="C176" s="18"/>
      <c r="D176" s="82" t="s">
        <v>138</v>
      </c>
      <c r="E176" s="32">
        <v>0</v>
      </c>
      <c r="F176" s="32">
        <f>+F103+F104</f>
        <v>0</v>
      </c>
      <c r="G176" s="157"/>
      <c r="H176" s="32">
        <f>+H103+H104</f>
        <v>0</v>
      </c>
      <c r="I176" s="84">
        <f>+I103+I104</f>
        <v>0</v>
      </c>
      <c r="J176" s="84">
        <f>+J103+J104</f>
        <v>0</v>
      </c>
      <c r="K176" s="84">
        <f>+K103+K104</f>
        <v>0</v>
      </c>
      <c r="M176" s="20"/>
      <c r="S176" s="18"/>
    </row>
    <row r="177" spans="1:19" hidden="1" x14ac:dyDescent="0.2">
      <c r="A177" s="109" t="s">
        <v>140</v>
      </c>
      <c r="B177" s="18"/>
      <c r="C177" s="18"/>
      <c r="D177" s="82" t="s">
        <v>140</v>
      </c>
      <c r="E177" s="83">
        <f>+E12</f>
        <v>-1.1641532182693481E-9</v>
      </c>
      <c r="F177" s="32">
        <f>+F104+F105</f>
        <v>0</v>
      </c>
      <c r="G177" s="165"/>
      <c r="H177" s="83"/>
      <c r="I177" s="84">
        <f>+I12</f>
        <v>-1.1641532182693481E-9</v>
      </c>
      <c r="J177" s="84">
        <f>+J12</f>
        <v>0</v>
      </c>
      <c r="K177" s="84">
        <f>+K12</f>
        <v>-1.1641532182693481E-9</v>
      </c>
      <c r="M177" s="20"/>
      <c r="S177" s="18"/>
    </row>
    <row r="178" spans="1:19" hidden="1" x14ac:dyDescent="0.2">
      <c r="A178" s="109" t="s">
        <v>142</v>
      </c>
      <c r="B178" s="18"/>
      <c r="C178" s="18"/>
      <c r="D178" s="82" t="s">
        <v>142</v>
      </c>
      <c r="E178" s="83">
        <f>+E19</f>
        <v>1967072.81</v>
      </c>
      <c r="F178" s="32">
        <f t="shared" ref="F178:F183" si="32">+F105+F106</f>
        <v>0</v>
      </c>
      <c r="G178" s="165"/>
      <c r="H178" s="83"/>
      <c r="I178" s="84">
        <f>+I19</f>
        <v>1967072.81</v>
      </c>
      <c r="J178" s="84">
        <f>+J19</f>
        <v>2006593.04</v>
      </c>
      <c r="K178" s="84">
        <f>+K19</f>
        <v>3973665.85</v>
      </c>
      <c r="M178" s="20"/>
      <c r="S178" s="18"/>
    </row>
    <row r="179" spans="1:19" hidden="1" x14ac:dyDescent="0.2">
      <c r="A179" s="109" t="s">
        <v>141</v>
      </c>
      <c r="B179" s="18"/>
      <c r="C179" s="18"/>
      <c r="D179" s="82" t="s">
        <v>141</v>
      </c>
      <c r="E179" s="83">
        <f>+E24</f>
        <v>1255050.2800000012</v>
      </c>
      <c r="F179" s="32">
        <f t="shared" si="32"/>
        <v>0</v>
      </c>
      <c r="G179" s="165"/>
      <c r="H179" s="83"/>
      <c r="I179" s="84">
        <f>+I24</f>
        <v>1232844.1000000013</v>
      </c>
      <c r="J179" s="84">
        <f>+J24</f>
        <v>-266474.03999999998</v>
      </c>
      <c r="K179" s="84">
        <f>+K24</f>
        <v>966370.06000000122</v>
      </c>
      <c r="M179" s="20"/>
      <c r="S179" s="18"/>
    </row>
    <row r="180" spans="1:19" hidden="1" x14ac:dyDescent="0.2">
      <c r="A180" s="109" t="s">
        <v>61</v>
      </c>
      <c r="B180" s="18"/>
      <c r="C180" s="18"/>
      <c r="D180" s="82" t="s">
        <v>61</v>
      </c>
      <c r="E180" s="32">
        <f>+E30</f>
        <v>1938627.2000000002</v>
      </c>
      <c r="F180" s="32">
        <f t="shared" si="32"/>
        <v>0</v>
      </c>
      <c r="G180" s="157"/>
      <c r="H180" s="32"/>
      <c r="I180" s="84">
        <f>+I30</f>
        <v>1960477.2000000002</v>
      </c>
      <c r="J180" s="84">
        <f>+J30</f>
        <v>0</v>
      </c>
      <c r="K180" s="84">
        <f>+K30</f>
        <v>1960477.2000000002</v>
      </c>
      <c r="M180" s="20"/>
      <c r="S180" s="18"/>
    </row>
    <row r="181" spans="1:19" hidden="1" x14ac:dyDescent="0.2">
      <c r="A181" s="109" t="s">
        <v>143</v>
      </c>
      <c r="B181" s="18"/>
      <c r="C181" s="18"/>
      <c r="D181" s="82" t="s">
        <v>143</v>
      </c>
      <c r="E181" s="32">
        <f>+E86</f>
        <v>58982496.880000003</v>
      </c>
      <c r="F181" s="32">
        <f t="shared" si="32"/>
        <v>0</v>
      </c>
      <c r="G181" s="157"/>
      <c r="H181" s="32"/>
      <c r="I181" s="84">
        <f>+I86</f>
        <v>60119349.889999993</v>
      </c>
      <c r="J181" s="84">
        <f>+J86</f>
        <v>5474055.9800000004</v>
      </c>
      <c r="K181" s="84">
        <f>+K86</f>
        <v>65593405.889999993</v>
      </c>
      <c r="M181" s="20"/>
      <c r="S181" s="18"/>
    </row>
    <row r="182" spans="1:19" hidden="1" x14ac:dyDescent="0.2">
      <c r="A182" s="109" t="s">
        <v>151</v>
      </c>
      <c r="B182" s="18"/>
      <c r="C182" s="18"/>
      <c r="D182" s="82" t="s">
        <v>151</v>
      </c>
      <c r="E182" s="32">
        <f>+E101</f>
        <v>30042880.040000003</v>
      </c>
      <c r="F182" s="32">
        <f t="shared" si="32"/>
        <v>0</v>
      </c>
      <c r="G182" s="157"/>
      <c r="H182" s="32"/>
      <c r="I182" s="84">
        <f>+I101</f>
        <v>29867671.040000003</v>
      </c>
      <c r="J182" s="84">
        <f>+J101</f>
        <v>0</v>
      </c>
      <c r="K182" s="84">
        <f>+K101</f>
        <v>29867671.040000003</v>
      </c>
      <c r="M182" s="20"/>
      <c r="S182" s="18"/>
    </row>
    <row r="183" spans="1:19" hidden="1" x14ac:dyDescent="0.2">
      <c r="A183" s="109" t="s">
        <v>62</v>
      </c>
      <c r="B183" s="18"/>
      <c r="C183" s="18"/>
      <c r="D183" s="82" t="s">
        <v>62</v>
      </c>
      <c r="E183" s="32">
        <v>0</v>
      </c>
      <c r="F183" s="32">
        <f t="shared" si="32"/>
        <v>0</v>
      </c>
      <c r="G183" s="157"/>
      <c r="H183" s="32"/>
      <c r="I183" s="84">
        <v>0</v>
      </c>
      <c r="J183" s="84">
        <v>0</v>
      </c>
      <c r="K183" s="84">
        <v>0</v>
      </c>
      <c r="M183" s="20"/>
      <c r="S183" s="18"/>
    </row>
    <row r="184" spans="1:19" hidden="1" x14ac:dyDescent="0.2">
      <c r="A184" s="109" t="s">
        <v>152</v>
      </c>
      <c r="B184" s="18"/>
      <c r="C184" s="18"/>
      <c r="D184" s="82" t="s">
        <v>152</v>
      </c>
      <c r="E184" s="32">
        <f>+E119</f>
        <v>-1558575.6799999997</v>
      </c>
      <c r="F184" s="32" t="e">
        <f>+F111+#REF!</f>
        <v>#REF!</v>
      </c>
      <c r="G184" s="157"/>
      <c r="H184" s="32"/>
      <c r="I184" s="84">
        <f>+I119</f>
        <v>-1136556.4399999997</v>
      </c>
      <c r="J184" s="84">
        <f>+J119</f>
        <v>0</v>
      </c>
      <c r="K184" s="84">
        <f>+K119</f>
        <v>-1136556.4399999997</v>
      </c>
      <c r="M184" s="20"/>
      <c r="S184" s="18"/>
    </row>
    <row r="185" spans="1:19" hidden="1" x14ac:dyDescent="0.2">
      <c r="A185" s="109"/>
      <c r="B185" s="18"/>
      <c r="C185" s="18"/>
      <c r="D185" s="82" t="s">
        <v>189</v>
      </c>
      <c r="E185" s="32">
        <f>E124</f>
        <v>0</v>
      </c>
      <c r="F185" s="32"/>
      <c r="G185" s="157"/>
      <c r="H185" s="32"/>
      <c r="I185" s="84">
        <f>I124</f>
        <v>0</v>
      </c>
      <c r="J185" s="84">
        <f>J124</f>
        <v>0</v>
      </c>
      <c r="K185" s="84">
        <f>K124</f>
        <v>0</v>
      </c>
      <c r="M185" s="20"/>
      <c r="S185" s="18"/>
    </row>
    <row r="186" spans="1:19" hidden="1" x14ac:dyDescent="0.2">
      <c r="A186" s="109" t="s">
        <v>154</v>
      </c>
      <c r="B186" s="18"/>
      <c r="C186" s="18"/>
      <c r="D186" s="82" t="s">
        <v>154</v>
      </c>
      <c r="E186" s="32">
        <f>+E127</f>
        <v>0</v>
      </c>
      <c r="F186" s="32" t="e">
        <f>+#REF!+#REF!</f>
        <v>#REF!</v>
      </c>
      <c r="G186" s="157"/>
      <c r="H186" s="32"/>
      <c r="I186" s="84">
        <f>+I127</f>
        <v>0</v>
      </c>
      <c r="J186" s="84">
        <f>+J127</f>
        <v>0</v>
      </c>
      <c r="K186" s="84">
        <f>+K127</f>
        <v>0</v>
      </c>
      <c r="M186" s="20"/>
      <c r="S186" s="18"/>
    </row>
    <row r="187" spans="1:19" hidden="1" x14ac:dyDescent="0.2">
      <c r="A187" s="109" t="s">
        <v>153</v>
      </c>
      <c r="B187" s="18"/>
      <c r="C187" s="18"/>
      <c r="D187" s="82" t="s">
        <v>153</v>
      </c>
      <c r="E187" s="32">
        <f>+E135</f>
        <v>-14344.590000000004</v>
      </c>
      <c r="F187" s="32" t="e">
        <f>+#REF!+F112</f>
        <v>#REF!</v>
      </c>
      <c r="G187" s="157"/>
      <c r="H187" s="32"/>
      <c r="I187" s="84">
        <f>+I135</f>
        <v>-14307.470000000003</v>
      </c>
      <c r="J187" s="84">
        <f>+J135</f>
        <v>0</v>
      </c>
      <c r="K187" s="84">
        <f>+K135</f>
        <v>-14307.470000000003</v>
      </c>
      <c r="M187" s="20"/>
      <c r="S187" s="18"/>
    </row>
    <row r="188" spans="1:19" hidden="1" x14ac:dyDescent="0.2">
      <c r="A188" s="109" t="s">
        <v>155</v>
      </c>
      <c r="B188" s="18"/>
      <c r="C188" s="18"/>
      <c r="D188" s="82" t="s">
        <v>155</v>
      </c>
      <c r="E188" s="32">
        <f>+E145</f>
        <v>-40810940.610000014</v>
      </c>
      <c r="F188" s="32">
        <f t="shared" ref="F188" si="33">+F112+F113</f>
        <v>0</v>
      </c>
      <c r="G188" s="157"/>
      <c r="H188" s="32"/>
      <c r="I188" s="84">
        <f>+I145</f>
        <v>-39409097.259999998</v>
      </c>
      <c r="J188" s="84">
        <f>+J145</f>
        <v>0</v>
      </c>
      <c r="K188" s="84">
        <f>+K145</f>
        <v>-39409097.259999998</v>
      </c>
      <c r="M188" s="20"/>
      <c r="S188" s="18"/>
    </row>
    <row r="189" spans="1:19" hidden="1" x14ac:dyDescent="0.2">
      <c r="A189" s="109"/>
      <c r="B189" s="18"/>
      <c r="C189" s="18"/>
      <c r="D189" s="85"/>
      <c r="E189" s="83"/>
      <c r="F189" s="83"/>
      <c r="G189" s="165"/>
      <c r="H189" s="83"/>
      <c r="I189" s="86"/>
      <c r="J189" s="86"/>
      <c r="K189" s="86"/>
      <c r="M189" s="20"/>
      <c r="S189" s="18"/>
    </row>
    <row r="190" spans="1:19" hidden="1" x14ac:dyDescent="0.2">
      <c r="A190" s="109" t="s">
        <v>121</v>
      </c>
      <c r="B190" s="18"/>
      <c r="C190" s="18"/>
      <c r="D190" s="87" t="s">
        <v>121</v>
      </c>
      <c r="E190" s="88">
        <f>SUM(E176:E189)</f>
        <v>51802266.329999983</v>
      </c>
      <c r="F190" s="88" t="e">
        <f>SUM(F180:F189)</f>
        <v>#REF!</v>
      </c>
      <c r="G190" s="166"/>
      <c r="H190" s="88"/>
      <c r="I190" s="89">
        <f>SUM(I176:I189)</f>
        <v>54587453.869999997</v>
      </c>
      <c r="J190" s="89">
        <f>SUM(J176:J189)</f>
        <v>7214174.9800000004</v>
      </c>
      <c r="K190" s="89">
        <f>SUM(K176:K189)</f>
        <v>61801628.870000012</v>
      </c>
      <c r="M190" s="20"/>
      <c r="S190" s="18"/>
    </row>
    <row r="191" spans="1:19" hidden="1" x14ac:dyDescent="0.2">
      <c r="B191" s="18"/>
      <c r="C191" s="18"/>
      <c r="F191" s="19"/>
      <c r="G191" s="148"/>
      <c r="H191" s="19"/>
      <c r="I191" s="19"/>
      <c r="J191" s="19"/>
      <c r="K191" s="19"/>
      <c r="M191" s="20"/>
      <c r="S191" s="18"/>
    </row>
    <row r="192" spans="1:19" hidden="1" x14ac:dyDescent="0.2">
      <c r="B192" s="18"/>
      <c r="C192" s="18"/>
      <c r="E192" s="19">
        <f>+E190-E149</f>
        <v>-9207628.200000003</v>
      </c>
      <c r="F192" s="19"/>
      <c r="G192" s="148"/>
      <c r="H192" s="19"/>
      <c r="I192" s="19">
        <f>+I190-I149</f>
        <v>-9442388.4900000095</v>
      </c>
      <c r="J192" s="19">
        <f>+J190-J149</f>
        <v>0</v>
      </c>
      <c r="K192" s="19">
        <f>+K190-K149</f>
        <v>-9442388.4899999723</v>
      </c>
      <c r="M192" s="20"/>
      <c r="S192" s="18"/>
    </row>
    <row r="193" spans="1:19" hidden="1" x14ac:dyDescent="0.2">
      <c r="B193" s="18"/>
      <c r="C193" s="18"/>
      <c r="F193" s="19"/>
      <c r="G193" s="148"/>
      <c r="H193" s="19"/>
      <c r="I193" s="19"/>
      <c r="J193" s="19"/>
      <c r="K193" s="19"/>
      <c r="M193" s="20"/>
      <c r="S193" s="18"/>
    </row>
    <row r="194" spans="1:19" hidden="1" x14ac:dyDescent="0.2">
      <c r="B194" s="18"/>
      <c r="C194" s="18"/>
      <c r="F194" s="19"/>
      <c r="G194" s="148"/>
      <c r="H194" s="19"/>
      <c r="I194" s="19"/>
      <c r="J194" s="19"/>
      <c r="K194" s="19"/>
      <c r="M194" s="20"/>
      <c r="S194" s="18"/>
    </row>
    <row r="195" spans="1:19" hidden="1" x14ac:dyDescent="0.2">
      <c r="B195" s="18"/>
      <c r="C195" s="18"/>
      <c r="F195" s="19"/>
      <c r="G195" s="148"/>
      <c r="H195" s="19"/>
      <c r="I195" s="19"/>
      <c r="J195" s="19"/>
      <c r="K195" s="19"/>
      <c r="M195" s="20"/>
      <c r="S195" s="18"/>
    </row>
    <row r="196" spans="1:19" hidden="1" x14ac:dyDescent="0.2">
      <c r="A196" s="100" t="s">
        <v>63</v>
      </c>
      <c r="B196" s="18"/>
      <c r="C196" s="18"/>
      <c r="D196" s="4" t="s">
        <v>63</v>
      </c>
      <c r="F196" s="19"/>
      <c r="G196" s="148">
        <f>+G34+G42+G44+G46+G48+G93+G57+G59+G15+G50+G68+G55+G67</f>
        <v>-5273</v>
      </c>
      <c r="H196" s="19">
        <f>+H34+H52+H42+H44+H46+H48+H93+H57+H59+H15+H50+H68+H55</f>
        <v>0</v>
      </c>
      <c r="I196" s="19"/>
      <c r="J196" s="19"/>
      <c r="K196" s="19"/>
      <c r="M196" s="20"/>
      <c r="S196" s="18"/>
    </row>
    <row r="197" spans="1:19" hidden="1" x14ac:dyDescent="0.2">
      <c r="A197" s="100" t="s">
        <v>64</v>
      </c>
      <c r="B197" s="18"/>
      <c r="C197" s="18"/>
      <c r="D197" s="34" t="s">
        <v>64</v>
      </c>
      <c r="F197" s="19"/>
      <c r="G197" s="148">
        <f>+G9+G103+G10</f>
        <v>0</v>
      </c>
      <c r="H197" s="19">
        <f>+H9+H103+H10</f>
        <v>0</v>
      </c>
      <c r="I197" s="19"/>
      <c r="J197" s="19"/>
      <c r="K197" s="19"/>
      <c r="M197" s="20"/>
      <c r="S197" s="18"/>
    </row>
    <row r="198" spans="1:19" hidden="1" x14ac:dyDescent="0.2">
      <c r="A198" s="100" t="s">
        <v>65</v>
      </c>
      <c r="B198" s="18"/>
      <c r="C198" s="18"/>
      <c r="D198" s="34" t="s">
        <v>65</v>
      </c>
      <c r="F198" s="19"/>
      <c r="G198" s="148">
        <f>+G111+G112+G113+G114+G110+G115</f>
        <v>401108.17000000004</v>
      </c>
      <c r="H198" s="19">
        <f>+H111+H112+H113+H114+H110</f>
        <v>20911.07</v>
      </c>
      <c r="I198" s="19"/>
      <c r="J198" s="19"/>
      <c r="K198" s="19"/>
      <c r="M198" s="20"/>
      <c r="S198" s="18"/>
    </row>
    <row r="199" spans="1:19" hidden="1" x14ac:dyDescent="0.2">
      <c r="B199" s="18"/>
      <c r="C199" s="18"/>
      <c r="F199" s="19"/>
      <c r="G199" s="148"/>
      <c r="H199" s="19"/>
      <c r="I199" s="19"/>
      <c r="J199" s="19"/>
      <c r="K199" s="19"/>
      <c r="M199" s="20"/>
      <c r="S199" s="18"/>
    </row>
    <row r="200" spans="1:19" hidden="1" x14ac:dyDescent="0.2">
      <c r="B200" s="18"/>
      <c r="C200" s="18"/>
      <c r="F200" s="19"/>
      <c r="G200" s="167">
        <f>+G196+G197+G198-G153</f>
        <v>395835.17000000004</v>
      </c>
      <c r="H200" s="110">
        <f>+H196+H197+H198-H153</f>
        <v>20911.07</v>
      </c>
      <c r="I200" s="19"/>
      <c r="J200" s="19"/>
      <c r="K200" s="19"/>
      <c r="M200" s="20"/>
      <c r="S200" s="18"/>
    </row>
    <row r="201" spans="1:19" hidden="1" x14ac:dyDescent="0.2">
      <c r="B201" s="18"/>
      <c r="C201" s="18"/>
      <c r="F201" s="19"/>
      <c r="H201" s="29">
        <f>+H197+H198+H196+G196+G197+G198</f>
        <v>416746.24000000005</v>
      </c>
      <c r="I201" s="19"/>
      <c r="J201" s="19"/>
      <c r="K201" s="19"/>
      <c r="M201" s="20"/>
      <c r="S201" s="18"/>
    </row>
    <row r="202" spans="1:19" hidden="1" x14ac:dyDescent="0.2">
      <c r="B202" s="18"/>
      <c r="C202" s="18"/>
      <c r="F202" s="19"/>
      <c r="G202" s="148"/>
      <c r="H202" s="29">
        <f>+H201-G153-H153</f>
        <v>416746.24000000005</v>
      </c>
      <c r="I202" s="19"/>
      <c r="J202" s="19"/>
      <c r="K202" s="19"/>
      <c r="M202" s="20"/>
      <c r="S202" s="18"/>
    </row>
    <row r="203" spans="1:19" x14ac:dyDescent="0.2">
      <c r="B203" s="18"/>
      <c r="C203" s="18"/>
      <c r="F203" s="19"/>
      <c r="G203" s="148"/>
      <c r="H203" s="19"/>
      <c r="I203" s="19"/>
      <c r="J203" s="19"/>
      <c r="K203" s="19"/>
      <c r="M203" s="20"/>
      <c r="S203" s="18"/>
    </row>
    <row r="204" spans="1:19" ht="12.75" hidden="1" customHeight="1" x14ac:dyDescent="0.2">
      <c r="B204" s="18"/>
      <c r="C204" s="18"/>
      <c r="F204" s="19"/>
      <c r="G204" s="148"/>
      <c r="H204" s="19"/>
      <c r="I204" s="19"/>
      <c r="J204" s="19"/>
      <c r="K204" s="19"/>
      <c r="M204" s="20"/>
      <c r="S204" s="18"/>
    </row>
    <row r="205" spans="1:19" ht="12.75" hidden="1" customHeight="1" x14ac:dyDescent="0.2">
      <c r="A205" s="101" t="s">
        <v>144</v>
      </c>
      <c r="B205" s="18"/>
      <c r="C205" s="18"/>
      <c r="D205" s="22" t="s">
        <v>144</v>
      </c>
      <c r="E205" s="4" t="s">
        <v>121</v>
      </c>
      <c r="F205" s="19" t="s">
        <v>147</v>
      </c>
      <c r="G205" s="148" t="s">
        <v>148</v>
      </c>
      <c r="H205" s="19"/>
      <c r="I205" s="19"/>
      <c r="J205" s="19"/>
      <c r="K205" s="19"/>
      <c r="M205" s="20"/>
      <c r="S205" s="18"/>
    </row>
    <row r="206" spans="1:19" ht="12.75" hidden="1" customHeight="1" x14ac:dyDescent="0.2">
      <c r="A206" s="101" t="s">
        <v>145</v>
      </c>
      <c r="B206" s="18"/>
      <c r="C206" s="18"/>
      <c r="D206" s="22" t="s">
        <v>145</v>
      </c>
      <c r="E206" s="19">
        <v>19066028.010000002</v>
      </c>
      <c r="F206" s="19">
        <v>62319564.710000008</v>
      </c>
      <c r="G206" s="148">
        <v>-43253536.700000003</v>
      </c>
      <c r="H206" s="19"/>
      <c r="I206" s="19"/>
      <c r="J206" s="19"/>
      <c r="K206" s="19"/>
      <c r="M206" s="20"/>
      <c r="S206" s="18"/>
    </row>
    <row r="207" spans="1:19" ht="12.75" hidden="1" customHeight="1" x14ac:dyDescent="0.2">
      <c r="A207" s="101" t="s">
        <v>146</v>
      </c>
      <c r="B207" s="18"/>
      <c r="C207" s="18"/>
      <c r="D207" s="22" t="s">
        <v>146</v>
      </c>
      <c r="F207" s="19"/>
      <c r="G207" s="148"/>
      <c r="H207" s="19"/>
      <c r="I207" s="19"/>
      <c r="J207" s="19"/>
      <c r="K207" s="19"/>
      <c r="M207" s="20"/>
      <c r="S207" s="18"/>
    </row>
    <row r="208" spans="1:19" ht="12.75" hidden="1" customHeight="1" x14ac:dyDescent="0.2">
      <c r="A208" s="100" t="s">
        <v>149</v>
      </c>
      <c r="B208" s="18"/>
      <c r="C208" s="18"/>
      <c r="D208" s="4" t="s">
        <v>149</v>
      </c>
      <c r="E208" s="29">
        <f>SUM(F208:G208)</f>
        <v>905563</v>
      </c>
      <c r="F208" s="19">
        <v>905563</v>
      </c>
      <c r="G208" s="148"/>
      <c r="H208" s="19"/>
      <c r="I208" s="19"/>
      <c r="J208" s="19"/>
      <c r="K208" s="19"/>
      <c r="M208" s="20"/>
      <c r="S208" s="18"/>
    </row>
    <row r="209" spans="1:19" ht="12.75" hidden="1" customHeight="1" x14ac:dyDescent="0.2">
      <c r="A209" s="100" t="s">
        <v>150</v>
      </c>
      <c r="B209" s="18"/>
      <c r="C209" s="18"/>
      <c r="D209" s="4" t="s">
        <v>150</v>
      </c>
      <c r="E209" s="29">
        <f>SUM(F209:G209)</f>
        <v>-905563</v>
      </c>
      <c r="G209" s="148">
        <v>-905563</v>
      </c>
      <c r="H209" s="19"/>
      <c r="I209" s="19"/>
      <c r="J209" s="19"/>
      <c r="K209" s="19"/>
      <c r="M209" s="20"/>
      <c r="S209" s="18"/>
    </row>
    <row r="210" spans="1:19" ht="12.75" hidden="1" customHeight="1" x14ac:dyDescent="0.2">
      <c r="B210" s="18"/>
      <c r="C210" s="18"/>
      <c r="F210" s="19"/>
      <c r="G210" s="148"/>
      <c r="H210" s="19"/>
      <c r="I210" s="19"/>
      <c r="J210" s="19"/>
      <c r="K210" s="19"/>
      <c r="M210" s="20"/>
      <c r="S210" s="18"/>
    </row>
    <row r="211" spans="1:19" ht="12.75" hidden="1" customHeight="1" x14ac:dyDescent="0.2">
      <c r="B211" s="18"/>
      <c r="C211" s="18"/>
      <c r="E211" s="94"/>
      <c r="F211" s="95"/>
      <c r="G211" s="169"/>
      <c r="H211" s="19"/>
      <c r="I211" s="19"/>
      <c r="J211" s="19"/>
      <c r="K211" s="19"/>
      <c r="M211" s="20"/>
      <c r="S211" s="18"/>
    </row>
    <row r="212" spans="1:19" ht="12.75" hidden="1" customHeight="1" x14ac:dyDescent="0.2">
      <c r="B212" s="18"/>
      <c r="C212" s="18"/>
      <c r="E212" s="29">
        <f>SUM(E206:E211)</f>
        <v>19066028.010000002</v>
      </c>
      <c r="F212" s="29">
        <f>SUM(F206:F211)</f>
        <v>63225127.710000008</v>
      </c>
      <c r="G212" s="151">
        <f>SUM(G206:G211)</f>
        <v>-44159099.700000003</v>
      </c>
      <c r="H212" s="19"/>
      <c r="I212" s="19"/>
      <c r="J212" s="19"/>
      <c r="K212" s="19"/>
      <c r="M212" s="20"/>
      <c r="S212" s="18"/>
    </row>
    <row r="213" spans="1:19" x14ac:dyDescent="0.2">
      <c r="B213" s="18"/>
      <c r="C213" s="18"/>
      <c r="E213" s="98"/>
      <c r="F213" s="19"/>
      <c r="G213" s="148"/>
      <c r="H213" s="19"/>
      <c r="I213" s="19"/>
      <c r="J213" s="19"/>
      <c r="K213" s="19"/>
      <c r="M213" s="20"/>
      <c r="S213" s="18"/>
    </row>
    <row r="214" spans="1:19" x14ac:dyDescent="0.2">
      <c r="B214" s="18"/>
      <c r="C214" s="18"/>
      <c r="E214" s="83"/>
      <c r="F214" s="19"/>
      <c r="G214" s="232"/>
      <c r="H214" s="19"/>
      <c r="I214" s="19"/>
      <c r="J214" s="19"/>
      <c r="K214" s="19"/>
      <c r="M214" s="20"/>
      <c r="S214" s="18"/>
    </row>
    <row r="215" spans="1:19" x14ac:dyDescent="0.2">
      <c r="B215" s="18"/>
      <c r="C215" s="18"/>
      <c r="E215" s="83"/>
      <c r="F215" s="19"/>
      <c r="G215" s="148"/>
      <c r="H215" s="19"/>
      <c r="I215" s="19"/>
      <c r="J215" s="19"/>
      <c r="K215" s="19"/>
      <c r="M215" s="20"/>
      <c r="S215" s="18"/>
    </row>
    <row r="216" spans="1:19" x14ac:dyDescent="0.2">
      <c r="B216" s="18"/>
      <c r="C216" s="18"/>
      <c r="E216" s="234"/>
      <c r="F216" s="19"/>
      <c r="G216" s="148"/>
      <c r="H216" s="19"/>
      <c r="I216" s="19"/>
      <c r="J216" s="19"/>
      <c r="K216" s="19"/>
      <c r="M216" s="20"/>
      <c r="S216" s="18"/>
    </row>
    <row r="217" spans="1:19" x14ac:dyDescent="0.2">
      <c r="B217" s="18"/>
      <c r="C217" s="18"/>
      <c r="E217" s="98"/>
      <c r="F217" s="19"/>
      <c r="G217" s="148"/>
      <c r="H217" s="19"/>
      <c r="I217" s="19"/>
      <c r="J217" s="19"/>
      <c r="K217" s="19"/>
      <c r="M217" s="20"/>
      <c r="S217" s="18"/>
    </row>
    <row r="218" spans="1:19" x14ac:dyDescent="0.2">
      <c r="B218" s="18"/>
      <c r="C218" s="18"/>
      <c r="E218" s="98"/>
      <c r="F218" s="19"/>
      <c r="G218" s="148"/>
      <c r="H218" s="19"/>
      <c r="I218" s="19"/>
      <c r="J218" s="19"/>
      <c r="K218" s="19"/>
      <c r="M218" s="20"/>
      <c r="S218" s="18"/>
    </row>
    <row r="219" spans="1:19" x14ac:dyDescent="0.2">
      <c r="B219" s="18"/>
      <c r="C219" s="18"/>
      <c r="E219" s="98"/>
      <c r="F219" s="19"/>
      <c r="G219" s="148"/>
      <c r="H219" s="19"/>
      <c r="I219" s="19"/>
      <c r="J219" s="19"/>
      <c r="K219" s="19"/>
      <c r="M219" s="20"/>
      <c r="S219" s="18"/>
    </row>
    <row r="220" spans="1:19" x14ac:dyDescent="0.2">
      <c r="B220" s="18"/>
      <c r="C220" s="18"/>
      <c r="E220" s="98"/>
      <c r="F220" s="19"/>
      <c r="G220" s="148"/>
      <c r="H220" s="19"/>
      <c r="I220" s="19"/>
      <c r="J220" s="19"/>
      <c r="K220" s="19"/>
      <c r="M220" s="20"/>
      <c r="S220" s="18"/>
    </row>
    <row r="221" spans="1:19" x14ac:dyDescent="0.2">
      <c r="B221" s="18"/>
      <c r="C221" s="18"/>
      <c r="E221" s="98"/>
      <c r="F221" s="19"/>
      <c r="G221" s="148"/>
      <c r="H221" s="19"/>
      <c r="I221" s="19"/>
      <c r="J221" s="19"/>
      <c r="K221" s="19"/>
      <c r="M221" s="20"/>
      <c r="S221" s="18"/>
    </row>
    <row r="222" spans="1:19" x14ac:dyDescent="0.2">
      <c r="B222" s="18"/>
      <c r="C222" s="18"/>
      <c r="F222" s="19"/>
      <c r="G222" s="148"/>
      <c r="H222" s="19"/>
      <c r="I222" s="19"/>
      <c r="J222" s="19"/>
      <c r="K222" s="19"/>
      <c r="M222" s="20"/>
      <c r="S222" s="18"/>
    </row>
    <row r="223" spans="1:19" x14ac:dyDescent="0.2">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A230" s="4"/>
      <c r="B230" s="18"/>
      <c r="C230" s="18"/>
      <c r="F230" s="19"/>
      <c r="G230" s="148"/>
      <c r="H230" s="19"/>
      <c r="I230" s="19"/>
      <c r="J230" s="19"/>
      <c r="K230" s="19"/>
      <c r="M230" s="20"/>
      <c r="S230" s="18"/>
    </row>
    <row r="231" spans="1:19" x14ac:dyDescent="0.2">
      <c r="A231" s="4"/>
      <c r="B231" s="18"/>
      <c r="C231" s="18"/>
      <c r="F231" s="19"/>
      <c r="G231" s="148"/>
      <c r="H231" s="19"/>
      <c r="I231" s="19"/>
      <c r="J231" s="19"/>
      <c r="K231" s="19"/>
      <c r="M231" s="20"/>
      <c r="S231" s="18"/>
    </row>
    <row r="232" spans="1:19" x14ac:dyDescent="0.2">
      <c r="A232" s="4"/>
      <c r="B232" s="18"/>
      <c r="C232" s="18"/>
      <c r="F232" s="19"/>
      <c r="G232" s="148"/>
      <c r="H232" s="19"/>
      <c r="I232" s="19"/>
      <c r="J232" s="19"/>
      <c r="K232" s="19"/>
      <c r="M232" s="20"/>
      <c r="S232" s="18"/>
    </row>
    <row r="233" spans="1:19" x14ac:dyDescent="0.2">
      <c r="A233" s="4"/>
      <c r="B233" s="18"/>
      <c r="C233" s="18"/>
      <c r="F233" s="19"/>
      <c r="G233" s="148"/>
      <c r="H233" s="19"/>
      <c r="I233" s="19"/>
      <c r="J233" s="19"/>
      <c r="K233" s="19"/>
      <c r="M233" s="20"/>
      <c r="S233" s="18"/>
    </row>
    <row r="234" spans="1:19" x14ac:dyDescent="0.2">
      <c r="A234" s="4"/>
      <c r="B234" s="18"/>
      <c r="C234" s="18"/>
      <c r="F234" s="19"/>
      <c r="G234" s="148"/>
      <c r="H234" s="19"/>
      <c r="I234" s="19"/>
      <c r="J234" s="19"/>
      <c r="K234" s="19"/>
      <c r="M234" s="20"/>
      <c r="S234" s="18"/>
    </row>
    <row r="235" spans="1:19" x14ac:dyDescent="0.2">
      <c r="A235" s="4"/>
      <c r="B235" s="18"/>
      <c r="C235" s="18"/>
      <c r="F235" s="19"/>
      <c r="G235" s="148"/>
      <c r="H235" s="19"/>
      <c r="I235" s="19"/>
      <c r="J235" s="19"/>
      <c r="K235" s="19"/>
      <c r="M235" s="20"/>
      <c r="S235" s="18"/>
    </row>
    <row r="236" spans="1:19" x14ac:dyDescent="0.2">
      <c r="A236" s="4"/>
      <c r="B236" s="18"/>
      <c r="C236" s="18"/>
      <c r="F236" s="19"/>
      <c r="G236" s="148"/>
      <c r="H236" s="19"/>
      <c r="I236" s="19"/>
      <c r="J236" s="19"/>
      <c r="K236" s="19"/>
      <c r="M236" s="20"/>
      <c r="S236" s="18"/>
    </row>
    <row r="237" spans="1:19" x14ac:dyDescent="0.2">
      <c r="A237" s="4"/>
      <c r="B237" s="18"/>
      <c r="C237" s="18"/>
      <c r="F237" s="19"/>
      <c r="G237" s="148"/>
      <c r="H237" s="19"/>
      <c r="I237" s="19"/>
      <c r="J237" s="19"/>
      <c r="K237" s="19"/>
      <c r="M237" s="20"/>
      <c r="S237" s="18"/>
    </row>
    <row r="238" spans="1:19" x14ac:dyDescent="0.2">
      <c r="A238" s="4"/>
      <c r="B238" s="18"/>
      <c r="C238" s="18"/>
      <c r="F238" s="19"/>
      <c r="G238" s="148"/>
      <c r="H238" s="19"/>
      <c r="I238" s="19"/>
      <c r="J238" s="19"/>
      <c r="K238" s="19"/>
      <c r="M238" s="20"/>
      <c r="S238" s="18"/>
    </row>
    <row r="239" spans="1:19" x14ac:dyDescent="0.2">
      <c r="A239" s="4"/>
      <c r="B239" s="18"/>
      <c r="C239" s="18"/>
      <c r="F239" s="19"/>
      <c r="G239" s="148"/>
      <c r="H239" s="19"/>
      <c r="I239" s="19"/>
      <c r="J239" s="19"/>
      <c r="K239" s="19"/>
      <c r="M239" s="20"/>
      <c r="S239" s="18"/>
    </row>
    <row r="240" spans="1:19" x14ac:dyDescent="0.2">
      <c r="A240" s="4"/>
      <c r="B240" s="18"/>
      <c r="C240" s="18"/>
      <c r="F240" s="19"/>
      <c r="G240" s="148"/>
      <c r="H240" s="19"/>
      <c r="I240" s="19"/>
      <c r="J240" s="19"/>
      <c r="K240" s="19"/>
      <c r="M240" s="20"/>
      <c r="S240" s="18"/>
    </row>
    <row r="241" spans="1:19" x14ac:dyDescent="0.2">
      <c r="A241" s="4"/>
      <c r="B241" s="18"/>
      <c r="C241" s="18"/>
      <c r="F241" s="19"/>
      <c r="G241" s="148"/>
      <c r="H241" s="19"/>
      <c r="I241" s="19"/>
      <c r="J241" s="19"/>
      <c r="K241" s="19"/>
      <c r="M241" s="20"/>
      <c r="S241" s="18"/>
    </row>
    <row r="242" spans="1:19" x14ac:dyDescent="0.2">
      <c r="A242" s="4"/>
      <c r="B242" s="18"/>
      <c r="C242" s="18"/>
      <c r="F242" s="19"/>
      <c r="G242" s="148"/>
      <c r="H242" s="19"/>
      <c r="I242" s="19"/>
      <c r="J242" s="19"/>
      <c r="K242" s="19"/>
      <c r="M242" s="20"/>
      <c r="S242" s="18"/>
    </row>
    <row r="243" spans="1:19" x14ac:dyDescent="0.2">
      <c r="A243" s="4"/>
      <c r="B243" s="18"/>
      <c r="C243" s="18"/>
      <c r="F243" s="19"/>
      <c r="G243" s="148"/>
      <c r="H243" s="19"/>
      <c r="I243" s="19"/>
      <c r="J243" s="19"/>
      <c r="K243" s="19"/>
      <c r="M243" s="20"/>
      <c r="S243" s="18"/>
    </row>
    <row r="244" spans="1:19" x14ac:dyDescent="0.2">
      <c r="A244" s="4"/>
      <c r="B244" s="18"/>
      <c r="C244" s="18"/>
      <c r="F244" s="19"/>
      <c r="G244" s="148"/>
      <c r="H244" s="19"/>
      <c r="I244" s="19"/>
      <c r="J244" s="19"/>
      <c r="K244" s="19"/>
      <c r="M244" s="20"/>
      <c r="S244" s="18"/>
    </row>
    <row r="245" spans="1:19" x14ac:dyDescent="0.2">
      <c r="A245" s="4"/>
      <c r="B245" s="18"/>
      <c r="C245" s="18"/>
      <c r="F245" s="19"/>
      <c r="G245" s="148"/>
      <c r="H245" s="19"/>
      <c r="I245" s="19"/>
      <c r="J245" s="19"/>
      <c r="K245" s="19"/>
      <c r="M245" s="20"/>
      <c r="S245" s="18"/>
    </row>
    <row r="246" spans="1:19" x14ac:dyDescent="0.2">
      <c r="A246" s="4"/>
      <c r="B246" s="18"/>
      <c r="C246" s="18"/>
      <c r="F246" s="19"/>
      <c r="G246" s="148"/>
      <c r="H246" s="19"/>
      <c r="I246" s="19"/>
      <c r="J246" s="19"/>
      <c r="K246" s="19"/>
      <c r="M246" s="20"/>
      <c r="S246" s="18"/>
    </row>
    <row r="247" spans="1:19" x14ac:dyDescent="0.2">
      <c r="A247" s="4"/>
      <c r="B247" s="18"/>
      <c r="C247" s="18"/>
      <c r="F247" s="19"/>
      <c r="G247" s="148"/>
      <c r="H247" s="19"/>
      <c r="I247" s="19"/>
      <c r="J247" s="19"/>
      <c r="K247" s="19"/>
      <c r="M247" s="20"/>
      <c r="S247" s="18"/>
    </row>
    <row r="248" spans="1:19" x14ac:dyDescent="0.2">
      <c r="A248" s="4"/>
      <c r="B248" s="18"/>
      <c r="C248" s="18"/>
      <c r="F248" s="19"/>
      <c r="G248" s="148"/>
      <c r="H248" s="19"/>
      <c r="I248" s="19"/>
      <c r="J248" s="19"/>
      <c r="K248" s="19"/>
      <c r="M248" s="20"/>
      <c r="S248" s="18"/>
    </row>
    <row r="249" spans="1:19" x14ac:dyDescent="0.2">
      <c r="A249" s="4"/>
      <c r="B249" s="18"/>
      <c r="C249" s="18"/>
      <c r="F249" s="19"/>
      <c r="G249" s="148"/>
      <c r="H249" s="19"/>
      <c r="I249" s="19"/>
      <c r="J249" s="19"/>
      <c r="K249" s="19"/>
      <c r="M249" s="20"/>
      <c r="S249" s="18"/>
    </row>
    <row r="250" spans="1:19" x14ac:dyDescent="0.2">
      <c r="A250" s="4"/>
      <c r="B250" s="18"/>
      <c r="C250" s="18"/>
      <c r="F250" s="19"/>
      <c r="G250" s="148"/>
      <c r="H250" s="19"/>
      <c r="I250" s="19"/>
      <c r="J250" s="19"/>
      <c r="K250" s="19"/>
      <c r="M250" s="20"/>
      <c r="S250" s="18"/>
    </row>
    <row r="251" spans="1:19" x14ac:dyDescent="0.2">
      <c r="A251" s="4"/>
      <c r="B251" s="18"/>
      <c r="C251" s="18"/>
      <c r="F251" s="19"/>
      <c r="G251" s="148"/>
      <c r="H251" s="19"/>
      <c r="I251" s="19"/>
      <c r="J251" s="19"/>
      <c r="K251" s="19"/>
      <c r="M251" s="20"/>
      <c r="S251" s="18"/>
    </row>
    <row r="252" spans="1:19" x14ac:dyDescent="0.2">
      <c r="A252" s="4"/>
      <c r="B252" s="18"/>
      <c r="C252" s="18"/>
      <c r="F252" s="19"/>
      <c r="G252" s="148"/>
      <c r="H252" s="19"/>
      <c r="I252" s="19"/>
      <c r="J252" s="19"/>
      <c r="K252" s="19"/>
      <c r="M252" s="20"/>
      <c r="S252" s="18"/>
    </row>
    <row r="253" spans="1:19" x14ac:dyDescent="0.2">
      <c r="A253" s="4"/>
      <c r="B253" s="18"/>
      <c r="C253" s="18"/>
      <c r="F253" s="19"/>
      <c r="G253" s="148"/>
      <c r="H253" s="19"/>
      <c r="I253" s="19"/>
      <c r="J253" s="19"/>
      <c r="K253" s="19"/>
      <c r="M253" s="20"/>
      <c r="S253" s="18"/>
    </row>
    <row r="254" spans="1:19" x14ac:dyDescent="0.2">
      <c r="A254" s="4"/>
      <c r="B254" s="18"/>
      <c r="C254" s="18"/>
      <c r="F254" s="19"/>
      <c r="G254" s="148"/>
      <c r="H254" s="19"/>
      <c r="I254" s="19"/>
      <c r="J254" s="19"/>
      <c r="K254" s="19"/>
      <c r="M254" s="20"/>
      <c r="S254" s="18"/>
    </row>
    <row r="255" spans="1:19" x14ac:dyDescent="0.2">
      <c r="A255" s="4"/>
      <c r="B255" s="18"/>
      <c r="C255" s="18"/>
      <c r="F255" s="19"/>
      <c r="G255" s="148"/>
      <c r="H255" s="19"/>
      <c r="I255" s="19"/>
      <c r="J255" s="19"/>
      <c r="K255" s="19"/>
      <c r="M255" s="20"/>
      <c r="S255" s="18"/>
    </row>
    <row r="256" spans="1:19" x14ac:dyDescent="0.2">
      <c r="A256" s="4"/>
      <c r="B256" s="18"/>
      <c r="C256" s="18"/>
      <c r="F256" s="19"/>
      <c r="G256" s="148"/>
      <c r="H256" s="19"/>
      <c r="I256" s="19"/>
      <c r="J256" s="19"/>
      <c r="K256" s="19"/>
      <c r="M256" s="20"/>
      <c r="S256" s="18"/>
    </row>
    <row r="257" spans="1:19" x14ac:dyDescent="0.2">
      <c r="A257" s="4"/>
      <c r="B257" s="18"/>
      <c r="C257" s="18"/>
      <c r="F257" s="19"/>
      <c r="G257" s="148"/>
      <c r="H257" s="19"/>
      <c r="I257" s="19"/>
      <c r="J257" s="19"/>
      <c r="K257" s="19"/>
      <c r="M257" s="20"/>
      <c r="S257" s="18"/>
    </row>
    <row r="258" spans="1:19" x14ac:dyDescent="0.2">
      <c r="A258" s="4"/>
      <c r="B258" s="18"/>
      <c r="C258" s="18"/>
      <c r="F258" s="19"/>
      <c r="G258" s="148"/>
      <c r="H258" s="19"/>
      <c r="I258" s="19"/>
      <c r="J258" s="19"/>
      <c r="K258" s="19"/>
      <c r="M258" s="20"/>
      <c r="S258" s="18"/>
    </row>
    <row r="259" spans="1:19" x14ac:dyDescent="0.2">
      <c r="A259" s="4"/>
      <c r="B259" s="18"/>
      <c r="C259" s="18"/>
      <c r="F259" s="19"/>
      <c r="G259" s="148"/>
      <c r="H259" s="19"/>
      <c r="I259" s="19"/>
      <c r="J259" s="19"/>
      <c r="K259" s="19"/>
      <c r="M259" s="20"/>
      <c r="S259" s="18"/>
    </row>
    <row r="260" spans="1:19" x14ac:dyDescent="0.2">
      <c r="A260" s="4"/>
      <c r="B260" s="18"/>
      <c r="C260" s="18"/>
      <c r="F260" s="19"/>
      <c r="G260" s="148"/>
      <c r="H260" s="19"/>
      <c r="I260" s="19"/>
      <c r="J260" s="19"/>
      <c r="K260" s="19"/>
      <c r="M260" s="20"/>
      <c r="S260" s="18"/>
    </row>
    <row r="261" spans="1:19" x14ac:dyDescent="0.2">
      <c r="A261" s="4"/>
      <c r="B261" s="18"/>
      <c r="C261" s="18"/>
      <c r="F261" s="19"/>
      <c r="G261" s="148"/>
      <c r="H261" s="19"/>
      <c r="I261" s="19"/>
      <c r="J261" s="19"/>
      <c r="K261" s="19"/>
      <c r="M261" s="20"/>
      <c r="S261" s="18"/>
    </row>
    <row r="262" spans="1:19" x14ac:dyDescent="0.2">
      <c r="A262" s="4"/>
      <c r="B262" s="18"/>
      <c r="C262" s="18"/>
      <c r="F262" s="19"/>
      <c r="G262" s="148"/>
      <c r="H262" s="19"/>
      <c r="I262" s="19"/>
      <c r="J262" s="19"/>
      <c r="K262" s="19"/>
      <c r="M262" s="20"/>
      <c r="S262" s="18"/>
    </row>
    <row r="263" spans="1:19" x14ac:dyDescent="0.2">
      <c r="A263" s="4"/>
      <c r="B263" s="18"/>
      <c r="C263" s="18"/>
      <c r="F263" s="19"/>
      <c r="G263" s="148"/>
      <c r="H263" s="19"/>
      <c r="I263" s="19"/>
      <c r="J263" s="19"/>
      <c r="K263" s="19"/>
      <c r="M263" s="20"/>
      <c r="S263" s="18"/>
    </row>
    <row r="264" spans="1:19" x14ac:dyDescent="0.2">
      <c r="A264" s="4"/>
      <c r="B264" s="18"/>
      <c r="C264" s="18"/>
      <c r="F264" s="19"/>
      <c r="G264" s="148"/>
      <c r="H264" s="19"/>
      <c r="I264" s="19"/>
      <c r="J264" s="19"/>
      <c r="K264" s="19"/>
      <c r="M264" s="20"/>
      <c r="S264" s="18"/>
    </row>
    <row r="265" spans="1:19" x14ac:dyDescent="0.2">
      <c r="A265" s="4"/>
      <c r="B265" s="18"/>
      <c r="C265" s="18"/>
      <c r="F265" s="19"/>
      <c r="G265" s="148"/>
      <c r="H265" s="19"/>
      <c r="I265" s="19"/>
      <c r="J265" s="19"/>
      <c r="K265" s="19"/>
      <c r="M265" s="20"/>
      <c r="S265" s="18"/>
    </row>
    <row r="266" spans="1:19" x14ac:dyDescent="0.2">
      <c r="A266" s="4"/>
      <c r="B266" s="18"/>
      <c r="C266" s="18"/>
      <c r="F266" s="19"/>
      <c r="G266" s="148"/>
      <c r="H266" s="19"/>
      <c r="I266" s="19"/>
      <c r="J266" s="19"/>
      <c r="K266" s="19"/>
      <c r="M266" s="20"/>
      <c r="S266" s="18"/>
    </row>
    <row r="267" spans="1:19" x14ac:dyDescent="0.2">
      <c r="A267" s="4"/>
      <c r="B267" s="18"/>
      <c r="C267" s="18"/>
      <c r="F267" s="19"/>
      <c r="G267" s="148"/>
      <c r="H267" s="19"/>
      <c r="I267" s="19"/>
      <c r="J267" s="19"/>
      <c r="K267" s="19"/>
      <c r="M267" s="20"/>
      <c r="S267" s="18"/>
    </row>
    <row r="268" spans="1:19" x14ac:dyDescent="0.2">
      <c r="A268" s="4"/>
      <c r="B268" s="18"/>
      <c r="C268" s="18"/>
      <c r="F268" s="19"/>
      <c r="G268" s="148"/>
      <c r="H268" s="19"/>
      <c r="I268" s="19"/>
      <c r="J268" s="19"/>
      <c r="K268" s="19"/>
      <c r="M268" s="20"/>
      <c r="S268" s="18"/>
    </row>
    <row r="269" spans="1:19" x14ac:dyDescent="0.2">
      <c r="A269" s="4"/>
      <c r="B269" s="18"/>
      <c r="C269" s="18"/>
      <c r="F269" s="19"/>
      <c r="G269" s="148"/>
      <c r="H269" s="19"/>
      <c r="I269" s="19"/>
      <c r="J269" s="19"/>
      <c r="K269" s="19"/>
      <c r="M269" s="20"/>
      <c r="S269" s="18"/>
    </row>
    <row r="270" spans="1:19" x14ac:dyDescent="0.2">
      <c r="A270" s="4"/>
      <c r="B270" s="18"/>
      <c r="C270" s="18"/>
      <c r="F270" s="19"/>
      <c r="G270" s="148"/>
      <c r="H270" s="19"/>
      <c r="I270" s="19"/>
      <c r="J270" s="19"/>
      <c r="K270" s="19"/>
      <c r="M270" s="20"/>
      <c r="S270" s="18"/>
    </row>
    <row r="271" spans="1:19" x14ac:dyDescent="0.2">
      <c r="A271" s="4"/>
      <c r="B271" s="18"/>
      <c r="C271" s="18"/>
      <c r="F271" s="19"/>
      <c r="G271" s="148"/>
      <c r="H271" s="19"/>
      <c r="I271" s="19"/>
      <c r="J271" s="19"/>
      <c r="K271" s="19"/>
      <c r="M271" s="20"/>
      <c r="S271" s="18"/>
    </row>
    <row r="272" spans="1:19" x14ac:dyDescent="0.2">
      <c r="B272" s="18"/>
      <c r="C272" s="18"/>
      <c r="F272" s="19"/>
      <c r="G272" s="148"/>
      <c r="H272" s="19"/>
      <c r="I272" s="19"/>
      <c r="J272" s="19"/>
      <c r="K272" s="19"/>
      <c r="M272" s="20"/>
      <c r="S272" s="18"/>
    </row>
    <row r="273" spans="1:22" x14ac:dyDescent="0.2">
      <c r="B273" s="18"/>
      <c r="C273" s="18"/>
      <c r="F273" s="19"/>
      <c r="G273" s="148"/>
      <c r="H273" s="19"/>
      <c r="I273" s="19"/>
      <c r="J273" s="19"/>
      <c r="K273" s="19"/>
      <c r="M273" s="20"/>
      <c r="S273" s="18"/>
    </row>
    <row r="274" spans="1:22" x14ac:dyDescent="0.2">
      <c r="B274" s="18"/>
      <c r="C274" s="18"/>
      <c r="F274" s="19"/>
      <c r="G274" s="148"/>
      <c r="H274" s="19"/>
      <c r="I274" s="19"/>
      <c r="J274" s="19"/>
      <c r="K274" s="19"/>
      <c r="M274" s="20"/>
      <c r="S274" s="18"/>
    </row>
    <row r="275" spans="1:22" x14ac:dyDescent="0.2">
      <c r="B275" s="18"/>
      <c r="C275" s="18"/>
      <c r="F275" s="19"/>
      <c r="G275" s="148"/>
      <c r="H275" s="19"/>
      <c r="I275" s="19"/>
      <c r="J275" s="19"/>
      <c r="K275" s="19"/>
      <c r="M275" s="20"/>
      <c r="S275" s="18"/>
    </row>
    <row r="276" spans="1:22" x14ac:dyDescent="0.2">
      <c r="B276" s="18"/>
      <c r="C276" s="18"/>
      <c r="F276" s="19"/>
      <c r="G276" s="148"/>
      <c r="H276" s="19"/>
      <c r="I276" s="19"/>
      <c r="J276" s="19"/>
      <c r="K276" s="19"/>
      <c r="M276" s="20"/>
      <c r="S276" s="18"/>
    </row>
    <row r="277" spans="1:22" x14ac:dyDescent="0.2">
      <c r="B277" s="18"/>
      <c r="C277" s="18"/>
      <c r="F277" s="19"/>
      <c r="G277" s="148"/>
      <c r="H277" s="19"/>
      <c r="I277" s="19"/>
      <c r="J277" s="19"/>
      <c r="K277" s="19"/>
      <c r="M277" s="20"/>
      <c r="S277" s="18"/>
    </row>
    <row r="278" spans="1:22" x14ac:dyDescent="0.2">
      <c r="B278" s="18"/>
      <c r="C278" s="18"/>
      <c r="F278" s="19"/>
      <c r="G278" s="148"/>
      <c r="H278" s="19"/>
      <c r="I278" s="19"/>
      <c r="J278" s="19"/>
      <c r="K278" s="19"/>
      <c r="M278" s="20"/>
      <c r="S278" s="18"/>
    </row>
    <row r="279" spans="1:22" x14ac:dyDescent="0.2">
      <c r="B279" s="18"/>
      <c r="C279" s="18"/>
      <c r="F279" s="19"/>
      <c r="G279" s="148"/>
      <c r="H279" s="19"/>
      <c r="I279" s="19"/>
      <c r="J279" s="19"/>
      <c r="K279" s="19"/>
      <c r="M279" s="20"/>
      <c r="S279" s="18"/>
    </row>
    <row r="280" spans="1:22" x14ac:dyDescent="0.2">
      <c r="B280" s="18"/>
      <c r="C280" s="18"/>
      <c r="F280" s="19"/>
      <c r="G280" s="148"/>
      <c r="H280" s="19"/>
      <c r="I280" s="19"/>
      <c r="J280" s="19"/>
      <c r="K280" s="19"/>
      <c r="M280" s="20"/>
      <c r="S280" s="18"/>
    </row>
    <row r="281" spans="1:22" x14ac:dyDescent="0.2">
      <c r="B281" s="18"/>
      <c r="C281" s="18"/>
      <c r="F281" s="19"/>
      <c r="G281" s="148"/>
      <c r="H281" s="19"/>
      <c r="I281" s="19"/>
      <c r="J281" s="19"/>
      <c r="K281" s="19"/>
      <c r="M281" s="20"/>
      <c r="S281" s="18"/>
    </row>
    <row r="282" spans="1:22" x14ac:dyDescent="0.2">
      <c r="C282" s="18"/>
      <c r="F282" s="19"/>
      <c r="G282" s="148"/>
      <c r="H282" s="19"/>
      <c r="I282" s="19"/>
      <c r="J282" s="19"/>
      <c r="K282" s="19"/>
      <c r="M282" s="20"/>
      <c r="S282" s="18"/>
    </row>
    <row r="283" spans="1:22" x14ac:dyDescent="0.2">
      <c r="C283" s="18"/>
      <c r="F283" s="19"/>
      <c r="G283" s="148"/>
      <c r="H283" s="19"/>
      <c r="I283" s="19"/>
      <c r="J283" s="19"/>
      <c r="K283" s="19"/>
      <c r="M283" s="20"/>
      <c r="S283" s="18"/>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s="6" customFormat="1" x14ac:dyDescent="0.2">
      <c r="A290" s="100"/>
      <c r="B290" s="4"/>
      <c r="C290" s="4"/>
      <c r="D290" s="4"/>
      <c r="E290" s="4"/>
      <c r="F290" s="19"/>
      <c r="G290" s="148"/>
      <c r="H290" s="19"/>
      <c r="I290" s="19"/>
      <c r="J290" s="19"/>
      <c r="K290" s="19"/>
      <c r="L290" s="4"/>
      <c r="M290" s="20"/>
      <c r="P290" s="4"/>
      <c r="Q290" s="4"/>
      <c r="R290" s="4"/>
      <c r="S290" s="4"/>
      <c r="T290" s="4"/>
      <c r="U290" s="4"/>
      <c r="V290" s="4"/>
    </row>
    <row r="291" spans="1:22" s="6" customFormat="1" x14ac:dyDescent="0.2">
      <c r="A291" s="100"/>
      <c r="B291" s="4"/>
      <c r="C291" s="4"/>
      <c r="D291" s="4"/>
      <c r="E291" s="4"/>
      <c r="F291" s="19"/>
      <c r="G291" s="148"/>
      <c r="H291" s="19"/>
      <c r="I291" s="19"/>
      <c r="J291" s="19"/>
      <c r="K291" s="19"/>
      <c r="L291" s="4"/>
      <c r="M291" s="20"/>
      <c r="P291" s="4"/>
      <c r="Q291" s="4"/>
      <c r="R291" s="4"/>
      <c r="S291" s="4"/>
      <c r="T291" s="4"/>
      <c r="U291" s="4"/>
      <c r="V291" s="4"/>
    </row>
    <row r="292" spans="1:22" s="6" customFormat="1" x14ac:dyDescent="0.2">
      <c r="A292" s="100"/>
      <c r="B292" s="4"/>
      <c r="C292" s="4"/>
      <c r="D292" s="4"/>
      <c r="E292" s="4"/>
      <c r="F292" s="19"/>
      <c r="G292" s="148"/>
      <c r="H292" s="19"/>
      <c r="I292" s="19"/>
      <c r="J292" s="19"/>
      <c r="K292" s="19"/>
      <c r="L292" s="4"/>
      <c r="M292" s="20"/>
      <c r="P292" s="4"/>
      <c r="Q292" s="4"/>
      <c r="R292" s="4"/>
      <c r="S292" s="4"/>
      <c r="T292" s="4"/>
      <c r="U292" s="4"/>
      <c r="V292" s="4"/>
    </row>
    <row r="293" spans="1:22" s="6" customFormat="1" x14ac:dyDescent="0.2">
      <c r="A293" s="100"/>
      <c r="B293" s="4"/>
      <c r="C293" s="4"/>
      <c r="D293" s="4"/>
      <c r="E293" s="4"/>
      <c r="F293" s="19"/>
      <c r="G293" s="148"/>
      <c r="H293" s="19"/>
      <c r="I293" s="19"/>
      <c r="J293" s="19"/>
      <c r="K293" s="19"/>
      <c r="L293" s="4"/>
      <c r="M293" s="20"/>
      <c r="P293" s="4"/>
      <c r="Q293" s="4"/>
      <c r="R293" s="4"/>
      <c r="S293" s="4"/>
      <c r="T293" s="4"/>
      <c r="U293" s="4"/>
      <c r="V293" s="4"/>
    </row>
    <row r="294" spans="1:22" s="6" customFormat="1" x14ac:dyDescent="0.2">
      <c r="A294" s="100"/>
      <c r="B294" s="4"/>
      <c r="C294" s="4"/>
      <c r="D294" s="4"/>
      <c r="E294" s="4"/>
      <c r="F294" s="19"/>
      <c r="G294" s="148"/>
      <c r="H294" s="19"/>
      <c r="I294" s="19"/>
      <c r="J294" s="19"/>
      <c r="K294" s="19"/>
      <c r="L294" s="4"/>
      <c r="M294" s="20"/>
      <c r="P294" s="4"/>
      <c r="Q294" s="4"/>
      <c r="R294" s="4"/>
      <c r="S294" s="4"/>
      <c r="T294" s="4"/>
      <c r="U294" s="4"/>
      <c r="V294" s="4"/>
    </row>
    <row r="295" spans="1:22" s="6" customFormat="1" x14ac:dyDescent="0.2">
      <c r="A295" s="100"/>
      <c r="B295" s="4"/>
      <c r="C295" s="4"/>
      <c r="D295" s="4"/>
      <c r="E295" s="4"/>
      <c r="F295" s="19"/>
      <c r="G295" s="148"/>
      <c r="H295" s="19"/>
      <c r="I295" s="19"/>
      <c r="J295" s="19"/>
      <c r="K295" s="19"/>
      <c r="L295" s="4"/>
      <c r="M295" s="20"/>
      <c r="P295" s="4"/>
      <c r="Q295" s="4"/>
      <c r="R295" s="4"/>
      <c r="S295" s="4"/>
      <c r="T295" s="4"/>
      <c r="U295" s="4"/>
      <c r="V295" s="4"/>
    </row>
    <row r="296" spans="1:22" s="6" customFormat="1" x14ac:dyDescent="0.2">
      <c r="A296" s="100"/>
      <c r="B296" s="4"/>
      <c r="C296" s="4"/>
      <c r="D296" s="4"/>
      <c r="E296" s="4"/>
      <c r="F296" s="19"/>
      <c r="G296" s="148"/>
      <c r="H296" s="19"/>
      <c r="I296" s="19"/>
      <c r="J296" s="19"/>
      <c r="K296" s="19"/>
      <c r="L296" s="4"/>
      <c r="M296" s="20"/>
      <c r="P296" s="4"/>
      <c r="Q296" s="4"/>
      <c r="R296" s="4"/>
      <c r="S296" s="4"/>
      <c r="T296" s="4"/>
      <c r="U296" s="4"/>
      <c r="V296" s="4"/>
    </row>
    <row r="297" spans="1:22" s="6" customFormat="1" x14ac:dyDescent="0.2">
      <c r="A297" s="100"/>
      <c r="B297" s="4"/>
      <c r="C297" s="4"/>
      <c r="D297" s="4"/>
      <c r="E297" s="4"/>
      <c r="F297" s="19"/>
      <c r="G297" s="148"/>
      <c r="H297" s="19"/>
      <c r="I297" s="19"/>
      <c r="J297" s="19"/>
      <c r="K297" s="19"/>
      <c r="L297" s="4"/>
      <c r="M297" s="20"/>
      <c r="P297" s="4"/>
      <c r="Q297" s="4"/>
      <c r="R297" s="4"/>
      <c r="S297" s="4"/>
      <c r="T297" s="4"/>
      <c r="U297" s="4"/>
      <c r="V297" s="4"/>
    </row>
    <row r="298" spans="1:22" s="6" customFormat="1" x14ac:dyDescent="0.2">
      <c r="A298" s="100"/>
      <c r="B298" s="4"/>
      <c r="C298" s="4"/>
      <c r="D298" s="4"/>
      <c r="E298" s="4"/>
      <c r="F298" s="19"/>
      <c r="G298" s="148"/>
      <c r="H298" s="19"/>
      <c r="I298" s="19"/>
      <c r="J298" s="19"/>
      <c r="K298" s="19"/>
      <c r="L298" s="4"/>
      <c r="M298" s="20"/>
      <c r="P298" s="4"/>
      <c r="Q298" s="4"/>
      <c r="R298" s="4"/>
      <c r="S298" s="4"/>
      <c r="T298" s="4"/>
      <c r="U298" s="4"/>
      <c r="V298" s="4"/>
    </row>
    <row r="299" spans="1:22" s="6" customFormat="1" x14ac:dyDescent="0.2">
      <c r="A299" s="100"/>
      <c r="B299" s="4"/>
      <c r="C299" s="4"/>
      <c r="D299" s="4"/>
      <c r="E299" s="4"/>
      <c r="F299" s="19"/>
      <c r="G299" s="148"/>
      <c r="H299" s="19"/>
      <c r="I299" s="19"/>
      <c r="J299" s="19"/>
      <c r="K299" s="19"/>
      <c r="L299" s="4"/>
      <c r="M299" s="20"/>
      <c r="P299" s="4"/>
      <c r="Q299" s="4"/>
      <c r="R299" s="4"/>
      <c r="S299" s="4"/>
      <c r="T299" s="4"/>
      <c r="U299" s="4"/>
      <c r="V299" s="4"/>
    </row>
    <row r="300" spans="1:22" s="6" customFormat="1" x14ac:dyDescent="0.2">
      <c r="A300" s="100"/>
      <c r="B300" s="4"/>
      <c r="C300" s="4"/>
      <c r="D300" s="4"/>
      <c r="E300" s="4"/>
      <c r="F300" s="19"/>
      <c r="G300" s="148"/>
      <c r="H300" s="19"/>
      <c r="I300" s="19"/>
      <c r="J300" s="19"/>
      <c r="K300" s="19"/>
      <c r="L300" s="4"/>
      <c r="M300" s="20"/>
      <c r="P300" s="4"/>
      <c r="Q300" s="4"/>
      <c r="R300" s="4"/>
      <c r="S300" s="4"/>
      <c r="T300" s="4"/>
      <c r="U300" s="4"/>
      <c r="V300" s="4"/>
    </row>
    <row r="301" spans="1:22" s="6" customFormat="1" x14ac:dyDescent="0.2">
      <c r="A301" s="100"/>
      <c r="B301" s="4"/>
      <c r="C301" s="4"/>
      <c r="D301" s="4"/>
      <c r="E301" s="4"/>
      <c r="F301" s="19"/>
      <c r="G301" s="148"/>
      <c r="H301" s="19"/>
      <c r="I301" s="19"/>
      <c r="J301" s="19"/>
      <c r="K301" s="19"/>
      <c r="L301" s="4"/>
      <c r="M301" s="20"/>
      <c r="P301" s="4"/>
      <c r="Q301" s="4"/>
      <c r="R301" s="4"/>
      <c r="S301" s="4"/>
      <c r="T301" s="4"/>
      <c r="U301" s="4"/>
      <c r="V301" s="4"/>
    </row>
    <row r="302" spans="1:22" s="6" customFormat="1" x14ac:dyDescent="0.2">
      <c r="A302" s="100"/>
      <c r="B302" s="4"/>
      <c r="C302" s="4"/>
      <c r="D302" s="4"/>
      <c r="E302" s="4"/>
      <c r="F302" s="19"/>
      <c r="G302" s="148"/>
      <c r="H302" s="19"/>
      <c r="I302" s="19"/>
      <c r="J302" s="19"/>
      <c r="K302" s="19"/>
      <c r="L302" s="4"/>
      <c r="M302" s="20"/>
      <c r="P302" s="4"/>
      <c r="Q302" s="4"/>
      <c r="R302" s="4"/>
      <c r="S302" s="4"/>
      <c r="T302" s="4"/>
      <c r="U302" s="4"/>
      <c r="V302" s="4"/>
    </row>
    <row r="303" spans="1:22" s="6" customFormat="1" x14ac:dyDescent="0.2">
      <c r="A303" s="100"/>
      <c r="B303" s="4"/>
      <c r="C303" s="4"/>
      <c r="D303" s="4"/>
      <c r="E303" s="4"/>
      <c r="F303" s="19"/>
      <c r="G303" s="148"/>
      <c r="H303" s="19"/>
      <c r="I303" s="19"/>
      <c r="J303" s="19"/>
      <c r="K303" s="19"/>
      <c r="L303" s="4"/>
      <c r="M303" s="20"/>
      <c r="P303" s="4"/>
      <c r="Q303" s="4"/>
      <c r="R303" s="4"/>
      <c r="S303" s="4"/>
      <c r="T303" s="4"/>
      <c r="U303" s="4"/>
      <c r="V303" s="4"/>
    </row>
    <row r="304" spans="1:22" s="6" customFormat="1" x14ac:dyDescent="0.2">
      <c r="A304" s="100"/>
      <c r="B304" s="4"/>
      <c r="C304" s="4"/>
      <c r="D304" s="4"/>
      <c r="E304" s="4"/>
      <c r="F304" s="19"/>
      <c r="G304" s="148"/>
      <c r="H304" s="19"/>
      <c r="I304" s="19"/>
      <c r="J304" s="19"/>
      <c r="K304" s="19"/>
      <c r="L304" s="4"/>
      <c r="M304" s="20"/>
      <c r="P304" s="4"/>
      <c r="Q304" s="4"/>
      <c r="R304" s="4"/>
      <c r="S304" s="4"/>
      <c r="T304" s="4"/>
      <c r="U304" s="4"/>
      <c r="V304" s="4"/>
    </row>
    <row r="305" spans="1:22" s="6" customFormat="1" x14ac:dyDescent="0.2">
      <c r="A305" s="100"/>
      <c r="B305" s="4"/>
      <c r="C305" s="4"/>
      <c r="D305" s="4"/>
      <c r="E305" s="4"/>
      <c r="F305" s="19"/>
      <c r="G305" s="148"/>
      <c r="H305" s="19"/>
      <c r="I305" s="19"/>
      <c r="J305" s="19"/>
      <c r="K305" s="19"/>
      <c r="L305" s="4"/>
      <c r="M305" s="20"/>
      <c r="P305" s="4"/>
      <c r="Q305" s="4"/>
      <c r="R305" s="4"/>
      <c r="S305" s="4"/>
      <c r="T305" s="4"/>
      <c r="U305" s="4"/>
      <c r="V305" s="4"/>
    </row>
    <row r="306" spans="1:22" s="6" customFormat="1" x14ac:dyDescent="0.2">
      <c r="A306" s="100"/>
      <c r="B306" s="4"/>
      <c r="C306" s="4"/>
      <c r="D306" s="4"/>
      <c r="E306" s="4"/>
      <c r="F306" s="19"/>
      <c r="G306" s="148"/>
      <c r="H306" s="19"/>
      <c r="I306" s="19"/>
      <c r="J306" s="19"/>
      <c r="K306" s="19"/>
      <c r="L306" s="4"/>
      <c r="M306" s="20"/>
      <c r="P306" s="4"/>
      <c r="Q306" s="4"/>
      <c r="R306" s="4"/>
      <c r="S306" s="4"/>
      <c r="T306" s="4"/>
      <c r="U306" s="4"/>
      <c r="V306" s="4"/>
    </row>
    <row r="307" spans="1:22" s="6" customFormat="1" x14ac:dyDescent="0.2">
      <c r="A307" s="100"/>
      <c r="B307" s="4"/>
      <c r="C307" s="4"/>
      <c r="D307" s="4"/>
      <c r="E307" s="4"/>
      <c r="F307" s="19"/>
      <c r="G307" s="148"/>
      <c r="H307" s="19"/>
      <c r="I307" s="19"/>
      <c r="J307" s="19"/>
      <c r="K307" s="19"/>
      <c r="L307" s="4"/>
      <c r="M307" s="20"/>
      <c r="P307" s="4"/>
      <c r="Q307" s="4"/>
      <c r="R307" s="4"/>
      <c r="S307" s="4"/>
      <c r="T307" s="4"/>
      <c r="U307" s="4"/>
      <c r="V307" s="4"/>
    </row>
    <row r="308" spans="1:22" s="6" customFormat="1" x14ac:dyDescent="0.2">
      <c r="A308" s="100"/>
      <c r="B308" s="4"/>
      <c r="C308" s="4"/>
      <c r="D308" s="4"/>
      <c r="E308" s="4"/>
      <c r="F308" s="19"/>
      <c r="G308" s="148"/>
      <c r="H308" s="19"/>
      <c r="I308" s="19"/>
      <c r="J308" s="19"/>
      <c r="K308" s="19"/>
      <c r="L308" s="4"/>
      <c r="M308" s="20"/>
      <c r="P308" s="4"/>
      <c r="Q308" s="4"/>
      <c r="R308" s="4"/>
      <c r="S308" s="4"/>
      <c r="T308" s="4"/>
      <c r="U308" s="4"/>
      <c r="V308" s="4"/>
    </row>
    <row r="309" spans="1:22" s="6" customFormat="1" x14ac:dyDescent="0.2">
      <c r="A309" s="100"/>
      <c r="B309" s="4"/>
      <c r="C309" s="4"/>
      <c r="D309" s="4"/>
      <c r="E309" s="4"/>
      <c r="F309" s="19"/>
      <c r="G309" s="148"/>
      <c r="H309" s="19"/>
      <c r="I309" s="19"/>
      <c r="J309" s="19"/>
      <c r="K309" s="19"/>
      <c r="L309" s="4"/>
      <c r="M309" s="20"/>
      <c r="P309" s="4"/>
      <c r="Q309" s="4"/>
      <c r="R309" s="4"/>
      <c r="S309" s="4"/>
      <c r="T309" s="4"/>
      <c r="U309" s="4"/>
      <c r="V309" s="4"/>
    </row>
    <row r="310" spans="1:22" s="6" customFormat="1" x14ac:dyDescent="0.2">
      <c r="A310" s="100"/>
      <c r="B310" s="4"/>
      <c r="C310" s="4"/>
      <c r="D310" s="4"/>
      <c r="E310" s="4"/>
      <c r="F310" s="19"/>
      <c r="G310" s="148"/>
      <c r="H310" s="19"/>
      <c r="I310" s="19"/>
      <c r="J310" s="19"/>
      <c r="K310" s="19"/>
      <c r="L310" s="4"/>
      <c r="M310" s="20"/>
      <c r="P310" s="4"/>
      <c r="Q310" s="4"/>
      <c r="R310" s="4"/>
      <c r="S310" s="4"/>
      <c r="T310" s="4"/>
      <c r="U310" s="4"/>
      <c r="V310" s="4"/>
    </row>
    <row r="311" spans="1:22" s="6" customFormat="1" x14ac:dyDescent="0.2">
      <c r="A311" s="100"/>
      <c r="B311" s="4"/>
      <c r="C311" s="4"/>
      <c r="D311" s="4"/>
      <c r="E311" s="4"/>
      <c r="F311" s="19"/>
      <c r="G311" s="148"/>
      <c r="H311" s="19"/>
      <c r="I311" s="19"/>
      <c r="J311" s="19"/>
      <c r="K311" s="19"/>
      <c r="L311" s="4"/>
      <c r="M311" s="20"/>
      <c r="P311" s="4"/>
      <c r="Q311" s="4"/>
      <c r="R311" s="4"/>
      <c r="S311" s="4"/>
      <c r="T311" s="4"/>
      <c r="U311" s="4"/>
      <c r="V311" s="4"/>
    </row>
    <row r="312" spans="1:22" s="6" customFormat="1" x14ac:dyDescent="0.2">
      <c r="A312" s="100"/>
      <c r="B312" s="4"/>
      <c r="C312" s="4"/>
      <c r="D312" s="4"/>
      <c r="E312" s="4"/>
      <c r="F312" s="19"/>
      <c r="G312" s="148"/>
      <c r="H312" s="19"/>
      <c r="I312" s="19"/>
      <c r="J312" s="19"/>
      <c r="K312" s="19"/>
      <c r="L312" s="4"/>
      <c r="M312" s="20"/>
      <c r="P312" s="4"/>
      <c r="Q312" s="4"/>
      <c r="R312" s="4"/>
      <c r="S312" s="4"/>
      <c r="T312" s="4"/>
      <c r="U312" s="4"/>
      <c r="V312" s="4"/>
    </row>
    <row r="313" spans="1:22" s="6" customFormat="1" x14ac:dyDescent="0.2">
      <c r="A313" s="100"/>
      <c r="B313" s="4"/>
      <c r="C313" s="4"/>
      <c r="D313" s="4"/>
      <c r="E313" s="4"/>
      <c r="F313" s="19"/>
      <c r="G313" s="148"/>
      <c r="H313" s="19"/>
      <c r="I313" s="19"/>
      <c r="J313" s="19"/>
      <c r="K313" s="19"/>
      <c r="L313" s="4"/>
      <c r="M313" s="20"/>
      <c r="P313" s="4"/>
      <c r="Q313" s="4"/>
      <c r="R313" s="4"/>
      <c r="S313" s="4"/>
      <c r="T313" s="4"/>
      <c r="U313" s="4"/>
      <c r="V313" s="4"/>
    </row>
    <row r="314" spans="1:22" s="6" customFormat="1" x14ac:dyDescent="0.2">
      <c r="A314" s="100"/>
      <c r="B314" s="4"/>
      <c r="C314" s="4"/>
      <c r="D314" s="4"/>
      <c r="E314" s="4"/>
      <c r="F314" s="19"/>
      <c r="G314" s="148"/>
      <c r="H314" s="19"/>
      <c r="I314" s="19"/>
      <c r="J314" s="19"/>
      <c r="K314" s="19"/>
      <c r="L314" s="4"/>
      <c r="M314" s="20"/>
      <c r="P314" s="4"/>
      <c r="Q314" s="4"/>
      <c r="R314" s="4"/>
      <c r="S314" s="4"/>
      <c r="T314" s="4"/>
      <c r="U314" s="4"/>
      <c r="V314" s="4"/>
    </row>
    <row r="315" spans="1:22" s="6" customFormat="1" x14ac:dyDescent="0.2">
      <c r="A315" s="100"/>
      <c r="B315" s="4"/>
      <c r="C315" s="4"/>
      <c r="D315" s="4"/>
      <c r="E315" s="4"/>
      <c r="F315" s="19"/>
      <c r="G315" s="148"/>
      <c r="H315" s="19"/>
      <c r="I315" s="19"/>
      <c r="J315" s="19"/>
      <c r="K315" s="19"/>
      <c r="L315" s="4"/>
      <c r="M315" s="20"/>
      <c r="P315" s="4"/>
      <c r="Q315" s="4"/>
      <c r="R315" s="4"/>
      <c r="S315" s="4"/>
      <c r="T315" s="4"/>
      <c r="U315" s="4"/>
      <c r="V315" s="4"/>
    </row>
    <row r="316" spans="1:22" s="6" customFormat="1" x14ac:dyDescent="0.2">
      <c r="A316" s="100"/>
      <c r="B316" s="4"/>
      <c r="C316" s="4"/>
      <c r="D316" s="4"/>
      <c r="E316" s="4"/>
      <c r="F316" s="19"/>
      <c r="G316" s="148"/>
      <c r="H316" s="19"/>
      <c r="I316" s="19"/>
      <c r="J316" s="19"/>
      <c r="K316" s="19"/>
      <c r="L316" s="4"/>
      <c r="M316" s="20"/>
      <c r="P316" s="4"/>
      <c r="Q316" s="4"/>
      <c r="R316" s="4"/>
      <c r="S316" s="4"/>
      <c r="T316" s="4"/>
      <c r="U316" s="4"/>
      <c r="V316" s="4"/>
    </row>
    <row r="317" spans="1:22" s="6" customFormat="1" x14ac:dyDescent="0.2">
      <c r="A317" s="100"/>
      <c r="B317" s="4"/>
      <c r="C317" s="4"/>
      <c r="D317" s="4"/>
      <c r="E317" s="4"/>
      <c r="F317" s="19"/>
      <c r="G317" s="148"/>
      <c r="H317" s="19"/>
      <c r="I317" s="19"/>
      <c r="J317" s="19"/>
      <c r="K317" s="19"/>
      <c r="L317" s="4"/>
      <c r="M317" s="20"/>
      <c r="P317" s="4"/>
      <c r="Q317" s="4"/>
      <c r="R317" s="4"/>
      <c r="S317" s="4"/>
      <c r="T317" s="4"/>
      <c r="U317" s="4"/>
      <c r="V317" s="4"/>
    </row>
    <row r="318" spans="1:22" s="6" customFormat="1" x14ac:dyDescent="0.2">
      <c r="A318" s="100"/>
      <c r="B318" s="4"/>
      <c r="C318" s="4"/>
      <c r="D318" s="4"/>
      <c r="E318" s="4"/>
      <c r="F318" s="19"/>
      <c r="G318" s="148"/>
      <c r="H318" s="19"/>
      <c r="I318" s="19"/>
      <c r="J318" s="19"/>
      <c r="K318" s="19"/>
      <c r="L318" s="4"/>
      <c r="M318" s="20"/>
      <c r="P318" s="4"/>
      <c r="Q318" s="4"/>
      <c r="R318" s="4"/>
      <c r="S318" s="4"/>
      <c r="T318" s="4"/>
      <c r="U318" s="4"/>
      <c r="V318" s="4"/>
    </row>
    <row r="319" spans="1:22" s="6" customFormat="1" x14ac:dyDescent="0.2">
      <c r="A319" s="100"/>
      <c r="B319" s="4"/>
      <c r="C319" s="4"/>
      <c r="D319" s="4"/>
      <c r="E319" s="4"/>
      <c r="F319" s="19"/>
      <c r="G319" s="148"/>
      <c r="H319" s="19"/>
      <c r="I319" s="19"/>
      <c r="J319" s="19"/>
      <c r="K319" s="19"/>
      <c r="L319" s="4"/>
      <c r="M319" s="20"/>
      <c r="P319" s="4"/>
      <c r="Q319" s="4"/>
      <c r="R319" s="4"/>
      <c r="S319" s="4"/>
      <c r="T319" s="4"/>
      <c r="U319" s="4"/>
      <c r="V319" s="4"/>
    </row>
    <row r="320" spans="1:22" s="6" customFormat="1" x14ac:dyDescent="0.2">
      <c r="A320" s="100"/>
      <c r="B320" s="4"/>
      <c r="C320" s="4"/>
      <c r="D320" s="4"/>
      <c r="E320" s="4"/>
      <c r="F320" s="19"/>
      <c r="G320" s="148"/>
      <c r="H320" s="19"/>
      <c r="I320" s="19"/>
      <c r="J320" s="19"/>
      <c r="K320" s="19"/>
      <c r="L320" s="4"/>
      <c r="M320" s="20"/>
      <c r="P320" s="4"/>
      <c r="Q320" s="4"/>
      <c r="R320" s="4"/>
      <c r="S320" s="4"/>
      <c r="T320" s="4"/>
      <c r="U320" s="4"/>
      <c r="V320" s="4"/>
    </row>
    <row r="321" spans="1:22" s="6" customFormat="1" x14ac:dyDescent="0.2">
      <c r="A321" s="100"/>
      <c r="B321" s="4"/>
      <c r="C321" s="4"/>
      <c r="D321" s="4"/>
      <c r="E321" s="4"/>
      <c r="F321" s="19"/>
      <c r="G321" s="148"/>
      <c r="H321" s="19"/>
      <c r="I321" s="19"/>
      <c r="J321" s="19"/>
      <c r="K321" s="19"/>
      <c r="L321" s="4"/>
      <c r="M321" s="20"/>
      <c r="P321" s="4"/>
      <c r="Q321" s="4"/>
      <c r="R321" s="4"/>
      <c r="S321" s="4"/>
      <c r="T321" s="4"/>
      <c r="U321" s="4"/>
      <c r="V321" s="4"/>
    </row>
    <row r="322" spans="1:22" s="6" customFormat="1" x14ac:dyDescent="0.2">
      <c r="A322" s="100"/>
      <c r="B322" s="4"/>
      <c r="C322" s="4"/>
      <c r="D322" s="4"/>
      <c r="E322" s="4"/>
      <c r="F322" s="19"/>
      <c r="G322" s="148"/>
      <c r="H322" s="19"/>
      <c r="I322" s="19"/>
      <c r="J322" s="19"/>
      <c r="K322" s="19"/>
      <c r="L322" s="4"/>
      <c r="M322" s="20"/>
      <c r="P322" s="4"/>
      <c r="Q322" s="4"/>
      <c r="R322" s="4"/>
      <c r="S322" s="4"/>
      <c r="T322" s="4"/>
      <c r="U322" s="4"/>
      <c r="V322" s="4"/>
    </row>
    <row r="323" spans="1:22" s="6" customFormat="1" x14ac:dyDescent="0.2">
      <c r="A323" s="100"/>
      <c r="B323" s="4"/>
      <c r="C323" s="4"/>
      <c r="D323" s="4"/>
      <c r="E323" s="4"/>
      <c r="F323" s="19"/>
      <c r="G323" s="148"/>
      <c r="H323" s="19"/>
      <c r="I323" s="19"/>
      <c r="J323" s="19"/>
      <c r="K323" s="19"/>
      <c r="L323" s="4"/>
      <c r="M323" s="20"/>
      <c r="P323" s="4"/>
      <c r="Q323" s="4"/>
      <c r="R323" s="4"/>
      <c r="S323" s="4"/>
      <c r="T323" s="4"/>
      <c r="U323" s="4"/>
      <c r="V323" s="4"/>
    </row>
    <row r="324" spans="1:22" s="6" customFormat="1" x14ac:dyDescent="0.2">
      <c r="A324" s="100"/>
      <c r="B324" s="4"/>
      <c r="C324" s="4"/>
      <c r="D324" s="4"/>
      <c r="E324" s="4"/>
      <c r="F324" s="19"/>
      <c r="G324" s="148"/>
      <c r="H324" s="19"/>
      <c r="I324" s="19"/>
      <c r="J324" s="19"/>
      <c r="K324" s="19"/>
      <c r="L324" s="4"/>
      <c r="M324" s="20"/>
      <c r="P324" s="4"/>
      <c r="Q324" s="4"/>
      <c r="R324" s="4"/>
      <c r="S324" s="4"/>
      <c r="T324" s="4"/>
      <c r="U324" s="4"/>
      <c r="V324" s="4"/>
    </row>
    <row r="325" spans="1:22" s="6" customFormat="1" x14ac:dyDescent="0.2">
      <c r="A325" s="100"/>
      <c r="B325" s="4"/>
      <c r="C325" s="4"/>
      <c r="D325" s="4"/>
      <c r="E325" s="4"/>
      <c r="F325" s="19"/>
      <c r="G325" s="148"/>
      <c r="H325" s="19"/>
      <c r="I325" s="19"/>
      <c r="J325" s="19"/>
      <c r="K325" s="19"/>
      <c r="L325" s="4"/>
      <c r="M325" s="20"/>
      <c r="P325" s="4"/>
      <c r="Q325" s="4"/>
      <c r="R325" s="4"/>
      <c r="S325" s="4"/>
      <c r="T325" s="4"/>
      <c r="U325" s="4"/>
      <c r="V325" s="4"/>
    </row>
    <row r="326" spans="1:22" s="6" customFormat="1" x14ac:dyDescent="0.2">
      <c r="A326" s="100"/>
      <c r="B326" s="4"/>
      <c r="C326" s="4"/>
      <c r="D326" s="4"/>
      <c r="E326" s="4"/>
      <c r="F326" s="19"/>
      <c r="G326" s="148"/>
      <c r="H326" s="19"/>
      <c r="I326" s="19"/>
      <c r="J326" s="19"/>
      <c r="K326" s="19"/>
      <c r="L326" s="4"/>
      <c r="M326" s="20"/>
      <c r="P326" s="4"/>
      <c r="Q326" s="4"/>
      <c r="R326" s="4"/>
      <c r="S326" s="4"/>
      <c r="T326" s="4"/>
      <c r="U326" s="4"/>
      <c r="V326" s="4"/>
    </row>
    <row r="327" spans="1:22" s="6" customFormat="1" x14ac:dyDescent="0.2">
      <c r="A327" s="100"/>
      <c r="B327" s="4"/>
      <c r="C327" s="4"/>
      <c r="D327" s="4"/>
      <c r="E327" s="4"/>
      <c r="F327" s="19"/>
      <c r="G327" s="148"/>
      <c r="H327" s="19"/>
      <c r="I327" s="19"/>
      <c r="J327" s="19"/>
      <c r="K327" s="19"/>
      <c r="L327" s="4"/>
      <c r="M327" s="20"/>
      <c r="P327" s="4"/>
      <c r="Q327" s="4"/>
      <c r="R327" s="4"/>
      <c r="S327" s="4"/>
      <c r="T327" s="4"/>
      <c r="U327" s="4"/>
      <c r="V327" s="4"/>
    </row>
    <row r="328" spans="1:22" s="6" customFormat="1" x14ac:dyDescent="0.2">
      <c r="A328" s="100"/>
      <c r="B328" s="4"/>
      <c r="C328" s="4"/>
      <c r="D328" s="4"/>
      <c r="E328" s="4"/>
      <c r="F328" s="19"/>
      <c r="G328" s="148"/>
      <c r="H328" s="19"/>
      <c r="I328" s="19"/>
      <c r="J328" s="19"/>
      <c r="K328" s="19"/>
      <c r="L328" s="4"/>
      <c r="M328" s="20"/>
      <c r="P328" s="4"/>
      <c r="Q328" s="4"/>
      <c r="R328" s="4"/>
      <c r="S328" s="4"/>
      <c r="T328" s="4"/>
      <c r="U328" s="4"/>
      <c r="V328" s="4"/>
    </row>
    <row r="329" spans="1:22" s="6" customFormat="1" x14ac:dyDescent="0.2">
      <c r="A329" s="100"/>
      <c r="B329" s="4"/>
      <c r="C329" s="4"/>
      <c r="D329" s="4"/>
      <c r="E329" s="4"/>
      <c r="F329" s="19"/>
      <c r="G329" s="148"/>
      <c r="H329" s="19"/>
      <c r="I329" s="19"/>
      <c r="J329" s="19"/>
      <c r="K329" s="19"/>
      <c r="L329" s="4"/>
      <c r="M329" s="20"/>
      <c r="P329" s="4"/>
      <c r="Q329" s="4"/>
      <c r="R329" s="4"/>
      <c r="S329" s="4"/>
      <c r="T329" s="4"/>
      <c r="U329" s="4"/>
      <c r="V329" s="4"/>
    </row>
    <row r="330" spans="1:22" s="6" customFormat="1" x14ac:dyDescent="0.2">
      <c r="A330" s="100"/>
      <c r="B330" s="4"/>
      <c r="C330" s="4"/>
      <c r="D330" s="4"/>
      <c r="E330" s="4"/>
      <c r="F330" s="19"/>
      <c r="G330" s="148"/>
      <c r="H330" s="19"/>
      <c r="I330" s="19"/>
      <c r="J330" s="19"/>
      <c r="K330" s="19"/>
      <c r="L330" s="4"/>
      <c r="M330" s="20"/>
      <c r="P330" s="4"/>
      <c r="Q330" s="4"/>
      <c r="R330" s="4"/>
      <c r="S330" s="4"/>
      <c r="T330" s="4"/>
      <c r="U330" s="4"/>
      <c r="V330" s="4"/>
    </row>
    <row r="331" spans="1:22" s="6" customFormat="1" x14ac:dyDescent="0.2">
      <c r="A331" s="100"/>
      <c r="B331" s="4"/>
      <c r="C331" s="4"/>
      <c r="D331" s="4"/>
      <c r="E331" s="4"/>
      <c r="F331" s="19"/>
      <c r="G331" s="148"/>
      <c r="H331" s="19"/>
      <c r="I331" s="19"/>
      <c r="J331" s="19"/>
      <c r="K331" s="19"/>
      <c r="L331" s="4"/>
      <c r="M331" s="20"/>
      <c r="P331" s="4"/>
      <c r="Q331" s="4"/>
      <c r="R331" s="4"/>
      <c r="S331" s="4"/>
      <c r="T331" s="4"/>
      <c r="U331" s="4"/>
      <c r="V331" s="4"/>
    </row>
    <row r="332" spans="1:22" x14ac:dyDescent="0.2">
      <c r="H332" s="19"/>
    </row>
  </sheetData>
  <mergeCells count="1">
    <mergeCell ref="Q5:R5"/>
  </mergeCells>
  <conditionalFormatting sqref="H200 G202">
    <cfRule type="cellIs" dxfId="0"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view="pageLayout" zoomScaleNormal="100" workbookViewId="0">
      <selection activeCell="E9" sqref="E9"/>
    </sheetView>
  </sheetViews>
  <sheetFormatPr defaultRowHeight="12.75" x14ac:dyDescent="0.2"/>
  <cols>
    <col min="1" max="1" width="11.5703125" customWidth="1"/>
    <col min="2" max="2" width="32.7109375" bestFit="1" customWidth="1"/>
    <col min="3" max="3" width="23.7109375" bestFit="1" customWidth="1"/>
    <col min="4" max="4" width="19.42578125" bestFit="1" customWidth="1"/>
    <col min="5" max="5" width="28" bestFit="1" customWidth="1"/>
  </cols>
  <sheetData>
    <row r="1" spans="1:5" x14ac:dyDescent="0.2">
      <c r="A1" s="310" t="s">
        <v>311</v>
      </c>
    </row>
    <row r="2" spans="1:5" x14ac:dyDescent="0.2">
      <c r="A2" s="310"/>
    </row>
    <row r="3" spans="1:5" x14ac:dyDescent="0.2">
      <c r="A3" s="311" t="s">
        <v>312</v>
      </c>
      <c r="B3" s="311" t="s">
        <v>313</v>
      </c>
      <c r="C3" s="311" t="s">
        <v>314</v>
      </c>
      <c r="D3" s="311" t="s">
        <v>352</v>
      </c>
      <c r="E3" s="311" t="s">
        <v>425</v>
      </c>
    </row>
    <row r="4" spans="1:5" ht="38.25" x14ac:dyDescent="0.2">
      <c r="A4" s="28" t="s">
        <v>133</v>
      </c>
      <c r="B4" s="4" t="s">
        <v>205</v>
      </c>
      <c r="C4" s="6" t="s">
        <v>306</v>
      </c>
      <c r="D4" s="361" t="s">
        <v>353</v>
      </c>
      <c r="E4" s="504">
        <v>16666.336666666666</v>
      </c>
    </row>
    <row r="5" spans="1:5" s="304" customFormat="1" x14ac:dyDescent="0.2">
      <c r="A5" s="28" t="s">
        <v>304</v>
      </c>
      <c r="B5" s="4" t="s">
        <v>305</v>
      </c>
      <c r="C5" s="6" t="s">
        <v>307</v>
      </c>
      <c r="D5" s="503" t="s">
        <v>424</v>
      </c>
      <c r="E5" s="505">
        <v>30715.672298325724</v>
      </c>
    </row>
    <row r="6" spans="1:5" x14ac:dyDescent="0.2">
      <c r="A6" t="s">
        <v>299</v>
      </c>
      <c r="B6" t="s">
        <v>302</v>
      </c>
      <c r="C6" s="6" t="s">
        <v>307</v>
      </c>
      <c r="D6" s="361" t="s">
        <v>388</v>
      </c>
      <c r="E6" s="504">
        <v>2619.995166666667</v>
      </c>
    </row>
    <row r="7" spans="1:5" ht="25.5" x14ac:dyDescent="0.2">
      <c r="A7" t="s">
        <v>38</v>
      </c>
      <c r="B7" t="s">
        <v>39</v>
      </c>
      <c r="C7" s="6" t="s">
        <v>315</v>
      </c>
      <c r="D7" s="361" t="s">
        <v>388</v>
      </c>
      <c r="E7" s="504">
        <v>81877.996666666659</v>
      </c>
    </row>
    <row r="8" spans="1:5" ht="25.5" x14ac:dyDescent="0.2">
      <c r="A8" t="s">
        <v>229</v>
      </c>
      <c r="B8" t="s">
        <v>230</v>
      </c>
      <c r="C8" s="6" t="s">
        <v>309</v>
      </c>
      <c r="D8" s="361" t="s">
        <v>378</v>
      </c>
      <c r="E8" s="504">
        <v>374189.09031123563</v>
      </c>
    </row>
    <row r="9" spans="1:5" x14ac:dyDescent="0.2">
      <c r="A9" s="575" t="s">
        <v>239</v>
      </c>
      <c r="B9" s="298" t="s">
        <v>467</v>
      </c>
      <c r="C9" s="6" t="s">
        <v>307</v>
      </c>
      <c r="D9" s="361" t="s">
        <v>468</v>
      </c>
      <c r="E9" s="504">
        <v>22320</v>
      </c>
    </row>
    <row r="10" spans="1:5" ht="25.5" x14ac:dyDescent="0.2">
      <c r="A10" s="28" t="s">
        <v>289</v>
      </c>
      <c r="B10" s="4" t="s">
        <v>288</v>
      </c>
      <c r="C10" s="6" t="s">
        <v>316</v>
      </c>
      <c r="D10" s="361" t="s">
        <v>353</v>
      </c>
      <c r="E10" s="504">
        <v>10957.003333333334</v>
      </c>
    </row>
  </sheetData>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7"/>
  <sheetViews>
    <sheetView view="pageLayout" topLeftCell="A106" zoomScaleNormal="100" workbookViewId="0">
      <selection activeCell="E9" sqref="E9"/>
    </sheetView>
  </sheetViews>
  <sheetFormatPr defaultRowHeight="12.75" x14ac:dyDescent="0.2"/>
  <cols>
    <col min="1" max="1" width="16.28515625" customWidth="1"/>
    <col min="2" max="2" width="13.7109375" customWidth="1"/>
    <col min="3" max="3" width="9.28515625" customWidth="1"/>
    <col min="4" max="4" width="15.7109375" bestFit="1" customWidth="1"/>
    <col min="5" max="5" width="26.42578125" customWidth="1"/>
    <col min="6" max="6" width="5.7109375" customWidth="1"/>
    <col min="7" max="7" width="13.85546875" bestFit="1" customWidth="1"/>
    <col min="8" max="8" width="26.42578125" bestFit="1" customWidth="1"/>
    <col min="9" max="9" width="11.42578125" bestFit="1" customWidth="1"/>
    <col min="11" max="11" width="11.140625" bestFit="1" customWidth="1"/>
    <col min="12" max="12" width="48.140625" customWidth="1"/>
    <col min="257" max="257" width="16.28515625" customWidth="1"/>
    <col min="258" max="258" width="13.7109375" customWidth="1"/>
    <col min="259" max="259" width="9.28515625" customWidth="1"/>
    <col min="260" max="260" width="15.7109375" bestFit="1" customWidth="1"/>
    <col min="261" max="261" width="26.42578125" customWidth="1"/>
    <col min="262" max="262" width="5.7109375" customWidth="1"/>
    <col min="263" max="263" width="13.85546875" bestFit="1" customWidth="1"/>
    <col min="264" max="264" width="26.42578125" bestFit="1" customWidth="1"/>
    <col min="265" max="265" width="11.140625" bestFit="1" customWidth="1"/>
    <col min="267" max="267" width="11.140625" bestFit="1" customWidth="1"/>
    <col min="268" max="268" width="48.140625" customWidth="1"/>
    <col min="513" max="513" width="16.28515625" customWidth="1"/>
    <col min="514" max="514" width="13.7109375" customWidth="1"/>
    <col min="515" max="515" width="9.28515625" customWidth="1"/>
    <col min="516" max="516" width="15.7109375" bestFit="1" customWidth="1"/>
    <col min="517" max="517" width="26.42578125" customWidth="1"/>
    <col min="518" max="518" width="5.7109375" customWidth="1"/>
    <col min="519" max="519" width="13.85546875" bestFit="1" customWidth="1"/>
    <col min="520" max="520" width="26.42578125" bestFit="1" customWidth="1"/>
    <col min="521" max="521" width="11.140625" bestFit="1" customWidth="1"/>
    <col min="523" max="523" width="11.140625" bestFit="1" customWidth="1"/>
    <col min="524" max="524" width="48.140625" customWidth="1"/>
    <col min="769" max="769" width="16.28515625" customWidth="1"/>
    <col min="770" max="770" width="13.7109375" customWidth="1"/>
    <col min="771" max="771" width="9.28515625" customWidth="1"/>
    <col min="772" max="772" width="15.7109375" bestFit="1" customWidth="1"/>
    <col min="773" max="773" width="26.42578125" customWidth="1"/>
    <col min="774" max="774" width="5.7109375" customWidth="1"/>
    <col min="775" max="775" width="13.85546875" bestFit="1" customWidth="1"/>
    <col min="776" max="776" width="26.42578125" bestFit="1" customWidth="1"/>
    <col min="777" max="777" width="11.140625" bestFit="1" customWidth="1"/>
    <col min="779" max="779" width="11.140625" bestFit="1" customWidth="1"/>
    <col min="780" max="780" width="48.140625" customWidth="1"/>
    <col min="1025" max="1025" width="16.28515625" customWidth="1"/>
    <col min="1026" max="1026" width="13.7109375" customWidth="1"/>
    <col min="1027" max="1027" width="9.28515625" customWidth="1"/>
    <col min="1028" max="1028" width="15.7109375" bestFit="1" customWidth="1"/>
    <col min="1029" max="1029" width="26.42578125" customWidth="1"/>
    <col min="1030" max="1030" width="5.7109375" customWidth="1"/>
    <col min="1031" max="1031" width="13.85546875" bestFit="1" customWidth="1"/>
    <col min="1032" max="1032" width="26.42578125" bestFit="1" customWidth="1"/>
    <col min="1033" max="1033" width="11.140625" bestFit="1" customWidth="1"/>
    <col min="1035" max="1035" width="11.140625" bestFit="1" customWidth="1"/>
    <col min="1036" max="1036" width="48.140625" customWidth="1"/>
    <col min="1281" max="1281" width="16.28515625" customWidth="1"/>
    <col min="1282" max="1282" width="13.7109375" customWidth="1"/>
    <col min="1283" max="1283" width="9.28515625" customWidth="1"/>
    <col min="1284" max="1284" width="15.7109375" bestFit="1" customWidth="1"/>
    <col min="1285" max="1285" width="26.42578125" customWidth="1"/>
    <col min="1286" max="1286" width="5.7109375" customWidth="1"/>
    <col min="1287" max="1287" width="13.85546875" bestFit="1" customWidth="1"/>
    <col min="1288" max="1288" width="26.42578125" bestFit="1" customWidth="1"/>
    <col min="1289" max="1289" width="11.140625" bestFit="1" customWidth="1"/>
    <col min="1291" max="1291" width="11.140625" bestFit="1" customWidth="1"/>
    <col min="1292" max="1292" width="48.140625" customWidth="1"/>
    <col min="1537" max="1537" width="16.28515625" customWidth="1"/>
    <col min="1538" max="1538" width="13.7109375" customWidth="1"/>
    <col min="1539" max="1539" width="9.28515625" customWidth="1"/>
    <col min="1540" max="1540" width="15.7109375" bestFit="1" customWidth="1"/>
    <col min="1541" max="1541" width="26.42578125" customWidth="1"/>
    <col min="1542" max="1542" width="5.7109375" customWidth="1"/>
    <col min="1543" max="1543" width="13.85546875" bestFit="1" customWidth="1"/>
    <col min="1544" max="1544" width="26.42578125" bestFit="1" customWidth="1"/>
    <col min="1545" max="1545" width="11.140625" bestFit="1" customWidth="1"/>
    <col min="1547" max="1547" width="11.140625" bestFit="1" customWidth="1"/>
    <col min="1548" max="1548" width="48.140625" customWidth="1"/>
    <col min="1793" max="1793" width="16.28515625" customWidth="1"/>
    <col min="1794" max="1794" width="13.7109375" customWidth="1"/>
    <col min="1795" max="1795" width="9.28515625" customWidth="1"/>
    <col min="1796" max="1796" width="15.7109375" bestFit="1" customWidth="1"/>
    <col min="1797" max="1797" width="26.42578125" customWidth="1"/>
    <col min="1798" max="1798" width="5.7109375" customWidth="1"/>
    <col min="1799" max="1799" width="13.85546875" bestFit="1" customWidth="1"/>
    <col min="1800" max="1800" width="26.42578125" bestFit="1" customWidth="1"/>
    <col min="1801" max="1801" width="11.140625" bestFit="1" customWidth="1"/>
    <col min="1803" max="1803" width="11.140625" bestFit="1" customWidth="1"/>
    <col min="1804" max="1804" width="48.140625" customWidth="1"/>
    <col min="2049" max="2049" width="16.28515625" customWidth="1"/>
    <col min="2050" max="2050" width="13.7109375" customWidth="1"/>
    <col min="2051" max="2051" width="9.28515625" customWidth="1"/>
    <col min="2052" max="2052" width="15.7109375" bestFit="1" customWidth="1"/>
    <col min="2053" max="2053" width="26.42578125" customWidth="1"/>
    <col min="2054" max="2054" width="5.7109375" customWidth="1"/>
    <col min="2055" max="2055" width="13.85546875" bestFit="1" customWidth="1"/>
    <col min="2056" max="2056" width="26.42578125" bestFit="1" customWidth="1"/>
    <col min="2057" max="2057" width="11.140625" bestFit="1" customWidth="1"/>
    <col min="2059" max="2059" width="11.140625" bestFit="1" customWidth="1"/>
    <col min="2060" max="2060" width="48.140625" customWidth="1"/>
    <col min="2305" max="2305" width="16.28515625" customWidth="1"/>
    <col min="2306" max="2306" width="13.7109375" customWidth="1"/>
    <col min="2307" max="2307" width="9.28515625" customWidth="1"/>
    <col min="2308" max="2308" width="15.7109375" bestFit="1" customWidth="1"/>
    <col min="2309" max="2309" width="26.42578125" customWidth="1"/>
    <col min="2310" max="2310" width="5.7109375" customWidth="1"/>
    <col min="2311" max="2311" width="13.85546875" bestFit="1" customWidth="1"/>
    <col min="2312" max="2312" width="26.42578125" bestFit="1" customWidth="1"/>
    <col min="2313" max="2313" width="11.140625" bestFit="1" customWidth="1"/>
    <col min="2315" max="2315" width="11.140625" bestFit="1" customWidth="1"/>
    <col min="2316" max="2316" width="48.140625" customWidth="1"/>
    <col min="2561" max="2561" width="16.28515625" customWidth="1"/>
    <col min="2562" max="2562" width="13.7109375" customWidth="1"/>
    <col min="2563" max="2563" width="9.28515625" customWidth="1"/>
    <col min="2564" max="2564" width="15.7109375" bestFit="1" customWidth="1"/>
    <col min="2565" max="2565" width="26.42578125" customWidth="1"/>
    <col min="2566" max="2566" width="5.7109375" customWidth="1"/>
    <col min="2567" max="2567" width="13.85546875" bestFit="1" customWidth="1"/>
    <col min="2568" max="2568" width="26.42578125" bestFit="1" customWidth="1"/>
    <col min="2569" max="2569" width="11.140625" bestFit="1" customWidth="1"/>
    <col min="2571" max="2571" width="11.140625" bestFit="1" customWidth="1"/>
    <col min="2572" max="2572" width="48.140625" customWidth="1"/>
    <col min="2817" max="2817" width="16.28515625" customWidth="1"/>
    <col min="2818" max="2818" width="13.7109375" customWidth="1"/>
    <col min="2819" max="2819" width="9.28515625" customWidth="1"/>
    <col min="2820" max="2820" width="15.7109375" bestFit="1" customWidth="1"/>
    <col min="2821" max="2821" width="26.42578125" customWidth="1"/>
    <col min="2822" max="2822" width="5.7109375" customWidth="1"/>
    <col min="2823" max="2823" width="13.85546875" bestFit="1" customWidth="1"/>
    <col min="2824" max="2824" width="26.42578125" bestFit="1" customWidth="1"/>
    <col min="2825" max="2825" width="11.140625" bestFit="1" customWidth="1"/>
    <col min="2827" max="2827" width="11.140625" bestFit="1" customWidth="1"/>
    <col min="2828" max="2828" width="48.140625" customWidth="1"/>
    <col min="3073" max="3073" width="16.28515625" customWidth="1"/>
    <col min="3074" max="3074" width="13.7109375" customWidth="1"/>
    <col min="3075" max="3075" width="9.28515625" customWidth="1"/>
    <col min="3076" max="3076" width="15.7109375" bestFit="1" customWidth="1"/>
    <col min="3077" max="3077" width="26.42578125" customWidth="1"/>
    <col min="3078" max="3078" width="5.7109375" customWidth="1"/>
    <col min="3079" max="3079" width="13.85546875" bestFit="1" customWidth="1"/>
    <col min="3080" max="3080" width="26.42578125" bestFit="1" customWidth="1"/>
    <col min="3081" max="3081" width="11.140625" bestFit="1" customWidth="1"/>
    <col min="3083" max="3083" width="11.140625" bestFit="1" customWidth="1"/>
    <col min="3084" max="3084" width="48.140625" customWidth="1"/>
    <col min="3329" max="3329" width="16.28515625" customWidth="1"/>
    <col min="3330" max="3330" width="13.7109375" customWidth="1"/>
    <col min="3331" max="3331" width="9.28515625" customWidth="1"/>
    <col min="3332" max="3332" width="15.7109375" bestFit="1" customWidth="1"/>
    <col min="3333" max="3333" width="26.42578125" customWidth="1"/>
    <col min="3334" max="3334" width="5.7109375" customWidth="1"/>
    <col min="3335" max="3335" width="13.85546875" bestFit="1" customWidth="1"/>
    <col min="3336" max="3336" width="26.42578125" bestFit="1" customWidth="1"/>
    <col min="3337" max="3337" width="11.140625" bestFit="1" customWidth="1"/>
    <col min="3339" max="3339" width="11.140625" bestFit="1" customWidth="1"/>
    <col min="3340" max="3340" width="48.140625" customWidth="1"/>
    <col min="3585" max="3585" width="16.28515625" customWidth="1"/>
    <col min="3586" max="3586" width="13.7109375" customWidth="1"/>
    <col min="3587" max="3587" width="9.28515625" customWidth="1"/>
    <col min="3588" max="3588" width="15.7109375" bestFit="1" customWidth="1"/>
    <col min="3589" max="3589" width="26.42578125" customWidth="1"/>
    <col min="3590" max="3590" width="5.7109375" customWidth="1"/>
    <col min="3591" max="3591" width="13.85546875" bestFit="1" customWidth="1"/>
    <col min="3592" max="3592" width="26.42578125" bestFit="1" customWidth="1"/>
    <col min="3593" max="3593" width="11.140625" bestFit="1" customWidth="1"/>
    <col min="3595" max="3595" width="11.140625" bestFit="1" customWidth="1"/>
    <col min="3596" max="3596" width="48.140625" customWidth="1"/>
    <col min="3841" max="3841" width="16.28515625" customWidth="1"/>
    <col min="3842" max="3842" width="13.7109375" customWidth="1"/>
    <col min="3843" max="3843" width="9.28515625" customWidth="1"/>
    <col min="3844" max="3844" width="15.7109375" bestFit="1" customWidth="1"/>
    <col min="3845" max="3845" width="26.42578125" customWidth="1"/>
    <col min="3846" max="3846" width="5.7109375" customWidth="1"/>
    <col min="3847" max="3847" width="13.85546875" bestFit="1" customWidth="1"/>
    <col min="3848" max="3848" width="26.42578125" bestFit="1" customWidth="1"/>
    <col min="3849" max="3849" width="11.140625" bestFit="1" customWidth="1"/>
    <col min="3851" max="3851" width="11.140625" bestFit="1" customWidth="1"/>
    <col min="3852" max="3852" width="48.140625" customWidth="1"/>
    <col min="4097" max="4097" width="16.28515625" customWidth="1"/>
    <col min="4098" max="4098" width="13.7109375" customWidth="1"/>
    <col min="4099" max="4099" width="9.28515625" customWidth="1"/>
    <col min="4100" max="4100" width="15.7109375" bestFit="1" customWidth="1"/>
    <col min="4101" max="4101" width="26.42578125" customWidth="1"/>
    <col min="4102" max="4102" width="5.7109375" customWidth="1"/>
    <col min="4103" max="4103" width="13.85546875" bestFit="1" customWidth="1"/>
    <col min="4104" max="4104" width="26.42578125" bestFit="1" customWidth="1"/>
    <col min="4105" max="4105" width="11.140625" bestFit="1" customWidth="1"/>
    <col min="4107" max="4107" width="11.140625" bestFit="1" customWidth="1"/>
    <col min="4108" max="4108" width="48.140625" customWidth="1"/>
    <col min="4353" max="4353" width="16.28515625" customWidth="1"/>
    <col min="4354" max="4354" width="13.7109375" customWidth="1"/>
    <col min="4355" max="4355" width="9.28515625" customWidth="1"/>
    <col min="4356" max="4356" width="15.7109375" bestFit="1" customWidth="1"/>
    <col min="4357" max="4357" width="26.42578125" customWidth="1"/>
    <col min="4358" max="4358" width="5.7109375" customWidth="1"/>
    <col min="4359" max="4359" width="13.85546875" bestFit="1" customWidth="1"/>
    <col min="4360" max="4360" width="26.42578125" bestFit="1" customWidth="1"/>
    <col min="4361" max="4361" width="11.140625" bestFit="1" customWidth="1"/>
    <col min="4363" max="4363" width="11.140625" bestFit="1" customWidth="1"/>
    <col min="4364" max="4364" width="48.140625" customWidth="1"/>
    <col min="4609" max="4609" width="16.28515625" customWidth="1"/>
    <col min="4610" max="4610" width="13.7109375" customWidth="1"/>
    <col min="4611" max="4611" width="9.28515625" customWidth="1"/>
    <col min="4612" max="4612" width="15.7109375" bestFit="1" customWidth="1"/>
    <col min="4613" max="4613" width="26.42578125" customWidth="1"/>
    <col min="4614" max="4614" width="5.7109375" customWidth="1"/>
    <col min="4615" max="4615" width="13.85546875" bestFit="1" customWidth="1"/>
    <col min="4616" max="4616" width="26.42578125" bestFit="1" customWidth="1"/>
    <col min="4617" max="4617" width="11.140625" bestFit="1" customWidth="1"/>
    <col min="4619" max="4619" width="11.140625" bestFit="1" customWidth="1"/>
    <col min="4620" max="4620" width="48.140625" customWidth="1"/>
    <col min="4865" max="4865" width="16.28515625" customWidth="1"/>
    <col min="4866" max="4866" width="13.7109375" customWidth="1"/>
    <col min="4867" max="4867" width="9.28515625" customWidth="1"/>
    <col min="4868" max="4868" width="15.7109375" bestFit="1" customWidth="1"/>
    <col min="4869" max="4869" width="26.42578125" customWidth="1"/>
    <col min="4870" max="4870" width="5.7109375" customWidth="1"/>
    <col min="4871" max="4871" width="13.85546875" bestFit="1" customWidth="1"/>
    <col min="4872" max="4872" width="26.42578125" bestFit="1" customWidth="1"/>
    <col min="4873" max="4873" width="11.140625" bestFit="1" customWidth="1"/>
    <col min="4875" max="4875" width="11.140625" bestFit="1" customWidth="1"/>
    <col min="4876" max="4876" width="48.140625" customWidth="1"/>
    <col min="5121" max="5121" width="16.28515625" customWidth="1"/>
    <col min="5122" max="5122" width="13.7109375" customWidth="1"/>
    <col min="5123" max="5123" width="9.28515625" customWidth="1"/>
    <col min="5124" max="5124" width="15.7109375" bestFit="1" customWidth="1"/>
    <col min="5125" max="5125" width="26.42578125" customWidth="1"/>
    <col min="5126" max="5126" width="5.7109375" customWidth="1"/>
    <col min="5127" max="5127" width="13.85546875" bestFit="1" customWidth="1"/>
    <col min="5128" max="5128" width="26.42578125" bestFit="1" customWidth="1"/>
    <col min="5129" max="5129" width="11.140625" bestFit="1" customWidth="1"/>
    <col min="5131" max="5131" width="11.140625" bestFit="1" customWidth="1"/>
    <col min="5132" max="5132" width="48.140625" customWidth="1"/>
    <col min="5377" max="5377" width="16.28515625" customWidth="1"/>
    <col min="5378" max="5378" width="13.7109375" customWidth="1"/>
    <col min="5379" max="5379" width="9.28515625" customWidth="1"/>
    <col min="5380" max="5380" width="15.7109375" bestFit="1" customWidth="1"/>
    <col min="5381" max="5381" width="26.42578125" customWidth="1"/>
    <col min="5382" max="5382" width="5.7109375" customWidth="1"/>
    <col min="5383" max="5383" width="13.85546875" bestFit="1" customWidth="1"/>
    <col min="5384" max="5384" width="26.42578125" bestFit="1" customWidth="1"/>
    <col min="5385" max="5385" width="11.140625" bestFit="1" customWidth="1"/>
    <col min="5387" max="5387" width="11.140625" bestFit="1" customWidth="1"/>
    <col min="5388" max="5388" width="48.140625" customWidth="1"/>
    <col min="5633" max="5633" width="16.28515625" customWidth="1"/>
    <col min="5634" max="5634" width="13.7109375" customWidth="1"/>
    <col min="5635" max="5635" width="9.28515625" customWidth="1"/>
    <col min="5636" max="5636" width="15.7109375" bestFit="1" customWidth="1"/>
    <col min="5637" max="5637" width="26.42578125" customWidth="1"/>
    <col min="5638" max="5638" width="5.7109375" customWidth="1"/>
    <col min="5639" max="5639" width="13.85546875" bestFit="1" customWidth="1"/>
    <col min="5640" max="5640" width="26.42578125" bestFit="1" customWidth="1"/>
    <col min="5641" max="5641" width="11.140625" bestFit="1" customWidth="1"/>
    <col min="5643" max="5643" width="11.140625" bestFit="1" customWidth="1"/>
    <col min="5644" max="5644" width="48.140625" customWidth="1"/>
    <col min="5889" max="5889" width="16.28515625" customWidth="1"/>
    <col min="5890" max="5890" width="13.7109375" customWidth="1"/>
    <col min="5891" max="5891" width="9.28515625" customWidth="1"/>
    <col min="5892" max="5892" width="15.7109375" bestFit="1" customWidth="1"/>
    <col min="5893" max="5893" width="26.42578125" customWidth="1"/>
    <col min="5894" max="5894" width="5.7109375" customWidth="1"/>
    <col min="5895" max="5895" width="13.85546875" bestFit="1" customWidth="1"/>
    <col min="5896" max="5896" width="26.42578125" bestFit="1" customWidth="1"/>
    <col min="5897" max="5897" width="11.140625" bestFit="1" customWidth="1"/>
    <col min="5899" max="5899" width="11.140625" bestFit="1" customWidth="1"/>
    <col min="5900" max="5900" width="48.140625" customWidth="1"/>
    <col min="6145" max="6145" width="16.28515625" customWidth="1"/>
    <col min="6146" max="6146" width="13.7109375" customWidth="1"/>
    <col min="6147" max="6147" width="9.28515625" customWidth="1"/>
    <col min="6148" max="6148" width="15.7109375" bestFit="1" customWidth="1"/>
    <col min="6149" max="6149" width="26.42578125" customWidth="1"/>
    <col min="6150" max="6150" width="5.7109375" customWidth="1"/>
    <col min="6151" max="6151" width="13.85546875" bestFit="1" customWidth="1"/>
    <col min="6152" max="6152" width="26.42578125" bestFit="1" customWidth="1"/>
    <col min="6153" max="6153" width="11.140625" bestFit="1" customWidth="1"/>
    <col min="6155" max="6155" width="11.140625" bestFit="1" customWidth="1"/>
    <col min="6156" max="6156" width="48.140625" customWidth="1"/>
    <col min="6401" max="6401" width="16.28515625" customWidth="1"/>
    <col min="6402" max="6402" width="13.7109375" customWidth="1"/>
    <col min="6403" max="6403" width="9.28515625" customWidth="1"/>
    <col min="6404" max="6404" width="15.7109375" bestFit="1" customWidth="1"/>
    <col min="6405" max="6405" width="26.42578125" customWidth="1"/>
    <col min="6406" max="6406" width="5.7109375" customWidth="1"/>
    <col min="6407" max="6407" width="13.85546875" bestFit="1" customWidth="1"/>
    <col min="6408" max="6408" width="26.42578125" bestFit="1" customWidth="1"/>
    <col min="6409" max="6409" width="11.140625" bestFit="1" customWidth="1"/>
    <col min="6411" max="6411" width="11.140625" bestFit="1" customWidth="1"/>
    <col min="6412" max="6412" width="48.140625" customWidth="1"/>
    <col min="6657" max="6657" width="16.28515625" customWidth="1"/>
    <col min="6658" max="6658" width="13.7109375" customWidth="1"/>
    <col min="6659" max="6659" width="9.28515625" customWidth="1"/>
    <col min="6660" max="6660" width="15.7109375" bestFit="1" customWidth="1"/>
    <col min="6661" max="6661" width="26.42578125" customWidth="1"/>
    <col min="6662" max="6662" width="5.7109375" customWidth="1"/>
    <col min="6663" max="6663" width="13.85546875" bestFit="1" customWidth="1"/>
    <col min="6664" max="6664" width="26.42578125" bestFit="1" customWidth="1"/>
    <col min="6665" max="6665" width="11.140625" bestFit="1" customWidth="1"/>
    <col min="6667" max="6667" width="11.140625" bestFit="1" customWidth="1"/>
    <col min="6668" max="6668" width="48.140625" customWidth="1"/>
    <col min="6913" max="6913" width="16.28515625" customWidth="1"/>
    <col min="6914" max="6914" width="13.7109375" customWidth="1"/>
    <col min="6915" max="6915" width="9.28515625" customWidth="1"/>
    <col min="6916" max="6916" width="15.7109375" bestFit="1" customWidth="1"/>
    <col min="6917" max="6917" width="26.42578125" customWidth="1"/>
    <col min="6918" max="6918" width="5.7109375" customWidth="1"/>
    <col min="6919" max="6919" width="13.85546875" bestFit="1" customWidth="1"/>
    <col min="6920" max="6920" width="26.42578125" bestFit="1" customWidth="1"/>
    <col min="6921" max="6921" width="11.140625" bestFit="1" customWidth="1"/>
    <col min="6923" max="6923" width="11.140625" bestFit="1" customWidth="1"/>
    <col min="6924" max="6924" width="48.140625" customWidth="1"/>
    <col min="7169" max="7169" width="16.28515625" customWidth="1"/>
    <col min="7170" max="7170" width="13.7109375" customWidth="1"/>
    <col min="7171" max="7171" width="9.28515625" customWidth="1"/>
    <col min="7172" max="7172" width="15.7109375" bestFit="1" customWidth="1"/>
    <col min="7173" max="7173" width="26.42578125" customWidth="1"/>
    <col min="7174" max="7174" width="5.7109375" customWidth="1"/>
    <col min="7175" max="7175" width="13.85546875" bestFit="1" customWidth="1"/>
    <col min="7176" max="7176" width="26.42578125" bestFit="1" customWidth="1"/>
    <col min="7177" max="7177" width="11.140625" bestFit="1" customWidth="1"/>
    <col min="7179" max="7179" width="11.140625" bestFit="1" customWidth="1"/>
    <col min="7180" max="7180" width="48.140625" customWidth="1"/>
    <col min="7425" max="7425" width="16.28515625" customWidth="1"/>
    <col min="7426" max="7426" width="13.7109375" customWidth="1"/>
    <col min="7427" max="7427" width="9.28515625" customWidth="1"/>
    <col min="7428" max="7428" width="15.7109375" bestFit="1" customWidth="1"/>
    <col min="7429" max="7429" width="26.42578125" customWidth="1"/>
    <col min="7430" max="7430" width="5.7109375" customWidth="1"/>
    <col min="7431" max="7431" width="13.85546875" bestFit="1" customWidth="1"/>
    <col min="7432" max="7432" width="26.42578125" bestFit="1" customWidth="1"/>
    <col min="7433" max="7433" width="11.140625" bestFit="1" customWidth="1"/>
    <col min="7435" max="7435" width="11.140625" bestFit="1" customWidth="1"/>
    <col min="7436" max="7436" width="48.140625" customWidth="1"/>
    <col min="7681" max="7681" width="16.28515625" customWidth="1"/>
    <col min="7682" max="7682" width="13.7109375" customWidth="1"/>
    <col min="7683" max="7683" width="9.28515625" customWidth="1"/>
    <col min="7684" max="7684" width="15.7109375" bestFit="1" customWidth="1"/>
    <col min="7685" max="7685" width="26.42578125" customWidth="1"/>
    <col min="7686" max="7686" width="5.7109375" customWidth="1"/>
    <col min="7687" max="7687" width="13.85546875" bestFit="1" customWidth="1"/>
    <col min="7688" max="7688" width="26.42578125" bestFit="1" customWidth="1"/>
    <col min="7689" max="7689" width="11.140625" bestFit="1" customWidth="1"/>
    <col min="7691" max="7691" width="11.140625" bestFit="1" customWidth="1"/>
    <col min="7692" max="7692" width="48.140625" customWidth="1"/>
    <col min="7937" max="7937" width="16.28515625" customWidth="1"/>
    <col min="7938" max="7938" width="13.7109375" customWidth="1"/>
    <col min="7939" max="7939" width="9.28515625" customWidth="1"/>
    <col min="7940" max="7940" width="15.7109375" bestFit="1" customWidth="1"/>
    <col min="7941" max="7941" width="26.42578125" customWidth="1"/>
    <col min="7942" max="7942" width="5.7109375" customWidth="1"/>
    <col min="7943" max="7943" width="13.85546875" bestFit="1" customWidth="1"/>
    <col min="7944" max="7944" width="26.42578125" bestFit="1" customWidth="1"/>
    <col min="7945" max="7945" width="11.140625" bestFit="1" customWidth="1"/>
    <col min="7947" max="7947" width="11.140625" bestFit="1" customWidth="1"/>
    <col min="7948" max="7948" width="48.140625" customWidth="1"/>
    <col min="8193" max="8193" width="16.28515625" customWidth="1"/>
    <col min="8194" max="8194" width="13.7109375" customWidth="1"/>
    <col min="8195" max="8195" width="9.28515625" customWidth="1"/>
    <col min="8196" max="8196" width="15.7109375" bestFit="1" customWidth="1"/>
    <col min="8197" max="8197" width="26.42578125" customWidth="1"/>
    <col min="8198" max="8198" width="5.7109375" customWidth="1"/>
    <col min="8199" max="8199" width="13.85546875" bestFit="1" customWidth="1"/>
    <col min="8200" max="8200" width="26.42578125" bestFit="1" customWidth="1"/>
    <col min="8201" max="8201" width="11.140625" bestFit="1" customWidth="1"/>
    <col min="8203" max="8203" width="11.140625" bestFit="1" customWidth="1"/>
    <col min="8204" max="8204" width="48.140625" customWidth="1"/>
    <col min="8449" max="8449" width="16.28515625" customWidth="1"/>
    <col min="8450" max="8450" width="13.7109375" customWidth="1"/>
    <col min="8451" max="8451" width="9.28515625" customWidth="1"/>
    <col min="8452" max="8452" width="15.7109375" bestFit="1" customWidth="1"/>
    <col min="8453" max="8453" width="26.42578125" customWidth="1"/>
    <col min="8454" max="8454" width="5.7109375" customWidth="1"/>
    <col min="8455" max="8455" width="13.85546875" bestFit="1" customWidth="1"/>
    <col min="8456" max="8456" width="26.42578125" bestFit="1" customWidth="1"/>
    <col min="8457" max="8457" width="11.140625" bestFit="1" customWidth="1"/>
    <col min="8459" max="8459" width="11.140625" bestFit="1" customWidth="1"/>
    <col min="8460" max="8460" width="48.140625" customWidth="1"/>
    <col min="8705" max="8705" width="16.28515625" customWidth="1"/>
    <col min="8706" max="8706" width="13.7109375" customWidth="1"/>
    <col min="8707" max="8707" width="9.28515625" customWidth="1"/>
    <col min="8708" max="8708" width="15.7109375" bestFit="1" customWidth="1"/>
    <col min="8709" max="8709" width="26.42578125" customWidth="1"/>
    <col min="8710" max="8710" width="5.7109375" customWidth="1"/>
    <col min="8711" max="8711" width="13.85546875" bestFit="1" customWidth="1"/>
    <col min="8712" max="8712" width="26.42578125" bestFit="1" customWidth="1"/>
    <col min="8713" max="8713" width="11.140625" bestFit="1" customWidth="1"/>
    <col min="8715" max="8715" width="11.140625" bestFit="1" customWidth="1"/>
    <col min="8716" max="8716" width="48.140625" customWidth="1"/>
    <col min="8961" max="8961" width="16.28515625" customWidth="1"/>
    <col min="8962" max="8962" width="13.7109375" customWidth="1"/>
    <col min="8963" max="8963" width="9.28515625" customWidth="1"/>
    <col min="8964" max="8964" width="15.7109375" bestFit="1" customWidth="1"/>
    <col min="8965" max="8965" width="26.42578125" customWidth="1"/>
    <col min="8966" max="8966" width="5.7109375" customWidth="1"/>
    <col min="8967" max="8967" width="13.85546875" bestFit="1" customWidth="1"/>
    <col min="8968" max="8968" width="26.42578125" bestFit="1" customWidth="1"/>
    <col min="8969" max="8969" width="11.140625" bestFit="1" customWidth="1"/>
    <col min="8971" max="8971" width="11.140625" bestFit="1" customWidth="1"/>
    <col min="8972" max="8972" width="48.140625" customWidth="1"/>
    <col min="9217" max="9217" width="16.28515625" customWidth="1"/>
    <col min="9218" max="9218" width="13.7109375" customWidth="1"/>
    <col min="9219" max="9219" width="9.28515625" customWidth="1"/>
    <col min="9220" max="9220" width="15.7109375" bestFit="1" customWidth="1"/>
    <col min="9221" max="9221" width="26.42578125" customWidth="1"/>
    <col min="9222" max="9222" width="5.7109375" customWidth="1"/>
    <col min="9223" max="9223" width="13.85546875" bestFit="1" customWidth="1"/>
    <col min="9224" max="9224" width="26.42578125" bestFit="1" customWidth="1"/>
    <col min="9225" max="9225" width="11.140625" bestFit="1" customWidth="1"/>
    <col min="9227" max="9227" width="11.140625" bestFit="1" customWidth="1"/>
    <col min="9228" max="9228" width="48.140625" customWidth="1"/>
    <col min="9473" max="9473" width="16.28515625" customWidth="1"/>
    <col min="9474" max="9474" width="13.7109375" customWidth="1"/>
    <col min="9475" max="9475" width="9.28515625" customWidth="1"/>
    <col min="9476" max="9476" width="15.7109375" bestFit="1" customWidth="1"/>
    <col min="9477" max="9477" width="26.42578125" customWidth="1"/>
    <col min="9478" max="9478" width="5.7109375" customWidth="1"/>
    <col min="9479" max="9479" width="13.85546875" bestFit="1" customWidth="1"/>
    <col min="9480" max="9480" width="26.42578125" bestFit="1" customWidth="1"/>
    <col min="9481" max="9481" width="11.140625" bestFit="1" customWidth="1"/>
    <col min="9483" max="9483" width="11.140625" bestFit="1" customWidth="1"/>
    <col min="9484" max="9484" width="48.140625" customWidth="1"/>
    <col min="9729" max="9729" width="16.28515625" customWidth="1"/>
    <col min="9730" max="9730" width="13.7109375" customWidth="1"/>
    <col min="9731" max="9731" width="9.28515625" customWidth="1"/>
    <col min="9732" max="9732" width="15.7109375" bestFit="1" customWidth="1"/>
    <col min="9733" max="9733" width="26.42578125" customWidth="1"/>
    <col min="9734" max="9734" width="5.7109375" customWidth="1"/>
    <col min="9735" max="9735" width="13.85546875" bestFit="1" customWidth="1"/>
    <col min="9736" max="9736" width="26.42578125" bestFit="1" customWidth="1"/>
    <col min="9737" max="9737" width="11.140625" bestFit="1" customWidth="1"/>
    <col min="9739" max="9739" width="11.140625" bestFit="1" customWidth="1"/>
    <col min="9740" max="9740" width="48.140625" customWidth="1"/>
    <col min="9985" max="9985" width="16.28515625" customWidth="1"/>
    <col min="9986" max="9986" width="13.7109375" customWidth="1"/>
    <col min="9987" max="9987" width="9.28515625" customWidth="1"/>
    <col min="9988" max="9988" width="15.7109375" bestFit="1" customWidth="1"/>
    <col min="9989" max="9989" width="26.42578125" customWidth="1"/>
    <col min="9990" max="9990" width="5.7109375" customWidth="1"/>
    <col min="9991" max="9991" width="13.85546875" bestFit="1" customWidth="1"/>
    <col min="9992" max="9992" width="26.42578125" bestFit="1" customWidth="1"/>
    <col min="9993" max="9993" width="11.140625" bestFit="1" customWidth="1"/>
    <col min="9995" max="9995" width="11.140625" bestFit="1" customWidth="1"/>
    <col min="9996" max="9996" width="48.140625" customWidth="1"/>
    <col min="10241" max="10241" width="16.28515625" customWidth="1"/>
    <col min="10242" max="10242" width="13.7109375" customWidth="1"/>
    <col min="10243" max="10243" width="9.28515625" customWidth="1"/>
    <col min="10244" max="10244" width="15.7109375" bestFit="1" customWidth="1"/>
    <col min="10245" max="10245" width="26.42578125" customWidth="1"/>
    <col min="10246" max="10246" width="5.7109375" customWidth="1"/>
    <col min="10247" max="10247" width="13.85546875" bestFit="1" customWidth="1"/>
    <col min="10248" max="10248" width="26.42578125" bestFit="1" customWidth="1"/>
    <col min="10249" max="10249" width="11.140625" bestFit="1" customWidth="1"/>
    <col min="10251" max="10251" width="11.140625" bestFit="1" customWidth="1"/>
    <col min="10252" max="10252" width="48.140625" customWidth="1"/>
    <col min="10497" max="10497" width="16.28515625" customWidth="1"/>
    <col min="10498" max="10498" width="13.7109375" customWidth="1"/>
    <col min="10499" max="10499" width="9.28515625" customWidth="1"/>
    <col min="10500" max="10500" width="15.7109375" bestFit="1" customWidth="1"/>
    <col min="10501" max="10501" width="26.42578125" customWidth="1"/>
    <col min="10502" max="10502" width="5.7109375" customWidth="1"/>
    <col min="10503" max="10503" width="13.85546875" bestFit="1" customWidth="1"/>
    <col min="10504" max="10504" width="26.42578125" bestFit="1" customWidth="1"/>
    <col min="10505" max="10505" width="11.140625" bestFit="1" customWidth="1"/>
    <col min="10507" max="10507" width="11.140625" bestFit="1" customWidth="1"/>
    <col min="10508" max="10508" width="48.140625" customWidth="1"/>
    <col min="10753" max="10753" width="16.28515625" customWidth="1"/>
    <col min="10754" max="10754" width="13.7109375" customWidth="1"/>
    <col min="10755" max="10755" width="9.28515625" customWidth="1"/>
    <col min="10756" max="10756" width="15.7109375" bestFit="1" customWidth="1"/>
    <col min="10757" max="10757" width="26.42578125" customWidth="1"/>
    <col min="10758" max="10758" width="5.7109375" customWidth="1"/>
    <col min="10759" max="10759" width="13.85546875" bestFit="1" customWidth="1"/>
    <col min="10760" max="10760" width="26.42578125" bestFit="1" customWidth="1"/>
    <col min="10761" max="10761" width="11.140625" bestFit="1" customWidth="1"/>
    <col min="10763" max="10763" width="11.140625" bestFit="1" customWidth="1"/>
    <col min="10764" max="10764" width="48.140625" customWidth="1"/>
    <col min="11009" max="11009" width="16.28515625" customWidth="1"/>
    <col min="11010" max="11010" width="13.7109375" customWidth="1"/>
    <col min="11011" max="11011" width="9.28515625" customWidth="1"/>
    <col min="11012" max="11012" width="15.7109375" bestFit="1" customWidth="1"/>
    <col min="11013" max="11013" width="26.42578125" customWidth="1"/>
    <col min="11014" max="11014" width="5.7109375" customWidth="1"/>
    <col min="11015" max="11015" width="13.85546875" bestFit="1" customWidth="1"/>
    <col min="11016" max="11016" width="26.42578125" bestFit="1" customWidth="1"/>
    <col min="11017" max="11017" width="11.140625" bestFit="1" customWidth="1"/>
    <col min="11019" max="11019" width="11.140625" bestFit="1" customWidth="1"/>
    <col min="11020" max="11020" width="48.140625" customWidth="1"/>
    <col min="11265" max="11265" width="16.28515625" customWidth="1"/>
    <col min="11266" max="11266" width="13.7109375" customWidth="1"/>
    <col min="11267" max="11267" width="9.28515625" customWidth="1"/>
    <col min="11268" max="11268" width="15.7109375" bestFit="1" customWidth="1"/>
    <col min="11269" max="11269" width="26.42578125" customWidth="1"/>
    <col min="11270" max="11270" width="5.7109375" customWidth="1"/>
    <col min="11271" max="11271" width="13.85546875" bestFit="1" customWidth="1"/>
    <col min="11272" max="11272" width="26.42578125" bestFit="1" customWidth="1"/>
    <col min="11273" max="11273" width="11.140625" bestFit="1" customWidth="1"/>
    <col min="11275" max="11275" width="11.140625" bestFit="1" customWidth="1"/>
    <col min="11276" max="11276" width="48.140625" customWidth="1"/>
    <col min="11521" max="11521" width="16.28515625" customWidth="1"/>
    <col min="11522" max="11522" width="13.7109375" customWidth="1"/>
    <col min="11523" max="11523" width="9.28515625" customWidth="1"/>
    <col min="11524" max="11524" width="15.7109375" bestFit="1" customWidth="1"/>
    <col min="11525" max="11525" width="26.42578125" customWidth="1"/>
    <col min="11526" max="11526" width="5.7109375" customWidth="1"/>
    <col min="11527" max="11527" width="13.85546875" bestFit="1" customWidth="1"/>
    <col min="11528" max="11528" width="26.42578125" bestFit="1" customWidth="1"/>
    <col min="11529" max="11529" width="11.140625" bestFit="1" customWidth="1"/>
    <col min="11531" max="11531" width="11.140625" bestFit="1" customWidth="1"/>
    <col min="11532" max="11532" width="48.140625" customWidth="1"/>
    <col min="11777" max="11777" width="16.28515625" customWidth="1"/>
    <col min="11778" max="11778" width="13.7109375" customWidth="1"/>
    <col min="11779" max="11779" width="9.28515625" customWidth="1"/>
    <col min="11780" max="11780" width="15.7109375" bestFit="1" customWidth="1"/>
    <col min="11781" max="11781" width="26.42578125" customWidth="1"/>
    <col min="11782" max="11782" width="5.7109375" customWidth="1"/>
    <col min="11783" max="11783" width="13.85546875" bestFit="1" customWidth="1"/>
    <col min="11784" max="11784" width="26.42578125" bestFit="1" customWidth="1"/>
    <col min="11785" max="11785" width="11.140625" bestFit="1" customWidth="1"/>
    <col min="11787" max="11787" width="11.140625" bestFit="1" customWidth="1"/>
    <col min="11788" max="11788" width="48.140625" customWidth="1"/>
    <col min="12033" max="12033" width="16.28515625" customWidth="1"/>
    <col min="12034" max="12034" width="13.7109375" customWidth="1"/>
    <col min="12035" max="12035" width="9.28515625" customWidth="1"/>
    <col min="12036" max="12036" width="15.7109375" bestFit="1" customWidth="1"/>
    <col min="12037" max="12037" width="26.42578125" customWidth="1"/>
    <col min="12038" max="12038" width="5.7109375" customWidth="1"/>
    <col min="12039" max="12039" width="13.85546875" bestFit="1" customWidth="1"/>
    <col min="12040" max="12040" width="26.42578125" bestFit="1" customWidth="1"/>
    <col min="12041" max="12041" width="11.140625" bestFit="1" customWidth="1"/>
    <col min="12043" max="12043" width="11.140625" bestFit="1" customWidth="1"/>
    <col min="12044" max="12044" width="48.140625" customWidth="1"/>
    <col min="12289" max="12289" width="16.28515625" customWidth="1"/>
    <col min="12290" max="12290" width="13.7109375" customWidth="1"/>
    <col min="12291" max="12291" width="9.28515625" customWidth="1"/>
    <col min="12292" max="12292" width="15.7109375" bestFit="1" customWidth="1"/>
    <col min="12293" max="12293" width="26.42578125" customWidth="1"/>
    <col min="12294" max="12294" width="5.7109375" customWidth="1"/>
    <col min="12295" max="12295" width="13.85546875" bestFit="1" customWidth="1"/>
    <col min="12296" max="12296" width="26.42578125" bestFit="1" customWidth="1"/>
    <col min="12297" max="12297" width="11.140625" bestFit="1" customWidth="1"/>
    <col min="12299" max="12299" width="11.140625" bestFit="1" customWidth="1"/>
    <col min="12300" max="12300" width="48.140625" customWidth="1"/>
    <col min="12545" max="12545" width="16.28515625" customWidth="1"/>
    <col min="12546" max="12546" width="13.7109375" customWidth="1"/>
    <col min="12547" max="12547" width="9.28515625" customWidth="1"/>
    <col min="12548" max="12548" width="15.7109375" bestFit="1" customWidth="1"/>
    <col min="12549" max="12549" width="26.42578125" customWidth="1"/>
    <col min="12550" max="12550" width="5.7109375" customWidth="1"/>
    <col min="12551" max="12551" width="13.85546875" bestFit="1" customWidth="1"/>
    <col min="12552" max="12552" width="26.42578125" bestFit="1" customWidth="1"/>
    <col min="12553" max="12553" width="11.140625" bestFit="1" customWidth="1"/>
    <col min="12555" max="12555" width="11.140625" bestFit="1" customWidth="1"/>
    <col min="12556" max="12556" width="48.140625" customWidth="1"/>
    <col min="12801" max="12801" width="16.28515625" customWidth="1"/>
    <col min="12802" max="12802" width="13.7109375" customWidth="1"/>
    <col min="12803" max="12803" width="9.28515625" customWidth="1"/>
    <col min="12804" max="12804" width="15.7109375" bestFit="1" customWidth="1"/>
    <col min="12805" max="12805" width="26.42578125" customWidth="1"/>
    <col min="12806" max="12806" width="5.7109375" customWidth="1"/>
    <col min="12807" max="12807" width="13.85546875" bestFit="1" customWidth="1"/>
    <col min="12808" max="12808" width="26.42578125" bestFit="1" customWidth="1"/>
    <col min="12809" max="12809" width="11.140625" bestFit="1" customWidth="1"/>
    <col min="12811" max="12811" width="11.140625" bestFit="1" customWidth="1"/>
    <col min="12812" max="12812" width="48.140625" customWidth="1"/>
    <col min="13057" max="13057" width="16.28515625" customWidth="1"/>
    <col min="13058" max="13058" width="13.7109375" customWidth="1"/>
    <col min="13059" max="13059" width="9.28515625" customWidth="1"/>
    <col min="13060" max="13060" width="15.7109375" bestFit="1" customWidth="1"/>
    <col min="13061" max="13061" width="26.42578125" customWidth="1"/>
    <col min="13062" max="13062" width="5.7109375" customWidth="1"/>
    <col min="13063" max="13063" width="13.85546875" bestFit="1" customWidth="1"/>
    <col min="13064" max="13064" width="26.42578125" bestFit="1" customWidth="1"/>
    <col min="13065" max="13065" width="11.140625" bestFit="1" customWidth="1"/>
    <col min="13067" max="13067" width="11.140625" bestFit="1" customWidth="1"/>
    <col min="13068" max="13068" width="48.140625" customWidth="1"/>
    <col min="13313" max="13313" width="16.28515625" customWidth="1"/>
    <col min="13314" max="13314" width="13.7109375" customWidth="1"/>
    <col min="13315" max="13315" width="9.28515625" customWidth="1"/>
    <col min="13316" max="13316" width="15.7109375" bestFit="1" customWidth="1"/>
    <col min="13317" max="13317" width="26.42578125" customWidth="1"/>
    <col min="13318" max="13318" width="5.7109375" customWidth="1"/>
    <col min="13319" max="13319" width="13.85546875" bestFit="1" customWidth="1"/>
    <col min="13320" max="13320" width="26.42578125" bestFit="1" customWidth="1"/>
    <col min="13321" max="13321" width="11.140625" bestFit="1" customWidth="1"/>
    <col min="13323" max="13323" width="11.140625" bestFit="1" customWidth="1"/>
    <col min="13324" max="13324" width="48.140625" customWidth="1"/>
    <col min="13569" max="13569" width="16.28515625" customWidth="1"/>
    <col min="13570" max="13570" width="13.7109375" customWidth="1"/>
    <col min="13571" max="13571" width="9.28515625" customWidth="1"/>
    <col min="13572" max="13572" width="15.7109375" bestFit="1" customWidth="1"/>
    <col min="13573" max="13573" width="26.42578125" customWidth="1"/>
    <col min="13574" max="13574" width="5.7109375" customWidth="1"/>
    <col min="13575" max="13575" width="13.85546875" bestFit="1" customWidth="1"/>
    <col min="13576" max="13576" width="26.42578125" bestFit="1" customWidth="1"/>
    <col min="13577" max="13577" width="11.140625" bestFit="1" customWidth="1"/>
    <col min="13579" max="13579" width="11.140625" bestFit="1" customWidth="1"/>
    <col min="13580" max="13580" width="48.140625" customWidth="1"/>
    <col min="13825" max="13825" width="16.28515625" customWidth="1"/>
    <col min="13826" max="13826" width="13.7109375" customWidth="1"/>
    <col min="13827" max="13827" width="9.28515625" customWidth="1"/>
    <col min="13828" max="13828" width="15.7109375" bestFit="1" customWidth="1"/>
    <col min="13829" max="13829" width="26.42578125" customWidth="1"/>
    <col min="13830" max="13830" width="5.7109375" customWidth="1"/>
    <col min="13831" max="13831" width="13.85546875" bestFit="1" customWidth="1"/>
    <col min="13832" max="13832" width="26.42578125" bestFit="1" customWidth="1"/>
    <col min="13833" max="13833" width="11.140625" bestFit="1" customWidth="1"/>
    <col min="13835" max="13835" width="11.140625" bestFit="1" customWidth="1"/>
    <col min="13836" max="13836" width="48.140625" customWidth="1"/>
    <col min="14081" max="14081" width="16.28515625" customWidth="1"/>
    <col min="14082" max="14082" width="13.7109375" customWidth="1"/>
    <col min="14083" max="14083" width="9.28515625" customWidth="1"/>
    <col min="14084" max="14084" width="15.7109375" bestFit="1" customWidth="1"/>
    <col min="14085" max="14085" width="26.42578125" customWidth="1"/>
    <col min="14086" max="14086" width="5.7109375" customWidth="1"/>
    <col min="14087" max="14087" width="13.85546875" bestFit="1" customWidth="1"/>
    <col min="14088" max="14088" width="26.42578125" bestFit="1" customWidth="1"/>
    <col min="14089" max="14089" width="11.140625" bestFit="1" customWidth="1"/>
    <col min="14091" max="14091" width="11.140625" bestFit="1" customWidth="1"/>
    <col min="14092" max="14092" width="48.140625" customWidth="1"/>
    <col min="14337" max="14337" width="16.28515625" customWidth="1"/>
    <col min="14338" max="14338" width="13.7109375" customWidth="1"/>
    <col min="14339" max="14339" width="9.28515625" customWidth="1"/>
    <col min="14340" max="14340" width="15.7109375" bestFit="1" customWidth="1"/>
    <col min="14341" max="14341" width="26.42578125" customWidth="1"/>
    <col min="14342" max="14342" width="5.7109375" customWidth="1"/>
    <col min="14343" max="14343" width="13.85546875" bestFit="1" customWidth="1"/>
    <col min="14344" max="14344" width="26.42578125" bestFit="1" customWidth="1"/>
    <col min="14345" max="14345" width="11.140625" bestFit="1" customWidth="1"/>
    <col min="14347" max="14347" width="11.140625" bestFit="1" customWidth="1"/>
    <col min="14348" max="14348" width="48.140625" customWidth="1"/>
    <col min="14593" max="14593" width="16.28515625" customWidth="1"/>
    <col min="14594" max="14594" width="13.7109375" customWidth="1"/>
    <col min="14595" max="14595" width="9.28515625" customWidth="1"/>
    <col min="14596" max="14596" width="15.7109375" bestFit="1" customWidth="1"/>
    <col min="14597" max="14597" width="26.42578125" customWidth="1"/>
    <col min="14598" max="14598" width="5.7109375" customWidth="1"/>
    <col min="14599" max="14599" width="13.85546875" bestFit="1" customWidth="1"/>
    <col min="14600" max="14600" width="26.42578125" bestFit="1" customWidth="1"/>
    <col min="14601" max="14601" width="11.140625" bestFit="1" customWidth="1"/>
    <col min="14603" max="14603" width="11.140625" bestFit="1" customWidth="1"/>
    <col min="14604" max="14604" width="48.140625" customWidth="1"/>
    <col min="14849" max="14849" width="16.28515625" customWidth="1"/>
    <col min="14850" max="14850" width="13.7109375" customWidth="1"/>
    <col min="14851" max="14851" width="9.28515625" customWidth="1"/>
    <col min="14852" max="14852" width="15.7109375" bestFit="1" customWidth="1"/>
    <col min="14853" max="14853" width="26.42578125" customWidth="1"/>
    <col min="14854" max="14854" width="5.7109375" customWidth="1"/>
    <col min="14855" max="14855" width="13.85546875" bestFit="1" customWidth="1"/>
    <col min="14856" max="14856" width="26.42578125" bestFit="1" customWidth="1"/>
    <col min="14857" max="14857" width="11.140625" bestFit="1" customWidth="1"/>
    <col min="14859" max="14859" width="11.140625" bestFit="1" customWidth="1"/>
    <col min="14860" max="14860" width="48.140625" customWidth="1"/>
    <col min="15105" max="15105" width="16.28515625" customWidth="1"/>
    <col min="15106" max="15106" width="13.7109375" customWidth="1"/>
    <col min="15107" max="15107" width="9.28515625" customWidth="1"/>
    <col min="15108" max="15108" width="15.7109375" bestFit="1" customWidth="1"/>
    <col min="15109" max="15109" width="26.42578125" customWidth="1"/>
    <col min="15110" max="15110" width="5.7109375" customWidth="1"/>
    <col min="15111" max="15111" width="13.85546875" bestFit="1" customWidth="1"/>
    <col min="15112" max="15112" width="26.42578125" bestFit="1" customWidth="1"/>
    <col min="15113" max="15113" width="11.140625" bestFit="1" customWidth="1"/>
    <col min="15115" max="15115" width="11.140625" bestFit="1" customWidth="1"/>
    <col min="15116" max="15116" width="48.140625" customWidth="1"/>
    <col min="15361" max="15361" width="16.28515625" customWidth="1"/>
    <col min="15362" max="15362" width="13.7109375" customWidth="1"/>
    <col min="15363" max="15363" width="9.28515625" customWidth="1"/>
    <col min="15364" max="15364" width="15.7109375" bestFit="1" customWidth="1"/>
    <col min="15365" max="15365" width="26.42578125" customWidth="1"/>
    <col min="15366" max="15366" width="5.7109375" customWidth="1"/>
    <col min="15367" max="15367" width="13.85546875" bestFit="1" customWidth="1"/>
    <col min="15368" max="15368" width="26.42578125" bestFit="1" customWidth="1"/>
    <col min="15369" max="15369" width="11.140625" bestFit="1" customWidth="1"/>
    <col min="15371" max="15371" width="11.140625" bestFit="1" customWidth="1"/>
    <col min="15372" max="15372" width="48.140625" customWidth="1"/>
    <col min="15617" max="15617" width="16.28515625" customWidth="1"/>
    <col min="15618" max="15618" width="13.7109375" customWidth="1"/>
    <col min="15619" max="15619" width="9.28515625" customWidth="1"/>
    <col min="15620" max="15620" width="15.7109375" bestFit="1" customWidth="1"/>
    <col min="15621" max="15621" width="26.42578125" customWidth="1"/>
    <col min="15622" max="15622" width="5.7109375" customWidth="1"/>
    <col min="15623" max="15623" width="13.85546875" bestFit="1" customWidth="1"/>
    <col min="15624" max="15624" width="26.42578125" bestFit="1" customWidth="1"/>
    <col min="15625" max="15625" width="11.140625" bestFit="1" customWidth="1"/>
    <col min="15627" max="15627" width="11.140625" bestFit="1" customWidth="1"/>
    <col min="15628" max="15628" width="48.140625" customWidth="1"/>
    <col min="15873" max="15873" width="16.28515625" customWidth="1"/>
    <col min="15874" max="15874" width="13.7109375" customWidth="1"/>
    <col min="15875" max="15875" width="9.28515625" customWidth="1"/>
    <col min="15876" max="15876" width="15.7109375" bestFit="1" customWidth="1"/>
    <col min="15877" max="15877" width="26.42578125" customWidth="1"/>
    <col min="15878" max="15878" width="5.7109375" customWidth="1"/>
    <col min="15879" max="15879" width="13.85546875" bestFit="1" customWidth="1"/>
    <col min="15880" max="15880" width="26.42578125" bestFit="1" customWidth="1"/>
    <col min="15881" max="15881" width="11.140625" bestFit="1" customWidth="1"/>
    <col min="15883" max="15883" width="11.140625" bestFit="1" customWidth="1"/>
    <col min="15884" max="15884" width="48.140625" customWidth="1"/>
    <col min="16129" max="16129" width="16.28515625" customWidth="1"/>
    <col min="16130" max="16130" width="13.7109375" customWidth="1"/>
    <col min="16131" max="16131" width="9.28515625" customWidth="1"/>
    <col min="16132" max="16132" width="15.7109375" bestFit="1" customWidth="1"/>
    <col min="16133" max="16133" width="26.42578125" customWidth="1"/>
    <col min="16134" max="16134" width="5.7109375" customWidth="1"/>
    <col min="16135" max="16135" width="13.85546875" bestFit="1" customWidth="1"/>
    <col min="16136" max="16136" width="26.42578125" bestFit="1" customWidth="1"/>
    <col min="16137" max="16137" width="11.140625" bestFit="1" customWidth="1"/>
    <col min="16139" max="16139" width="11.140625" bestFit="1" customWidth="1"/>
    <col min="16140" max="16140" width="48.140625" customWidth="1"/>
  </cols>
  <sheetData>
    <row r="1" spans="1:7" ht="14.25" x14ac:dyDescent="0.2">
      <c r="A1" s="577"/>
      <c r="B1" s="577"/>
      <c r="C1" s="577"/>
      <c r="D1" s="577"/>
      <c r="E1" s="577"/>
      <c r="F1" s="577"/>
      <c r="G1" s="577"/>
    </row>
    <row r="2" spans="1:7" ht="14.25" x14ac:dyDescent="0.2">
      <c r="A2" s="312" t="s">
        <v>308</v>
      </c>
      <c r="B2" s="313"/>
      <c r="C2" s="313"/>
      <c r="D2" s="313"/>
      <c r="E2" s="313"/>
      <c r="F2" s="313"/>
      <c r="G2" s="313"/>
    </row>
    <row r="3" spans="1:7" ht="14.25" x14ac:dyDescent="0.2">
      <c r="A3" s="578" t="s">
        <v>317</v>
      </c>
      <c r="B3" s="578"/>
      <c r="C3" s="578"/>
      <c r="D3" s="578"/>
      <c r="E3" s="578"/>
      <c r="F3" s="578"/>
      <c r="G3" s="578"/>
    </row>
    <row r="5" spans="1:7" ht="13.5" thickBot="1" x14ac:dyDescent="0.25">
      <c r="A5" t="s">
        <v>318</v>
      </c>
      <c r="D5" s="314">
        <v>2000000</v>
      </c>
      <c r="E5" s="298" t="s">
        <v>319</v>
      </c>
    </row>
    <row r="6" spans="1:7" ht="13.5" thickTop="1" x14ac:dyDescent="0.2">
      <c r="A6" t="s">
        <v>320</v>
      </c>
      <c r="B6" s="315">
        <v>43220</v>
      </c>
      <c r="D6" s="316">
        <v>1850000</v>
      </c>
      <c r="E6" s="298"/>
    </row>
    <row r="7" spans="1:7" x14ac:dyDescent="0.2">
      <c r="A7" t="s">
        <v>321</v>
      </c>
      <c r="B7" t="s">
        <v>322</v>
      </c>
      <c r="D7" s="316">
        <v>50000</v>
      </c>
      <c r="E7" s="298"/>
    </row>
    <row r="8" spans="1:7" x14ac:dyDescent="0.2">
      <c r="A8" t="s">
        <v>323</v>
      </c>
      <c r="B8" t="s">
        <v>324</v>
      </c>
      <c r="D8" s="316">
        <v>50000</v>
      </c>
      <c r="E8" s="298"/>
    </row>
    <row r="9" spans="1:7" x14ac:dyDescent="0.2">
      <c r="A9" t="s">
        <v>325</v>
      </c>
      <c r="B9" t="s">
        <v>326</v>
      </c>
      <c r="D9" s="316">
        <v>50000</v>
      </c>
      <c r="E9" s="298"/>
    </row>
    <row r="10" spans="1:7" x14ac:dyDescent="0.2">
      <c r="G10" s="298"/>
    </row>
    <row r="11" spans="1:7" x14ac:dyDescent="0.2">
      <c r="D11" s="317"/>
      <c r="G11" s="298"/>
    </row>
    <row r="12" spans="1:7" x14ac:dyDescent="0.2">
      <c r="A12" s="298" t="s">
        <v>327</v>
      </c>
      <c r="D12" s="318">
        <f>(+D5/120)-0.33</f>
        <v>16666.336666666666</v>
      </c>
      <c r="E12" s="298" t="s">
        <v>328</v>
      </c>
    </row>
    <row r="13" spans="1:7" x14ac:dyDescent="0.2">
      <c r="D13" s="318"/>
    </row>
    <row r="14" spans="1:7" x14ac:dyDescent="0.2">
      <c r="A14" s="299" t="s">
        <v>329</v>
      </c>
      <c r="B14" s="304"/>
      <c r="C14" s="304"/>
      <c r="D14" s="319"/>
      <c r="E14" s="304"/>
    </row>
    <row r="15" spans="1:7" x14ac:dyDescent="0.2">
      <c r="A15" s="320" t="s">
        <v>330</v>
      </c>
      <c r="B15" s="321"/>
      <c r="C15" s="321"/>
      <c r="D15" s="322"/>
      <c r="E15" s="321"/>
      <c r="F15" s="323"/>
    </row>
    <row r="16" spans="1:7" x14ac:dyDescent="0.2">
      <c r="A16" s="324" t="s">
        <v>331</v>
      </c>
      <c r="B16" s="325" t="s">
        <v>332</v>
      </c>
      <c r="C16" s="325" t="s">
        <v>310</v>
      </c>
      <c r="D16" s="325" t="s">
        <v>333</v>
      </c>
      <c r="E16" s="325" t="s">
        <v>334</v>
      </c>
      <c r="F16" s="326"/>
    </row>
    <row r="17" spans="1:7" x14ac:dyDescent="0.2">
      <c r="A17" s="327">
        <v>75080</v>
      </c>
      <c r="B17" s="328">
        <v>9928</v>
      </c>
      <c r="C17" s="329" t="s">
        <v>335</v>
      </c>
      <c r="D17" s="330">
        <f>+D12</f>
        <v>16666.336666666666</v>
      </c>
      <c r="E17" s="330"/>
      <c r="F17" s="326"/>
      <c r="G17" s="298" t="s">
        <v>336</v>
      </c>
    </row>
    <row r="18" spans="1:7" x14ac:dyDescent="0.2">
      <c r="A18" s="327">
        <v>75080</v>
      </c>
      <c r="B18" s="328">
        <v>9928</v>
      </c>
      <c r="C18" s="329" t="s">
        <v>133</v>
      </c>
      <c r="D18" s="330"/>
      <c r="E18" s="330">
        <f>+D17</f>
        <v>16666.336666666666</v>
      </c>
      <c r="F18" s="326"/>
    </row>
    <row r="19" spans="1:7" x14ac:dyDescent="0.2">
      <c r="A19" s="327">
        <v>75080</v>
      </c>
      <c r="B19" s="328">
        <v>9928</v>
      </c>
      <c r="C19" s="329" t="s">
        <v>335</v>
      </c>
      <c r="D19" s="330">
        <f>19.8*2</f>
        <v>39.6</v>
      </c>
      <c r="E19" s="330"/>
      <c r="F19" s="326"/>
      <c r="G19" t="s">
        <v>337</v>
      </c>
    </row>
    <row r="20" spans="1:7" x14ac:dyDescent="0.2">
      <c r="A20" s="331">
        <v>75080</v>
      </c>
      <c r="B20" s="332">
        <v>9928</v>
      </c>
      <c r="C20" s="333" t="str">
        <f>+C18</f>
        <v>0182366</v>
      </c>
      <c r="D20" s="334"/>
      <c r="E20" s="334">
        <f>+D19</f>
        <v>39.6</v>
      </c>
      <c r="F20" s="335"/>
    </row>
    <row r="21" spans="1:7" x14ac:dyDescent="0.2">
      <c r="A21" s="304"/>
      <c r="B21" s="304"/>
      <c r="C21" s="304"/>
      <c r="D21" s="319"/>
      <c r="E21" s="304"/>
    </row>
    <row r="22" spans="1:7" x14ac:dyDescent="0.2">
      <c r="A22" s="299" t="s">
        <v>338</v>
      </c>
      <c r="B22" s="304"/>
      <c r="C22" s="304"/>
      <c r="D22" s="319"/>
      <c r="E22" s="304"/>
    </row>
    <row r="23" spans="1:7" x14ac:dyDescent="0.2">
      <c r="A23" s="415" t="s">
        <v>339</v>
      </c>
      <c r="B23" s="429"/>
      <c r="C23" s="429"/>
      <c r="D23" s="416"/>
      <c r="E23" s="429"/>
      <c r="F23" s="336"/>
    </row>
    <row r="24" spans="1:7" x14ac:dyDescent="0.2">
      <c r="A24" s="418" t="s">
        <v>331</v>
      </c>
      <c r="B24" s="401" t="s">
        <v>332</v>
      </c>
      <c r="C24" s="401" t="s">
        <v>310</v>
      </c>
      <c r="D24" s="431" t="s">
        <v>333</v>
      </c>
      <c r="E24" s="431" t="s">
        <v>334</v>
      </c>
      <c r="F24" s="337"/>
    </row>
    <row r="25" spans="1:7" x14ac:dyDescent="0.2">
      <c r="A25" s="420">
        <v>75080</v>
      </c>
      <c r="B25" s="421">
        <v>9928</v>
      </c>
      <c r="C25" s="422" t="s">
        <v>335</v>
      </c>
      <c r="D25" s="433">
        <f>E26</f>
        <v>16666.336666666666</v>
      </c>
      <c r="E25" s="434"/>
      <c r="F25" s="338"/>
    </row>
    <row r="26" spans="1:7" x14ac:dyDescent="0.2">
      <c r="A26" s="424">
        <v>75080</v>
      </c>
      <c r="B26" s="425">
        <v>9928</v>
      </c>
      <c r="C26" s="426" t="str">
        <f>+C20</f>
        <v>0182366</v>
      </c>
      <c r="D26" s="436"/>
      <c r="E26" s="437">
        <f>D12</f>
        <v>16666.336666666666</v>
      </c>
      <c r="F26" s="339"/>
    </row>
    <row r="27" spans="1:7" x14ac:dyDescent="0.2">
      <c r="A27" s="309"/>
      <c r="B27" s="370"/>
      <c r="C27" s="439"/>
      <c r="D27" s="304"/>
      <c r="E27" s="363"/>
    </row>
    <row r="28" spans="1:7" x14ac:dyDescent="0.2">
      <c r="A28" s="298"/>
      <c r="B28" s="298"/>
      <c r="C28" s="298"/>
      <c r="D28" s="341"/>
      <c r="E28" s="298"/>
      <c r="F28" s="298"/>
      <c r="G28" s="298"/>
    </row>
    <row r="29" spans="1:7" x14ac:dyDescent="0.2">
      <c r="A29" s="307"/>
      <c r="B29" s="342"/>
      <c r="C29" s="298"/>
      <c r="D29" s="298"/>
      <c r="E29" s="343" t="s">
        <v>340</v>
      </c>
      <c r="F29" s="298"/>
      <c r="G29" s="344" t="s">
        <v>341</v>
      </c>
    </row>
    <row r="30" spans="1:7" x14ac:dyDescent="0.2">
      <c r="A30" s="345" t="s">
        <v>342</v>
      </c>
      <c r="B30" s="342"/>
      <c r="C30" s="298"/>
      <c r="D30" s="298"/>
      <c r="E30" s="346" t="s">
        <v>343</v>
      </c>
      <c r="F30" s="298"/>
      <c r="G30" s="347" t="s">
        <v>344</v>
      </c>
    </row>
    <row r="31" spans="1:7" x14ac:dyDescent="0.2">
      <c r="A31" s="307"/>
      <c r="B31" s="342" t="s">
        <v>345</v>
      </c>
      <c r="C31" s="298"/>
      <c r="D31" s="341" t="s">
        <v>346</v>
      </c>
      <c r="E31" s="341"/>
      <c r="F31" s="298"/>
      <c r="G31" s="348">
        <f>+D6</f>
        <v>1850000</v>
      </c>
    </row>
    <row r="32" spans="1:7" x14ac:dyDescent="0.2">
      <c r="A32" s="342">
        <v>1</v>
      </c>
      <c r="B32" s="349">
        <v>43222</v>
      </c>
      <c r="C32" s="298"/>
      <c r="D32" s="350">
        <f>D17+D19</f>
        <v>16705.936666666665</v>
      </c>
      <c r="E32" s="341">
        <f>E31-D32</f>
        <v>-16705.936666666665</v>
      </c>
      <c r="F32" s="298"/>
      <c r="G32" s="348">
        <f>+G31-D32</f>
        <v>1833294.0633333332</v>
      </c>
    </row>
    <row r="33" spans="1:11" x14ac:dyDescent="0.2">
      <c r="A33" s="342">
        <v>2</v>
      </c>
      <c r="B33" s="349">
        <v>43253</v>
      </c>
      <c r="C33" s="298"/>
      <c r="D33" s="350">
        <f t="shared" ref="D33:D96" si="0">D$12</f>
        <v>16666.336666666666</v>
      </c>
      <c r="E33" s="341">
        <f t="shared" ref="E33:E90" si="1">E32-D33</f>
        <v>-33372.273333333331</v>
      </c>
      <c r="F33" s="298"/>
      <c r="G33" s="348">
        <f>+G32-D33+D7</f>
        <v>1866627.7266666666</v>
      </c>
      <c r="H33" t="s">
        <v>347</v>
      </c>
    </row>
    <row r="34" spans="1:11" x14ac:dyDescent="0.2">
      <c r="A34" s="342">
        <v>3</v>
      </c>
      <c r="B34" s="349">
        <v>43283</v>
      </c>
      <c r="C34" s="298"/>
      <c r="D34" s="341">
        <f t="shared" si="0"/>
        <v>16666.336666666666</v>
      </c>
      <c r="E34" s="341">
        <f t="shared" si="1"/>
        <v>-50038.61</v>
      </c>
      <c r="F34" s="298"/>
      <c r="G34" s="348">
        <f>+G33-D34</f>
        <v>1849961.39</v>
      </c>
    </row>
    <row r="35" spans="1:11" x14ac:dyDescent="0.2">
      <c r="A35" s="342">
        <v>4</v>
      </c>
      <c r="B35" s="349">
        <v>43314</v>
      </c>
      <c r="C35" s="298"/>
      <c r="D35" s="341">
        <f t="shared" si="0"/>
        <v>16666.336666666666</v>
      </c>
      <c r="E35" s="341">
        <f t="shared" si="1"/>
        <v>-66704.94666666667</v>
      </c>
      <c r="F35" s="298"/>
      <c r="G35" s="348">
        <f t="shared" ref="G35:G98" si="2">+G34-D35</f>
        <v>1833295.0533333332</v>
      </c>
    </row>
    <row r="36" spans="1:11" x14ac:dyDescent="0.2">
      <c r="A36" s="342">
        <v>5</v>
      </c>
      <c r="B36" s="349">
        <v>43345</v>
      </c>
      <c r="C36" s="298"/>
      <c r="D36" s="341">
        <f t="shared" si="0"/>
        <v>16666.336666666666</v>
      </c>
      <c r="E36" s="341">
        <f t="shared" si="1"/>
        <v>-83371.28333333334</v>
      </c>
      <c r="F36" s="298"/>
      <c r="G36" s="348">
        <f>+G35-D36+D8</f>
        <v>1866628.7166666666</v>
      </c>
      <c r="H36" t="s">
        <v>348</v>
      </c>
    </row>
    <row r="37" spans="1:11" x14ac:dyDescent="0.2">
      <c r="A37" s="342">
        <v>6</v>
      </c>
      <c r="B37" s="349">
        <v>43375</v>
      </c>
      <c r="C37" s="298"/>
      <c r="D37" s="350">
        <f t="shared" si="0"/>
        <v>16666.336666666666</v>
      </c>
      <c r="E37" s="341">
        <f t="shared" si="1"/>
        <v>-100037.62000000001</v>
      </c>
      <c r="F37" s="298"/>
      <c r="G37" s="348">
        <f t="shared" si="2"/>
        <v>1849962.38</v>
      </c>
    </row>
    <row r="38" spans="1:11" x14ac:dyDescent="0.2">
      <c r="A38" s="342">
        <v>7</v>
      </c>
      <c r="B38" s="349">
        <v>43406</v>
      </c>
      <c r="C38" s="298"/>
      <c r="D38" s="350">
        <f t="shared" si="0"/>
        <v>16666.336666666666</v>
      </c>
      <c r="E38" s="341">
        <f t="shared" si="1"/>
        <v>-116703.95666666668</v>
      </c>
      <c r="F38" s="298"/>
      <c r="G38" s="348">
        <f t="shared" si="2"/>
        <v>1833296.0433333332</v>
      </c>
    </row>
    <row r="39" spans="1:11" x14ac:dyDescent="0.2">
      <c r="A39" s="342">
        <v>8</v>
      </c>
      <c r="B39" s="349">
        <v>43436</v>
      </c>
      <c r="C39" s="298"/>
      <c r="D39" s="350">
        <f t="shared" si="0"/>
        <v>16666.336666666666</v>
      </c>
      <c r="E39" s="341">
        <f t="shared" si="1"/>
        <v>-133370.29333333333</v>
      </c>
      <c r="F39" s="298"/>
      <c r="G39" s="348">
        <f>+G38-D39+D9</f>
        <v>1866629.7066666665</v>
      </c>
      <c r="H39" t="s">
        <v>349</v>
      </c>
    </row>
    <row r="40" spans="1:11" x14ac:dyDescent="0.2">
      <c r="A40" s="342">
        <v>9</v>
      </c>
      <c r="B40" s="349">
        <v>43467</v>
      </c>
      <c r="C40" s="298"/>
      <c r="D40" s="350">
        <f t="shared" si="0"/>
        <v>16666.336666666666</v>
      </c>
      <c r="E40" s="341">
        <f t="shared" si="1"/>
        <v>-150036.63</v>
      </c>
      <c r="F40" s="298"/>
      <c r="G40" s="348">
        <f t="shared" si="2"/>
        <v>1849963.3699999999</v>
      </c>
    </row>
    <row r="41" spans="1:11" x14ac:dyDescent="0.2">
      <c r="A41" s="342">
        <v>10</v>
      </c>
      <c r="B41" s="349">
        <v>43498</v>
      </c>
      <c r="C41" s="298"/>
      <c r="D41" s="350">
        <f t="shared" si="0"/>
        <v>16666.336666666666</v>
      </c>
      <c r="E41" s="341">
        <f t="shared" si="1"/>
        <v>-166702.96666666667</v>
      </c>
      <c r="F41" s="298"/>
      <c r="G41" s="348">
        <f t="shared" si="2"/>
        <v>1833297.0333333332</v>
      </c>
    </row>
    <row r="42" spans="1:11" x14ac:dyDescent="0.2">
      <c r="A42" s="342">
        <v>11</v>
      </c>
      <c r="B42" s="349">
        <v>43526</v>
      </c>
      <c r="C42" s="298"/>
      <c r="D42" s="350">
        <f t="shared" si="0"/>
        <v>16666.336666666666</v>
      </c>
      <c r="E42" s="341">
        <f t="shared" si="1"/>
        <v>-183369.30333333334</v>
      </c>
      <c r="F42" s="298"/>
      <c r="G42" s="348">
        <f t="shared" si="2"/>
        <v>1816630.6966666665</v>
      </c>
    </row>
    <row r="43" spans="1:11" ht="13.5" thickBot="1" x14ac:dyDescent="0.25">
      <c r="A43" s="342">
        <v>12</v>
      </c>
      <c r="B43" s="349">
        <v>43557</v>
      </c>
      <c r="C43" s="298"/>
      <c r="D43" s="350">
        <f t="shared" si="0"/>
        <v>16666.336666666666</v>
      </c>
      <c r="E43" s="341">
        <f t="shared" si="1"/>
        <v>-200035.64</v>
      </c>
      <c r="F43" s="298"/>
      <c r="G43" s="348">
        <f t="shared" si="2"/>
        <v>1799964.3599999999</v>
      </c>
    </row>
    <row r="44" spans="1:11" x14ac:dyDescent="0.2">
      <c r="A44" s="342">
        <v>13</v>
      </c>
      <c r="B44" s="349">
        <v>43587</v>
      </c>
      <c r="C44" s="298"/>
      <c r="D44" s="350">
        <f t="shared" si="0"/>
        <v>16666.336666666666</v>
      </c>
      <c r="E44" s="341">
        <f t="shared" si="1"/>
        <v>-216701.97666666668</v>
      </c>
      <c r="F44" s="298"/>
      <c r="G44" s="348">
        <f t="shared" si="2"/>
        <v>1783298.0233333332</v>
      </c>
      <c r="H44" s="351" t="s">
        <v>350</v>
      </c>
      <c r="I44" s="352"/>
      <c r="J44" s="353"/>
      <c r="K44" s="354"/>
    </row>
    <row r="45" spans="1:11" ht="13.5" thickBot="1" x14ac:dyDescent="0.25">
      <c r="A45" s="303">
        <v>14</v>
      </c>
      <c r="B45" s="355">
        <v>43618</v>
      </c>
      <c r="C45" s="299"/>
      <c r="D45" s="350">
        <f t="shared" si="0"/>
        <v>16666.336666666666</v>
      </c>
      <c r="E45" s="350">
        <f t="shared" si="1"/>
        <v>-233368.31333333335</v>
      </c>
      <c r="F45" s="299"/>
      <c r="G45" s="356">
        <f t="shared" si="2"/>
        <v>1766631.6866666665</v>
      </c>
      <c r="H45" s="357">
        <v>1533318.2</v>
      </c>
      <c r="I45" s="358">
        <f>G45-H45</f>
        <v>233313.48666666658</v>
      </c>
      <c r="J45" s="359" t="s">
        <v>351</v>
      </c>
      <c r="K45" s="360"/>
    </row>
    <row r="46" spans="1:11" x14ac:dyDescent="0.2">
      <c r="A46" s="303">
        <v>15</v>
      </c>
      <c r="B46" s="355">
        <v>43648</v>
      </c>
      <c r="C46" s="299"/>
      <c r="D46" s="350">
        <f t="shared" si="0"/>
        <v>16666.336666666666</v>
      </c>
      <c r="E46" s="350">
        <f t="shared" si="1"/>
        <v>-250034.65000000002</v>
      </c>
      <c r="F46" s="299"/>
      <c r="G46" s="356">
        <f t="shared" si="2"/>
        <v>1749965.3499999999</v>
      </c>
    </row>
    <row r="47" spans="1:11" x14ac:dyDescent="0.2">
      <c r="A47" s="303">
        <v>16</v>
      </c>
      <c r="B47" s="355">
        <v>43679</v>
      </c>
      <c r="C47" s="299"/>
      <c r="D47" s="350">
        <f t="shared" si="0"/>
        <v>16666.336666666666</v>
      </c>
      <c r="E47" s="350">
        <f t="shared" si="1"/>
        <v>-266700.98666666669</v>
      </c>
      <c r="F47" s="299"/>
      <c r="G47" s="356">
        <f t="shared" si="2"/>
        <v>1733299.0133333332</v>
      </c>
    </row>
    <row r="48" spans="1:11" x14ac:dyDescent="0.2">
      <c r="A48" s="303">
        <v>17</v>
      </c>
      <c r="B48" s="355">
        <v>43710</v>
      </c>
      <c r="C48" s="299"/>
      <c r="D48" s="350">
        <f t="shared" si="0"/>
        <v>16666.336666666666</v>
      </c>
      <c r="E48" s="350">
        <f t="shared" si="1"/>
        <v>-283367.32333333336</v>
      </c>
      <c r="F48" s="299"/>
      <c r="G48" s="356">
        <f t="shared" si="2"/>
        <v>1716632.6766666665</v>
      </c>
    </row>
    <row r="49" spans="1:7" x14ac:dyDescent="0.2">
      <c r="A49" s="303">
        <v>18</v>
      </c>
      <c r="B49" s="355">
        <v>43740</v>
      </c>
      <c r="C49" s="299"/>
      <c r="D49" s="350">
        <f t="shared" si="0"/>
        <v>16666.336666666666</v>
      </c>
      <c r="E49" s="350">
        <f t="shared" si="1"/>
        <v>-300033.66000000003</v>
      </c>
      <c r="F49" s="299"/>
      <c r="G49" s="356">
        <f t="shared" si="2"/>
        <v>1699966.3399999999</v>
      </c>
    </row>
    <row r="50" spans="1:7" x14ac:dyDescent="0.2">
      <c r="A50" s="303">
        <v>19</v>
      </c>
      <c r="B50" s="355">
        <v>43771</v>
      </c>
      <c r="C50" s="299"/>
      <c r="D50" s="350">
        <f t="shared" si="0"/>
        <v>16666.336666666666</v>
      </c>
      <c r="E50" s="350">
        <f t="shared" si="1"/>
        <v>-316699.9966666667</v>
      </c>
      <c r="F50" s="299"/>
      <c r="G50" s="356">
        <f t="shared" si="2"/>
        <v>1683300.0033333332</v>
      </c>
    </row>
    <row r="51" spans="1:7" x14ac:dyDescent="0.2">
      <c r="A51" s="303">
        <v>20</v>
      </c>
      <c r="B51" s="355">
        <v>43801</v>
      </c>
      <c r="C51" s="299"/>
      <c r="D51" s="350">
        <f t="shared" si="0"/>
        <v>16666.336666666666</v>
      </c>
      <c r="E51" s="350">
        <f t="shared" si="1"/>
        <v>-333366.33333333337</v>
      </c>
      <c r="F51" s="299"/>
      <c r="G51" s="356">
        <f t="shared" si="2"/>
        <v>1666633.6666666665</v>
      </c>
    </row>
    <row r="52" spans="1:7" x14ac:dyDescent="0.2">
      <c r="A52" s="303">
        <v>21</v>
      </c>
      <c r="B52" s="355">
        <v>43832</v>
      </c>
      <c r="C52" s="299"/>
      <c r="D52" s="350">
        <f t="shared" si="0"/>
        <v>16666.336666666666</v>
      </c>
      <c r="E52" s="350">
        <f t="shared" si="1"/>
        <v>-350032.67000000004</v>
      </c>
      <c r="F52" s="299"/>
      <c r="G52" s="356">
        <f t="shared" si="2"/>
        <v>1649967.3299999998</v>
      </c>
    </row>
    <row r="53" spans="1:7" x14ac:dyDescent="0.2">
      <c r="A53" s="303">
        <v>22</v>
      </c>
      <c r="B53" s="355">
        <v>43863</v>
      </c>
      <c r="C53" s="299"/>
      <c r="D53" s="350">
        <f t="shared" si="0"/>
        <v>16666.336666666666</v>
      </c>
      <c r="E53" s="350">
        <f t="shared" si="1"/>
        <v>-366699.00666666671</v>
      </c>
      <c r="F53" s="299"/>
      <c r="G53" s="356">
        <f t="shared" si="2"/>
        <v>1633300.9933333332</v>
      </c>
    </row>
    <row r="54" spans="1:7" x14ac:dyDescent="0.2">
      <c r="A54" s="303">
        <v>23</v>
      </c>
      <c r="B54" s="355">
        <v>43892</v>
      </c>
      <c r="C54" s="299"/>
      <c r="D54" s="350">
        <f t="shared" si="0"/>
        <v>16666.336666666666</v>
      </c>
      <c r="E54" s="350">
        <f t="shared" si="1"/>
        <v>-383365.34333333338</v>
      </c>
      <c r="F54" s="299"/>
      <c r="G54" s="356">
        <f t="shared" si="2"/>
        <v>1616634.6566666665</v>
      </c>
    </row>
    <row r="55" spans="1:7" x14ac:dyDescent="0.2">
      <c r="A55" s="303">
        <v>24</v>
      </c>
      <c r="B55" s="355">
        <v>43923</v>
      </c>
      <c r="C55" s="299"/>
      <c r="D55" s="350">
        <f t="shared" si="0"/>
        <v>16666.336666666666</v>
      </c>
      <c r="E55" s="350">
        <f t="shared" si="1"/>
        <v>-400031.68000000005</v>
      </c>
      <c r="F55" s="299"/>
      <c r="G55" s="356">
        <f t="shared" si="2"/>
        <v>1599968.3199999998</v>
      </c>
    </row>
    <row r="56" spans="1:7" x14ac:dyDescent="0.2">
      <c r="A56" s="303">
        <v>25</v>
      </c>
      <c r="B56" s="355">
        <v>43953</v>
      </c>
      <c r="C56" s="299"/>
      <c r="D56" s="350">
        <f t="shared" si="0"/>
        <v>16666.336666666666</v>
      </c>
      <c r="E56" s="350">
        <f t="shared" si="1"/>
        <v>-416698.01666666672</v>
      </c>
      <c r="F56" s="299"/>
      <c r="G56" s="356">
        <f t="shared" si="2"/>
        <v>1583301.9833333332</v>
      </c>
    </row>
    <row r="57" spans="1:7" x14ac:dyDescent="0.2">
      <c r="A57" s="303">
        <v>26</v>
      </c>
      <c r="B57" s="355">
        <v>43984</v>
      </c>
      <c r="C57" s="299"/>
      <c r="D57" s="350">
        <f t="shared" si="0"/>
        <v>16666.336666666666</v>
      </c>
      <c r="E57" s="350">
        <f t="shared" si="1"/>
        <v>-433364.35333333339</v>
      </c>
      <c r="F57" s="299"/>
      <c r="G57" s="356">
        <f t="shared" si="2"/>
        <v>1566635.6466666665</v>
      </c>
    </row>
    <row r="58" spans="1:7" x14ac:dyDescent="0.2">
      <c r="A58" s="303">
        <v>27</v>
      </c>
      <c r="B58" s="355">
        <v>44014</v>
      </c>
      <c r="C58" s="299"/>
      <c r="D58" s="350">
        <f t="shared" si="0"/>
        <v>16666.336666666666</v>
      </c>
      <c r="E58" s="350">
        <f t="shared" si="1"/>
        <v>-450030.69000000006</v>
      </c>
      <c r="F58" s="299"/>
      <c r="G58" s="356">
        <f t="shared" si="2"/>
        <v>1549969.3099999998</v>
      </c>
    </row>
    <row r="59" spans="1:7" x14ac:dyDescent="0.2">
      <c r="A59" s="303">
        <v>28</v>
      </c>
      <c r="B59" s="355">
        <v>44045</v>
      </c>
      <c r="C59" s="299"/>
      <c r="D59" s="350">
        <f t="shared" si="0"/>
        <v>16666.336666666666</v>
      </c>
      <c r="E59" s="350">
        <f t="shared" si="1"/>
        <v>-466697.02666666673</v>
      </c>
      <c r="F59" s="299"/>
      <c r="G59" s="356">
        <f t="shared" si="2"/>
        <v>1533302.9733333332</v>
      </c>
    </row>
    <row r="60" spans="1:7" x14ac:dyDescent="0.2">
      <c r="A60" s="303">
        <v>29</v>
      </c>
      <c r="B60" s="355">
        <v>44076</v>
      </c>
      <c r="C60" s="299"/>
      <c r="D60" s="350">
        <f t="shared" si="0"/>
        <v>16666.336666666666</v>
      </c>
      <c r="E60" s="350">
        <f t="shared" si="1"/>
        <v>-483363.3633333334</v>
      </c>
      <c r="F60" s="299"/>
      <c r="G60" s="356">
        <f t="shared" si="2"/>
        <v>1516636.6366666665</v>
      </c>
    </row>
    <row r="61" spans="1:7" x14ac:dyDescent="0.2">
      <c r="A61" s="303">
        <v>30</v>
      </c>
      <c r="B61" s="355">
        <v>44106</v>
      </c>
      <c r="C61" s="299"/>
      <c r="D61" s="350">
        <f t="shared" si="0"/>
        <v>16666.336666666666</v>
      </c>
      <c r="E61" s="350">
        <f t="shared" si="1"/>
        <v>-500029.70000000007</v>
      </c>
      <c r="F61" s="299"/>
      <c r="G61" s="356">
        <f t="shared" si="2"/>
        <v>1499970.2999999998</v>
      </c>
    </row>
    <row r="62" spans="1:7" x14ac:dyDescent="0.2">
      <c r="A62" s="342">
        <v>31</v>
      </c>
      <c r="B62" s="349">
        <v>44137</v>
      </c>
      <c r="C62" s="298"/>
      <c r="D62" s="341">
        <f t="shared" si="0"/>
        <v>16666.336666666666</v>
      </c>
      <c r="E62" s="341">
        <f t="shared" si="1"/>
        <v>-516696.03666666674</v>
      </c>
      <c r="F62" s="298"/>
      <c r="G62" s="348">
        <f t="shared" si="2"/>
        <v>1483303.9633333331</v>
      </c>
    </row>
    <row r="63" spans="1:7" x14ac:dyDescent="0.2">
      <c r="A63" s="342">
        <v>32</v>
      </c>
      <c r="B63" s="349">
        <v>44167</v>
      </c>
      <c r="C63" s="298"/>
      <c r="D63" s="341">
        <f t="shared" si="0"/>
        <v>16666.336666666666</v>
      </c>
      <c r="E63" s="341">
        <f t="shared" si="1"/>
        <v>-533362.37333333341</v>
      </c>
      <c r="F63" s="298"/>
      <c r="G63" s="348">
        <f t="shared" si="2"/>
        <v>1466637.6266666665</v>
      </c>
    </row>
    <row r="64" spans="1:7" x14ac:dyDescent="0.2">
      <c r="A64" s="342">
        <v>33</v>
      </c>
      <c r="B64" s="349">
        <v>44198</v>
      </c>
      <c r="C64" s="298"/>
      <c r="D64" s="341">
        <f t="shared" si="0"/>
        <v>16666.336666666666</v>
      </c>
      <c r="E64" s="341">
        <f t="shared" si="1"/>
        <v>-550028.71000000008</v>
      </c>
      <c r="F64" s="298"/>
      <c r="G64" s="348">
        <f t="shared" si="2"/>
        <v>1449971.2899999998</v>
      </c>
    </row>
    <row r="65" spans="1:7" x14ac:dyDescent="0.2">
      <c r="A65" s="342">
        <v>34</v>
      </c>
      <c r="B65" s="349">
        <v>44229</v>
      </c>
      <c r="C65" s="298"/>
      <c r="D65" s="341">
        <f t="shared" si="0"/>
        <v>16666.336666666666</v>
      </c>
      <c r="E65" s="341">
        <f t="shared" si="1"/>
        <v>-566695.04666666675</v>
      </c>
      <c r="F65" s="298"/>
      <c r="G65" s="348">
        <f t="shared" si="2"/>
        <v>1433304.9533333331</v>
      </c>
    </row>
    <row r="66" spans="1:7" x14ac:dyDescent="0.2">
      <c r="A66" s="342">
        <v>35</v>
      </c>
      <c r="B66" s="349">
        <v>44257</v>
      </c>
      <c r="C66" s="298"/>
      <c r="D66" s="341">
        <f t="shared" si="0"/>
        <v>16666.336666666666</v>
      </c>
      <c r="E66" s="341">
        <f t="shared" si="1"/>
        <v>-583361.38333333342</v>
      </c>
      <c r="F66" s="298"/>
      <c r="G66" s="348">
        <f t="shared" si="2"/>
        <v>1416638.6166666665</v>
      </c>
    </row>
    <row r="67" spans="1:7" x14ac:dyDescent="0.2">
      <c r="A67" s="342">
        <v>36</v>
      </c>
      <c r="B67" s="349">
        <v>44288</v>
      </c>
      <c r="C67" s="298"/>
      <c r="D67" s="341">
        <f t="shared" si="0"/>
        <v>16666.336666666666</v>
      </c>
      <c r="E67" s="341">
        <f t="shared" si="1"/>
        <v>-600027.72000000009</v>
      </c>
      <c r="F67" s="298"/>
      <c r="G67" s="348">
        <f t="shared" si="2"/>
        <v>1399972.2799999998</v>
      </c>
    </row>
    <row r="68" spans="1:7" x14ac:dyDescent="0.2">
      <c r="A68" s="342">
        <v>37</v>
      </c>
      <c r="B68" s="349">
        <v>44318</v>
      </c>
      <c r="C68" s="298"/>
      <c r="D68" s="341">
        <f t="shared" si="0"/>
        <v>16666.336666666666</v>
      </c>
      <c r="E68" s="341">
        <f t="shared" si="1"/>
        <v>-616694.05666666676</v>
      </c>
      <c r="F68" s="298"/>
      <c r="G68" s="348">
        <f t="shared" si="2"/>
        <v>1383305.9433333331</v>
      </c>
    </row>
    <row r="69" spans="1:7" x14ac:dyDescent="0.2">
      <c r="A69" s="342">
        <v>38</v>
      </c>
      <c r="B69" s="349">
        <v>44349</v>
      </c>
      <c r="C69" s="298"/>
      <c r="D69" s="341">
        <f t="shared" si="0"/>
        <v>16666.336666666666</v>
      </c>
      <c r="E69" s="341">
        <f t="shared" si="1"/>
        <v>-633360.39333333343</v>
      </c>
      <c r="F69" s="298"/>
      <c r="G69" s="348">
        <f t="shared" si="2"/>
        <v>1366639.6066666665</v>
      </c>
    </row>
    <row r="70" spans="1:7" x14ac:dyDescent="0.2">
      <c r="A70" s="342">
        <v>39</v>
      </c>
      <c r="B70" s="349">
        <v>44379</v>
      </c>
      <c r="C70" s="298"/>
      <c r="D70" s="341">
        <f t="shared" si="0"/>
        <v>16666.336666666666</v>
      </c>
      <c r="E70" s="341">
        <f t="shared" si="1"/>
        <v>-650026.7300000001</v>
      </c>
      <c r="F70" s="298"/>
      <c r="G70" s="348">
        <f t="shared" si="2"/>
        <v>1349973.2699999998</v>
      </c>
    </row>
    <row r="71" spans="1:7" x14ac:dyDescent="0.2">
      <c r="A71" s="342">
        <v>40</v>
      </c>
      <c r="B71" s="349">
        <v>44410</v>
      </c>
      <c r="C71" s="298"/>
      <c r="D71" s="341">
        <f t="shared" si="0"/>
        <v>16666.336666666666</v>
      </c>
      <c r="E71" s="341">
        <f t="shared" si="1"/>
        <v>-666693.06666666677</v>
      </c>
      <c r="F71" s="298"/>
      <c r="G71" s="348">
        <f t="shared" si="2"/>
        <v>1333306.9333333331</v>
      </c>
    </row>
    <row r="72" spans="1:7" x14ac:dyDescent="0.2">
      <c r="A72" s="342">
        <v>41</v>
      </c>
      <c r="B72" s="349">
        <v>44441</v>
      </c>
      <c r="C72" s="298"/>
      <c r="D72" s="341">
        <f t="shared" si="0"/>
        <v>16666.336666666666</v>
      </c>
      <c r="E72" s="341">
        <f t="shared" si="1"/>
        <v>-683359.40333333344</v>
      </c>
      <c r="F72" s="298"/>
      <c r="G72" s="348">
        <f t="shared" si="2"/>
        <v>1316640.5966666664</v>
      </c>
    </row>
    <row r="73" spans="1:7" x14ac:dyDescent="0.2">
      <c r="A73" s="342">
        <v>42</v>
      </c>
      <c r="B73" s="349">
        <v>44471</v>
      </c>
      <c r="C73" s="298"/>
      <c r="D73" s="341">
        <f t="shared" si="0"/>
        <v>16666.336666666666</v>
      </c>
      <c r="E73" s="341">
        <f t="shared" si="1"/>
        <v>-700025.74000000011</v>
      </c>
      <c r="F73" s="298"/>
      <c r="G73" s="348">
        <f t="shared" si="2"/>
        <v>1299974.2599999998</v>
      </c>
    </row>
    <row r="74" spans="1:7" x14ac:dyDescent="0.2">
      <c r="A74" s="342">
        <v>43</v>
      </c>
      <c r="B74" s="349">
        <v>44502</v>
      </c>
      <c r="C74" s="298"/>
      <c r="D74" s="341">
        <f t="shared" si="0"/>
        <v>16666.336666666666</v>
      </c>
      <c r="E74" s="341">
        <f t="shared" si="1"/>
        <v>-716692.07666666678</v>
      </c>
      <c r="F74" s="298"/>
      <c r="G74" s="348">
        <f t="shared" si="2"/>
        <v>1283307.9233333331</v>
      </c>
    </row>
    <row r="75" spans="1:7" x14ac:dyDescent="0.2">
      <c r="A75" s="342">
        <v>44</v>
      </c>
      <c r="B75" s="349">
        <v>44532</v>
      </c>
      <c r="C75" s="298"/>
      <c r="D75" s="341">
        <f t="shared" si="0"/>
        <v>16666.336666666666</v>
      </c>
      <c r="E75" s="341">
        <f t="shared" si="1"/>
        <v>-733358.41333333345</v>
      </c>
      <c r="F75" s="298"/>
      <c r="G75" s="348">
        <f t="shared" si="2"/>
        <v>1266641.5866666664</v>
      </c>
    </row>
    <row r="76" spans="1:7" x14ac:dyDescent="0.2">
      <c r="A76" s="342">
        <v>45</v>
      </c>
      <c r="B76" s="349">
        <v>44563</v>
      </c>
      <c r="C76" s="298"/>
      <c r="D76" s="341">
        <f t="shared" si="0"/>
        <v>16666.336666666666</v>
      </c>
      <c r="E76" s="341">
        <f t="shared" si="1"/>
        <v>-750024.75000000012</v>
      </c>
      <c r="F76" s="298"/>
      <c r="G76" s="348">
        <f t="shared" si="2"/>
        <v>1249975.2499999998</v>
      </c>
    </row>
    <row r="77" spans="1:7" x14ac:dyDescent="0.2">
      <c r="A77" s="342">
        <v>46</v>
      </c>
      <c r="B77" s="349">
        <v>44594</v>
      </c>
      <c r="C77" s="298"/>
      <c r="D77" s="341">
        <f t="shared" si="0"/>
        <v>16666.336666666666</v>
      </c>
      <c r="E77" s="341">
        <f t="shared" si="1"/>
        <v>-766691.08666666679</v>
      </c>
      <c r="F77" s="298"/>
      <c r="G77" s="348">
        <f t="shared" si="2"/>
        <v>1233308.9133333331</v>
      </c>
    </row>
    <row r="78" spans="1:7" x14ac:dyDescent="0.2">
      <c r="A78" s="342">
        <v>47</v>
      </c>
      <c r="B78" s="349">
        <v>44622</v>
      </c>
      <c r="C78" s="298"/>
      <c r="D78" s="341">
        <f t="shared" si="0"/>
        <v>16666.336666666666</v>
      </c>
      <c r="E78" s="341">
        <f t="shared" si="1"/>
        <v>-783357.42333333346</v>
      </c>
      <c r="F78" s="298"/>
      <c r="G78" s="348">
        <f t="shared" si="2"/>
        <v>1216642.5766666664</v>
      </c>
    </row>
    <row r="79" spans="1:7" x14ac:dyDescent="0.2">
      <c r="A79" s="342">
        <v>48</v>
      </c>
      <c r="B79" s="349">
        <v>44653</v>
      </c>
      <c r="C79" s="298"/>
      <c r="D79" s="341">
        <f t="shared" si="0"/>
        <v>16666.336666666666</v>
      </c>
      <c r="E79" s="341">
        <f t="shared" si="1"/>
        <v>-800023.76000000013</v>
      </c>
      <c r="F79" s="298"/>
      <c r="G79" s="348">
        <f t="shared" si="2"/>
        <v>1199976.2399999998</v>
      </c>
    </row>
    <row r="80" spans="1:7" x14ac:dyDescent="0.2">
      <c r="A80" s="342">
        <v>49</v>
      </c>
      <c r="B80" s="349">
        <v>44683</v>
      </c>
      <c r="C80" s="298"/>
      <c r="D80" s="341">
        <f t="shared" si="0"/>
        <v>16666.336666666666</v>
      </c>
      <c r="E80" s="341">
        <f t="shared" si="1"/>
        <v>-816690.0966666668</v>
      </c>
      <c r="F80" s="298"/>
      <c r="G80" s="348">
        <f t="shared" si="2"/>
        <v>1183309.9033333331</v>
      </c>
    </row>
    <row r="81" spans="1:7" x14ac:dyDescent="0.2">
      <c r="A81" s="342">
        <v>50</v>
      </c>
      <c r="B81" s="349">
        <v>44714</v>
      </c>
      <c r="C81" s="298"/>
      <c r="D81" s="341">
        <f t="shared" si="0"/>
        <v>16666.336666666666</v>
      </c>
      <c r="E81" s="341">
        <f t="shared" si="1"/>
        <v>-833356.43333333347</v>
      </c>
      <c r="F81" s="298"/>
      <c r="G81" s="348">
        <f t="shared" si="2"/>
        <v>1166643.5666666664</v>
      </c>
    </row>
    <row r="82" spans="1:7" x14ac:dyDescent="0.2">
      <c r="A82" s="342">
        <v>51</v>
      </c>
      <c r="B82" s="349">
        <v>44744</v>
      </c>
      <c r="C82" s="298"/>
      <c r="D82" s="341">
        <f t="shared" si="0"/>
        <v>16666.336666666666</v>
      </c>
      <c r="E82" s="341">
        <f t="shared" si="1"/>
        <v>-850022.77000000014</v>
      </c>
      <c r="F82" s="298"/>
      <c r="G82" s="348">
        <f t="shared" si="2"/>
        <v>1149977.2299999997</v>
      </c>
    </row>
    <row r="83" spans="1:7" x14ac:dyDescent="0.2">
      <c r="A83" s="342">
        <v>52</v>
      </c>
      <c r="B83" s="349">
        <v>44775</v>
      </c>
      <c r="C83" s="298"/>
      <c r="D83" s="341">
        <f t="shared" si="0"/>
        <v>16666.336666666666</v>
      </c>
      <c r="E83" s="341">
        <f t="shared" si="1"/>
        <v>-866689.1066666668</v>
      </c>
      <c r="F83" s="298"/>
      <c r="G83" s="348">
        <f t="shared" si="2"/>
        <v>1133310.8933333331</v>
      </c>
    </row>
    <row r="84" spans="1:7" x14ac:dyDescent="0.2">
      <c r="A84" s="342">
        <v>53</v>
      </c>
      <c r="B84" s="349">
        <v>44806</v>
      </c>
      <c r="C84" s="298"/>
      <c r="D84" s="341">
        <f t="shared" si="0"/>
        <v>16666.336666666666</v>
      </c>
      <c r="E84" s="341">
        <f t="shared" si="1"/>
        <v>-883355.44333333347</v>
      </c>
      <c r="F84" s="298"/>
      <c r="G84" s="348">
        <f t="shared" si="2"/>
        <v>1116644.5566666664</v>
      </c>
    </row>
    <row r="85" spans="1:7" x14ac:dyDescent="0.2">
      <c r="A85" s="342">
        <v>54</v>
      </c>
      <c r="B85" s="349">
        <v>44836</v>
      </c>
      <c r="C85" s="298"/>
      <c r="D85" s="341">
        <f t="shared" si="0"/>
        <v>16666.336666666666</v>
      </c>
      <c r="E85" s="341">
        <f t="shared" si="1"/>
        <v>-900021.78000000014</v>
      </c>
      <c r="F85" s="298"/>
      <c r="G85" s="348">
        <f t="shared" si="2"/>
        <v>1099978.2199999997</v>
      </c>
    </row>
    <row r="86" spans="1:7" x14ac:dyDescent="0.2">
      <c r="A86" s="342">
        <v>55</v>
      </c>
      <c r="B86" s="349">
        <v>44867</v>
      </c>
      <c r="C86" s="298"/>
      <c r="D86" s="341">
        <f t="shared" si="0"/>
        <v>16666.336666666666</v>
      </c>
      <c r="E86" s="341">
        <f t="shared" si="1"/>
        <v>-916688.11666666681</v>
      </c>
      <c r="F86" s="298"/>
      <c r="G86" s="348">
        <f t="shared" si="2"/>
        <v>1083311.8833333331</v>
      </c>
    </row>
    <row r="87" spans="1:7" x14ac:dyDescent="0.2">
      <c r="A87" s="342">
        <v>56</v>
      </c>
      <c r="B87" s="349">
        <v>44897</v>
      </c>
      <c r="C87" s="298"/>
      <c r="D87" s="341">
        <f t="shared" si="0"/>
        <v>16666.336666666666</v>
      </c>
      <c r="E87" s="341">
        <f t="shared" si="1"/>
        <v>-933354.45333333348</v>
      </c>
      <c r="F87" s="298"/>
      <c r="G87" s="348">
        <f t="shared" si="2"/>
        <v>1066645.5466666664</v>
      </c>
    </row>
    <row r="88" spans="1:7" x14ac:dyDescent="0.2">
      <c r="A88" s="342">
        <v>57</v>
      </c>
      <c r="B88" s="349">
        <v>44928</v>
      </c>
      <c r="C88" s="298"/>
      <c r="D88" s="341">
        <f t="shared" si="0"/>
        <v>16666.336666666666</v>
      </c>
      <c r="E88" s="341">
        <f t="shared" si="1"/>
        <v>-950020.79000000015</v>
      </c>
      <c r="F88" s="298"/>
      <c r="G88" s="348">
        <f t="shared" si="2"/>
        <v>1049979.2099999997</v>
      </c>
    </row>
    <row r="89" spans="1:7" x14ac:dyDescent="0.2">
      <c r="A89" s="342">
        <v>58</v>
      </c>
      <c r="B89" s="349">
        <v>44959</v>
      </c>
      <c r="C89" s="298"/>
      <c r="D89" s="341">
        <f t="shared" si="0"/>
        <v>16666.336666666666</v>
      </c>
      <c r="E89" s="341">
        <f t="shared" si="1"/>
        <v>-966687.12666666682</v>
      </c>
      <c r="F89" s="298"/>
      <c r="G89" s="348">
        <f t="shared" si="2"/>
        <v>1033312.8733333331</v>
      </c>
    </row>
    <row r="90" spans="1:7" x14ac:dyDescent="0.2">
      <c r="A90" s="342">
        <v>59</v>
      </c>
      <c r="B90" s="349">
        <v>44987</v>
      </c>
      <c r="C90" s="298"/>
      <c r="D90" s="341">
        <f t="shared" si="0"/>
        <v>16666.336666666666</v>
      </c>
      <c r="E90" s="341">
        <f t="shared" si="1"/>
        <v>-983353.46333333349</v>
      </c>
      <c r="F90" s="298"/>
      <c r="G90" s="348">
        <f>+G89-D90</f>
        <v>1016646.5366666664</v>
      </c>
    </row>
    <row r="91" spans="1:7" x14ac:dyDescent="0.2">
      <c r="A91" s="342">
        <v>60</v>
      </c>
      <c r="B91" s="349">
        <v>45018</v>
      </c>
      <c r="C91" s="298"/>
      <c r="D91" s="341">
        <f t="shared" si="0"/>
        <v>16666.336666666666</v>
      </c>
      <c r="E91" s="341">
        <f>E90-D91</f>
        <v>-1000019.8000000002</v>
      </c>
      <c r="F91" s="298"/>
      <c r="G91" s="348">
        <f t="shared" si="2"/>
        <v>999980.19999999972</v>
      </c>
    </row>
    <row r="92" spans="1:7" x14ac:dyDescent="0.2">
      <c r="A92" s="342">
        <v>61</v>
      </c>
      <c r="B92" s="349">
        <v>45048</v>
      </c>
      <c r="C92" s="298"/>
      <c r="D92" s="341">
        <f t="shared" si="0"/>
        <v>16666.336666666666</v>
      </c>
      <c r="E92" s="341">
        <f t="shared" ref="E92:E151" si="3">E91-D92</f>
        <v>-1016686.1366666668</v>
      </c>
      <c r="F92" s="298"/>
      <c r="G92" s="348">
        <f t="shared" si="2"/>
        <v>983313.86333333305</v>
      </c>
    </row>
    <row r="93" spans="1:7" x14ac:dyDescent="0.2">
      <c r="A93" s="342">
        <v>62</v>
      </c>
      <c r="B93" s="349">
        <v>45079</v>
      </c>
      <c r="C93" s="298"/>
      <c r="D93" s="341">
        <f t="shared" si="0"/>
        <v>16666.336666666666</v>
      </c>
      <c r="E93" s="341">
        <f t="shared" si="3"/>
        <v>-1033352.4733333335</v>
      </c>
      <c r="F93" s="298"/>
      <c r="G93" s="348">
        <f t="shared" si="2"/>
        <v>966647.52666666638</v>
      </c>
    </row>
    <row r="94" spans="1:7" x14ac:dyDescent="0.2">
      <c r="A94" s="342">
        <v>63</v>
      </c>
      <c r="B94" s="349">
        <v>45109</v>
      </c>
      <c r="C94" s="298"/>
      <c r="D94" s="341">
        <f t="shared" si="0"/>
        <v>16666.336666666666</v>
      </c>
      <c r="E94" s="341">
        <f t="shared" si="3"/>
        <v>-1050018.81</v>
      </c>
      <c r="F94" s="298"/>
      <c r="G94" s="348">
        <f t="shared" si="2"/>
        <v>949981.18999999971</v>
      </c>
    </row>
    <row r="95" spans="1:7" x14ac:dyDescent="0.2">
      <c r="A95" s="342">
        <v>64</v>
      </c>
      <c r="B95" s="349">
        <v>45140</v>
      </c>
      <c r="C95" s="298"/>
      <c r="D95" s="341">
        <f t="shared" si="0"/>
        <v>16666.336666666666</v>
      </c>
      <c r="E95" s="341">
        <f t="shared" si="3"/>
        <v>-1066685.1466666667</v>
      </c>
      <c r="F95" s="298"/>
      <c r="G95" s="348">
        <f t="shared" si="2"/>
        <v>933314.85333333304</v>
      </c>
    </row>
    <row r="96" spans="1:7" x14ac:dyDescent="0.2">
      <c r="A96" s="342">
        <v>65</v>
      </c>
      <c r="B96" s="349">
        <v>45171</v>
      </c>
      <c r="C96" s="298"/>
      <c r="D96" s="341">
        <f t="shared" si="0"/>
        <v>16666.336666666666</v>
      </c>
      <c r="E96" s="341">
        <f t="shared" si="3"/>
        <v>-1083351.4833333334</v>
      </c>
      <c r="F96" s="298"/>
      <c r="G96" s="348">
        <f t="shared" si="2"/>
        <v>916648.51666666637</v>
      </c>
    </row>
    <row r="97" spans="1:7" x14ac:dyDescent="0.2">
      <c r="A97" s="342">
        <v>66</v>
      </c>
      <c r="B97" s="349">
        <v>45201</v>
      </c>
      <c r="C97" s="298"/>
      <c r="D97" s="341">
        <f t="shared" ref="D97:D151" si="4">D$12</f>
        <v>16666.336666666666</v>
      </c>
      <c r="E97" s="341">
        <f t="shared" si="3"/>
        <v>-1100017.82</v>
      </c>
      <c r="F97" s="298"/>
      <c r="G97" s="348">
        <f t="shared" si="2"/>
        <v>899982.1799999997</v>
      </c>
    </row>
    <row r="98" spans="1:7" x14ac:dyDescent="0.2">
      <c r="A98" s="342">
        <v>67</v>
      </c>
      <c r="B98" s="349">
        <v>45232</v>
      </c>
      <c r="C98" s="298"/>
      <c r="D98" s="341">
        <f t="shared" si="4"/>
        <v>16666.336666666666</v>
      </c>
      <c r="E98" s="341">
        <f t="shared" si="3"/>
        <v>-1116684.1566666667</v>
      </c>
      <c r="F98" s="298"/>
      <c r="G98" s="348">
        <f t="shared" si="2"/>
        <v>883315.84333333303</v>
      </c>
    </row>
    <row r="99" spans="1:7" x14ac:dyDescent="0.2">
      <c r="A99" s="342">
        <v>68</v>
      </c>
      <c r="B99" s="349">
        <v>45262</v>
      </c>
      <c r="C99" s="298"/>
      <c r="D99" s="341">
        <f t="shared" si="4"/>
        <v>16666.336666666666</v>
      </c>
      <c r="E99" s="341">
        <f t="shared" si="3"/>
        <v>-1133350.4933333334</v>
      </c>
      <c r="F99" s="298"/>
      <c r="G99" s="348">
        <f t="shared" ref="G99:G151" si="5">+G98-D99</f>
        <v>866649.50666666636</v>
      </c>
    </row>
    <row r="100" spans="1:7" x14ac:dyDescent="0.2">
      <c r="A100" s="342">
        <v>69</v>
      </c>
      <c r="B100" s="355">
        <v>45293</v>
      </c>
      <c r="C100" s="298"/>
      <c r="D100" s="341">
        <f t="shared" si="4"/>
        <v>16666.336666666666</v>
      </c>
      <c r="E100" s="341">
        <f t="shared" si="3"/>
        <v>-1150016.83</v>
      </c>
      <c r="F100" s="298"/>
      <c r="G100" s="348">
        <f t="shared" si="5"/>
        <v>849983.16999999969</v>
      </c>
    </row>
    <row r="101" spans="1:7" x14ac:dyDescent="0.2">
      <c r="A101" s="342">
        <v>70</v>
      </c>
      <c r="B101" s="355">
        <v>45324</v>
      </c>
      <c r="C101" s="298"/>
      <c r="D101" s="341">
        <f t="shared" si="4"/>
        <v>16666.336666666666</v>
      </c>
      <c r="E101" s="341">
        <f t="shared" si="3"/>
        <v>-1166683.1666666667</v>
      </c>
      <c r="F101" s="298"/>
      <c r="G101" s="348">
        <f t="shared" si="5"/>
        <v>833316.83333333302</v>
      </c>
    </row>
    <row r="102" spans="1:7" x14ac:dyDescent="0.2">
      <c r="A102" s="342">
        <v>71</v>
      </c>
      <c r="B102" s="355">
        <v>45353</v>
      </c>
      <c r="C102" s="298"/>
      <c r="D102" s="341">
        <f t="shared" si="4"/>
        <v>16666.336666666666</v>
      </c>
      <c r="E102" s="341">
        <f t="shared" si="3"/>
        <v>-1183349.5033333334</v>
      </c>
      <c r="F102" s="298"/>
      <c r="G102" s="348">
        <f t="shared" si="5"/>
        <v>816650.49666666635</v>
      </c>
    </row>
    <row r="103" spans="1:7" x14ac:dyDescent="0.2">
      <c r="A103" s="342">
        <v>72</v>
      </c>
      <c r="B103" s="355">
        <v>45384</v>
      </c>
      <c r="C103" s="298"/>
      <c r="D103" s="341">
        <f t="shared" si="4"/>
        <v>16666.336666666666</v>
      </c>
      <c r="E103" s="341">
        <f t="shared" si="3"/>
        <v>-1200015.8400000001</v>
      </c>
      <c r="F103" s="298"/>
      <c r="G103" s="348">
        <f t="shared" si="5"/>
        <v>799984.15999999968</v>
      </c>
    </row>
    <row r="104" spans="1:7" x14ac:dyDescent="0.2">
      <c r="A104" s="342">
        <v>73</v>
      </c>
      <c r="B104" s="355">
        <v>45414</v>
      </c>
      <c r="C104" s="298"/>
      <c r="D104" s="341">
        <f t="shared" si="4"/>
        <v>16666.336666666666</v>
      </c>
      <c r="E104" s="341">
        <f t="shared" si="3"/>
        <v>-1216682.1766666668</v>
      </c>
      <c r="F104" s="298"/>
      <c r="G104" s="348">
        <f t="shared" si="5"/>
        <v>783317.82333333301</v>
      </c>
    </row>
    <row r="105" spans="1:7" x14ac:dyDescent="0.2">
      <c r="A105" s="342">
        <v>74</v>
      </c>
      <c r="B105" s="355">
        <v>45445</v>
      </c>
      <c r="C105" s="298"/>
      <c r="D105" s="341">
        <f t="shared" si="4"/>
        <v>16666.336666666666</v>
      </c>
      <c r="E105" s="341">
        <f t="shared" si="3"/>
        <v>-1233348.5133333334</v>
      </c>
      <c r="F105" s="298"/>
      <c r="G105" s="348">
        <f t="shared" si="5"/>
        <v>766651.48666666634</v>
      </c>
    </row>
    <row r="106" spans="1:7" x14ac:dyDescent="0.2">
      <c r="A106" s="342">
        <v>75</v>
      </c>
      <c r="B106" s="355">
        <v>45475</v>
      </c>
      <c r="C106" s="298"/>
      <c r="D106" s="341">
        <f t="shared" si="4"/>
        <v>16666.336666666666</v>
      </c>
      <c r="E106" s="341">
        <f t="shared" si="3"/>
        <v>-1250014.8500000001</v>
      </c>
      <c r="F106" s="298"/>
      <c r="G106" s="348">
        <f t="shared" si="5"/>
        <v>749985.14999999967</v>
      </c>
    </row>
    <row r="107" spans="1:7" x14ac:dyDescent="0.2">
      <c r="A107" s="342">
        <v>76</v>
      </c>
      <c r="B107" s="355">
        <v>45506</v>
      </c>
      <c r="C107" s="298"/>
      <c r="D107" s="341">
        <f t="shared" si="4"/>
        <v>16666.336666666666</v>
      </c>
      <c r="E107" s="341">
        <f t="shared" si="3"/>
        <v>-1266681.1866666668</v>
      </c>
      <c r="F107" s="298"/>
      <c r="G107" s="348">
        <f t="shared" si="5"/>
        <v>733318.813333333</v>
      </c>
    </row>
    <row r="108" spans="1:7" x14ac:dyDescent="0.2">
      <c r="A108" s="342">
        <v>77</v>
      </c>
      <c r="B108" s="355">
        <v>45537</v>
      </c>
      <c r="C108" s="298"/>
      <c r="D108" s="341">
        <f t="shared" si="4"/>
        <v>16666.336666666666</v>
      </c>
      <c r="E108" s="341">
        <f t="shared" si="3"/>
        <v>-1283347.5233333334</v>
      </c>
      <c r="F108" s="298"/>
      <c r="G108" s="348">
        <f t="shared" si="5"/>
        <v>716652.47666666633</v>
      </c>
    </row>
    <row r="109" spans="1:7" x14ac:dyDescent="0.2">
      <c r="A109" s="342">
        <v>78</v>
      </c>
      <c r="B109" s="355">
        <v>45567</v>
      </c>
      <c r="C109" s="298"/>
      <c r="D109" s="341">
        <f t="shared" si="4"/>
        <v>16666.336666666666</v>
      </c>
      <c r="E109" s="341">
        <f t="shared" si="3"/>
        <v>-1300013.8600000001</v>
      </c>
      <c r="F109" s="298"/>
      <c r="G109" s="348">
        <f t="shared" si="5"/>
        <v>699986.13999999966</v>
      </c>
    </row>
    <row r="110" spans="1:7" x14ac:dyDescent="0.2">
      <c r="A110" s="342">
        <v>79</v>
      </c>
      <c r="B110" s="355">
        <v>45598</v>
      </c>
      <c r="C110" s="298"/>
      <c r="D110" s="341">
        <f t="shared" si="4"/>
        <v>16666.336666666666</v>
      </c>
      <c r="E110" s="341">
        <f t="shared" si="3"/>
        <v>-1316680.1966666668</v>
      </c>
      <c r="F110" s="298"/>
      <c r="G110" s="348">
        <f t="shared" si="5"/>
        <v>683319.80333333299</v>
      </c>
    </row>
    <row r="111" spans="1:7" x14ac:dyDescent="0.2">
      <c r="A111" s="342">
        <v>80</v>
      </c>
      <c r="B111" s="355">
        <v>45628</v>
      </c>
      <c r="C111" s="298"/>
      <c r="D111" s="341">
        <f t="shared" si="4"/>
        <v>16666.336666666666</v>
      </c>
      <c r="E111" s="341">
        <f t="shared" si="3"/>
        <v>-1333346.5333333334</v>
      </c>
      <c r="F111" s="298"/>
      <c r="G111" s="348">
        <f t="shared" si="5"/>
        <v>666653.46666666633</v>
      </c>
    </row>
    <row r="112" spans="1:7" x14ac:dyDescent="0.2">
      <c r="A112" s="342">
        <v>81</v>
      </c>
      <c r="B112" s="349">
        <v>228280</v>
      </c>
      <c r="C112" s="298"/>
      <c r="D112" s="341">
        <f t="shared" si="4"/>
        <v>16666.336666666666</v>
      </c>
      <c r="E112" s="341">
        <f t="shared" si="3"/>
        <v>-1350012.87</v>
      </c>
      <c r="F112" s="298"/>
      <c r="G112" s="348">
        <f t="shared" si="5"/>
        <v>649987.12999999966</v>
      </c>
    </row>
    <row r="113" spans="1:7" x14ac:dyDescent="0.2">
      <c r="A113" s="342">
        <v>82</v>
      </c>
      <c r="B113" s="349">
        <v>228311</v>
      </c>
      <c r="C113" s="298"/>
      <c r="D113" s="341">
        <f t="shared" si="4"/>
        <v>16666.336666666666</v>
      </c>
      <c r="E113" s="341">
        <f t="shared" si="3"/>
        <v>-1366679.2066666668</v>
      </c>
      <c r="F113" s="298"/>
      <c r="G113" s="348">
        <f t="shared" si="5"/>
        <v>633320.79333333299</v>
      </c>
    </row>
    <row r="114" spans="1:7" x14ac:dyDescent="0.2">
      <c r="A114" s="342">
        <v>83</v>
      </c>
      <c r="B114" s="349">
        <v>228339</v>
      </c>
      <c r="C114" s="298"/>
      <c r="D114" s="341">
        <f t="shared" si="4"/>
        <v>16666.336666666666</v>
      </c>
      <c r="E114" s="341">
        <f t="shared" si="3"/>
        <v>-1383345.5433333335</v>
      </c>
      <c r="F114" s="298"/>
      <c r="G114" s="348">
        <f t="shared" si="5"/>
        <v>616654.45666666632</v>
      </c>
    </row>
    <row r="115" spans="1:7" x14ac:dyDescent="0.2">
      <c r="A115" s="342">
        <v>84</v>
      </c>
      <c r="B115" s="349">
        <v>228370</v>
      </c>
      <c r="C115" s="298"/>
      <c r="D115" s="341">
        <f t="shared" si="4"/>
        <v>16666.336666666666</v>
      </c>
      <c r="E115" s="341">
        <f t="shared" si="3"/>
        <v>-1400011.8800000001</v>
      </c>
      <c r="F115" s="298"/>
      <c r="G115" s="348">
        <f t="shared" si="5"/>
        <v>599988.11999999965</v>
      </c>
    </row>
    <row r="116" spans="1:7" x14ac:dyDescent="0.2">
      <c r="A116" s="342">
        <v>85</v>
      </c>
      <c r="B116" s="349">
        <v>228400</v>
      </c>
      <c r="C116" s="298"/>
      <c r="D116" s="341">
        <f t="shared" si="4"/>
        <v>16666.336666666666</v>
      </c>
      <c r="E116" s="341">
        <f t="shared" si="3"/>
        <v>-1416678.2166666668</v>
      </c>
      <c r="F116" s="298"/>
      <c r="G116" s="348">
        <f t="shared" si="5"/>
        <v>583321.78333333298</v>
      </c>
    </row>
    <row r="117" spans="1:7" x14ac:dyDescent="0.2">
      <c r="A117" s="342">
        <v>86</v>
      </c>
      <c r="B117" s="349">
        <v>228431</v>
      </c>
      <c r="C117" s="298"/>
      <c r="D117" s="341">
        <f t="shared" si="4"/>
        <v>16666.336666666666</v>
      </c>
      <c r="E117" s="341">
        <f t="shared" si="3"/>
        <v>-1433344.5533333335</v>
      </c>
      <c r="F117" s="298"/>
      <c r="G117" s="348">
        <f t="shared" si="5"/>
        <v>566655.44666666631</v>
      </c>
    </row>
    <row r="118" spans="1:7" x14ac:dyDescent="0.2">
      <c r="A118" s="342">
        <v>87</v>
      </c>
      <c r="B118" s="349">
        <v>228461</v>
      </c>
      <c r="C118" s="298"/>
      <c r="D118" s="341">
        <f t="shared" si="4"/>
        <v>16666.336666666666</v>
      </c>
      <c r="E118" s="341">
        <f t="shared" si="3"/>
        <v>-1450010.8900000001</v>
      </c>
      <c r="F118" s="298"/>
      <c r="G118" s="348">
        <f t="shared" si="5"/>
        <v>549989.10999999964</v>
      </c>
    </row>
    <row r="119" spans="1:7" x14ac:dyDescent="0.2">
      <c r="A119" s="342">
        <v>88</v>
      </c>
      <c r="B119" s="349">
        <v>228492</v>
      </c>
      <c r="C119" s="298"/>
      <c r="D119" s="341">
        <f t="shared" si="4"/>
        <v>16666.336666666666</v>
      </c>
      <c r="E119" s="341">
        <f t="shared" si="3"/>
        <v>-1466677.2266666668</v>
      </c>
      <c r="F119" s="298"/>
      <c r="G119" s="348">
        <f t="shared" si="5"/>
        <v>533322.77333333297</v>
      </c>
    </row>
    <row r="120" spans="1:7" x14ac:dyDescent="0.2">
      <c r="A120" s="342">
        <v>89</v>
      </c>
      <c r="B120" s="349">
        <v>228523</v>
      </c>
      <c r="C120" s="298"/>
      <c r="D120" s="341">
        <f t="shared" si="4"/>
        <v>16666.336666666666</v>
      </c>
      <c r="E120" s="341">
        <f t="shared" si="3"/>
        <v>-1483343.5633333335</v>
      </c>
      <c r="F120" s="298"/>
      <c r="G120" s="348">
        <f t="shared" si="5"/>
        <v>516656.4366666663</v>
      </c>
    </row>
    <row r="121" spans="1:7" x14ac:dyDescent="0.2">
      <c r="A121" s="342">
        <v>90</v>
      </c>
      <c r="B121" s="349">
        <v>228553</v>
      </c>
      <c r="C121" s="298"/>
      <c r="D121" s="341">
        <f t="shared" si="4"/>
        <v>16666.336666666666</v>
      </c>
      <c r="E121" s="341">
        <f t="shared" si="3"/>
        <v>-1500009.9000000001</v>
      </c>
      <c r="F121" s="298"/>
      <c r="G121" s="348">
        <f t="shared" si="5"/>
        <v>499990.09999999963</v>
      </c>
    </row>
    <row r="122" spans="1:7" x14ac:dyDescent="0.2">
      <c r="A122" s="342">
        <v>91</v>
      </c>
      <c r="B122" s="349">
        <v>228584</v>
      </c>
      <c r="C122" s="298"/>
      <c r="D122" s="341">
        <f t="shared" si="4"/>
        <v>16666.336666666666</v>
      </c>
      <c r="E122" s="341">
        <f t="shared" si="3"/>
        <v>-1516676.2366666668</v>
      </c>
      <c r="F122" s="298"/>
      <c r="G122" s="348">
        <f t="shared" si="5"/>
        <v>483323.76333333296</v>
      </c>
    </row>
    <row r="123" spans="1:7" x14ac:dyDescent="0.2">
      <c r="A123" s="342">
        <v>92</v>
      </c>
      <c r="B123" s="349">
        <v>228614</v>
      </c>
      <c r="C123" s="298"/>
      <c r="D123" s="341">
        <f t="shared" si="4"/>
        <v>16666.336666666666</v>
      </c>
      <c r="E123" s="341">
        <f t="shared" si="3"/>
        <v>-1533342.5733333335</v>
      </c>
      <c r="F123" s="298"/>
      <c r="G123" s="348">
        <f t="shared" si="5"/>
        <v>466657.42666666629</v>
      </c>
    </row>
    <row r="124" spans="1:7" x14ac:dyDescent="0.2">
      <c r="A124" s="342">
        <v>93</v>
      </c>
      <c r="B124" s="349">
        <v>46024</v>
      </c>
      <c r="C124" s="298"/>
      <c r="D124" s="341">
        <f t="shared" si="4"/>
        <v>16666.336666666666</v>
      </c>
      <c r="E124" s="341">
        <f t="shared" si="3"/>
        <v>-1550008.9100000001</v>
      </c>
      <c r="F124" s="298"/>
      <c r="G124" s="348">
        <f t="shared" si="5"/>
        <v>449991.08999999962</v>
      </c>
    </row>
    <row r="125" spans="1:7" x14ac:dyDescent="0.2">
      <c r="A125" s="342">
        <v>94</v>
      </c>
      <c r="B125" s="349">
        <v>46055</v>
      </c>
      <c r="C125" s="298"/>
      <c r="D125" s="341">
        <f t="shared" si="4"/>
        <v>16666.336666666666</v>
      </c>
      <c r="E125" s="341">
        <f t="shared" si="3"/>
        <v>-1566675.2466666668</v>
      </c>
      <c r="F125" s="298"/>
      <c r="G125" s="348">
        <f t="shared" si="5"/>
        <v>433324.75333333295</v>
      </c>
    </row>
    <row r="126" spans="1:7" x14ac:dyDescent="0.2">
      <c r="A126" s="342">
        <v>95</v>
      </c>
      <c r="B126" s="349">
        <v>46083</v>
      </c>
      <c r="C126" s="298"/>
      <c r="D126" s="341">
        <f t="shared" si="4"/>
        <v>16666.336666666666</v>
      </c>
      <c r="E126" s="341">
        <f t="shared" si="3"/>
        <v>-1583341.5833333335</v>
      </c>
      <c r="F126" s="298"/>
      <c r="G126" s="348">
        <f t="shared" si="5"/>
        <v>416658.41666666628</v>
      </c>
    </row>
    <row r="127" spans="1:7" x14ac:dyDescent="0.2">
      <c r="A127" s="342">
        <v>96</v>
      </c>
      <c r="B127" s="349">
        <v>46114</v>
      </c>
      <c r="C127" s="298"/>
      <c r="D127" s="341">
        <f t="shared" si="4"/>
        <v>16666.336666666666</v>
      </c>
      <c r="E127" s="341">
        <f t="shared" si="3"/>
        <v>-1600007.9200000002</v>
      </c>
      <c r="F127" s="298"/>
      <c r="G127" s="348">
        <f t="shared" si="5"/>
        <v>399992.07999999961</v>
      </c>
    </row>
    <row r="128" spans="1:7" x14ac:dyDescent="0.2">
      <c r="A128" s="342">
        <v>97</v>
      </c>
      <c r="B128" s="349">
        <v>46144</v>
      </c>
      <c r="C128" s="298"/>
      <c r="D128" s="341">
        <f t="shared" si="4"/>
        <v>16666.336666666666</v>
      </c>
      <c r="E128" s="341">
        <f t="shared" si="3"/>
        <v>-1616674.2566666668</v>
      </c>
      <c r="F128" s="298"/>
      <c r="G128" s="348">
        <f t="shared" si="5"/>
        <v>383325.74333333294</v>
      </c>
    </row>
    <row r="129" spans="1:7" x14ac:dyDescent="0.2">
      <c r="A129" s="342">
        <v>98</v>
      </c>
      <c r="B129" s="349">
        <v>46175</v>
      </c>
      <c r="C129" s="298"/>
      <c r="D129" s="341">
        <f t="shared" si="4"/>
        <v>16666.336666666666</v>
      </c>
      <c r="E129" s="341">
        <f t="shared" si="3"/>
        <v>-1633340.5933333335</v>
      </c>
      <c r="F129" s="298"/>
      <c r="G129" s="348">
        <f t="shared" si="5"/>
        <v>366659.40666666627</v>
      </c>
    </row>
    <row r="130" spans="1:7" x14ac:dyDescent="0.2">
      <c r="A130" s="342">
        <v>99</v>
      </c>
      <c r="B130" s="349">
        <v>46205</v>
      </c>
      <c r="C130" s="298"/>
      <c r="D130" s="341">
        <f t="shared" si="4"/>
        <v>16666.336666666666</v>
      </c>
      <c r="E130" s="341">
        <f t="shared" si="3"/>
        <v>-1650006.9300000002</v>
      </c>
      <c r="F130" s="298"/>
      <c r="G130" s="348">
        <f t="shared" si="5"/>
        <v>349993.0699999996</v>
      </c>
    </row>
    <row r="131" spans="1:7" x14ac:dyDescent="0.2">
      <c r="A131" s="342">
        <v>100</v>
      </c>
      <c r="B131" s="349">
        <v>46236</v>
      </c>
      <c r="C131" s="298"/>
      <c r="D131" s="341">
        <f t="shared" si="4"/>
        <v>16666.336666666666</v>
      </c>
      <c r="E131" s="341">
        <f t="shared" si="3"/>
        <v>-1666673.2666666668</v>
      </c>
      <c r="F131" s="298"/>
      <c r="G131" s="348">
        <f t="shared" si="5"/>
        <v>333326.73333333293</v>
      </c>
    </row>
    <row r="132" spans="1:7" x14ac:dyDescent="0.2">
      <c r="A132" s="342">
        <v>101</v>
      </c>
      <c r="B132" s="349">
        <v>46267</v>
      </c>
      <c r="C132" s="298"/>
      <c r="D132" s="341">
        <f t="shared" si="4"/>
        <v>16666.336666666666</v>
      </c>
      <c r="E132" s="341">
        <f t="shared" si="3"/>
        <v>-1683339.6033333335</v>
      </c>
      <c r="F132" s="298"/>
      <c r="G132" s="348">
        <f t="shared" si="5"/>
        <v>316660.39666666626</v>
      </c>
    </row>
    <row r="133" spans="1:7" x14ac:dyDescent="0.2">
      <c r="A133" s="342">
        <v>102</v>
      </c>
      <c r="B133" s="349">
        <v>46297</v>
      </c>
      <c r="C133" s="298"/>
      <c r="D133" s="341">
        <f t="shared" si="4"/>
        <v>16666.336666666666</v>
      </c>
      <c r="E133" s="341">
        <f t="shared" si="3"/>
        <v>-1700005.9400000002</v>
      </c>
      <c r="F133" s="298"/>
      <c r="G133" s="348">
        <f t="shared" si="5"/>
        <v>299994.05999999959</v>
      </c>
    </row>
    <row r="134" spans="1:7" x14ac:dyDescent="0.2">
      <c r="A134" s="342">
        <v>103</v>
      </c>
      <c r="B134" s="349">
        <v>46328</v>
      </c>
      <c r="C134" s="298"/>
      <c r="D134" s="341">
        <f t="shared" si="4"/>
        <v>16666.336666666666</v>
      </c>
      <c r="E134" s="341">
        <f t="shared" si="3"/>
        <v>-1716672.2766666668</v>
      </c>
      <c r="F134" s="298"/>
      <c r="G134" s="348">
        <f t="shared" si="5"/>
        <v>283327.72333333292</v>
      </c>
    </row>
    <row r="135" spans="1:7" x14ac:dyDescent="0.2">
      <c r="A135" s="342">
        <v>104</v>
      </c>
      <c r="B135" s="349">
        <v>46358</v>
      </c>
      <c r="C135" s="298"/>
      <c r="D135" s="341">
        <f t="shared" si="4"/>
        <v>16666.336666666666</v>
      </c>
      <c r="E135" s="341">
        <f t="shared" si="3"/>
        <v>-1733338.6133333335</v>
      </c>
      <c r="F135" s="298"/>
      <c r="G135" s="348">
        <f t="shared" si="5"/>
        <v>266661.38666666625</v>
      </c>
    </row>
    <row r="136" spans="1:7" x14ac:dyDescent="0.2">
      <c r="A136" s="342">
        <v>105</v>
      </c>
      <c r="B136" s="349">
        <v>46389</v>
      </c>
      <c r="C136" s="298"/>
      <c r="D136" s="341">
        <f t="shared" si="4"/>
        <v>16666.336666666666</v>
      </c>
      <c r="E136" s="341">
        <f t="shared" si="3"/>
        <v>-1750004.9500000002</v>
      </c>
      <c r="F136" s="298"/>
      <c r="G136" s="348">
        <f t="shared" si="5"/>
        <v>249995.04999999958</v>
      </c>
    </row>
    <row r="137" spans="1:7" x14ac:dyDescent="0.2">
      <c r="A137" s="342">
        <v>106</v>
      </c>
      <c r="B137" s="349">
        <v>46420</v>
      </c>
      <c r="C137" s="298"/>
      <c r="D137" s="341">
        <f t="shared" si="4"/>
        <v>16666.336666666666</v>
      </c>
      <c r="E137" s="341">
        <f t="shared" si="3"/>
        <v>-1766671.2866666669</v>
      </c>
      <c r="F137" s="298"/>
      <c r="G137" s="348">
        <f t="shared" si="5"/>
        <v>233328.71333333291</v>
      </c>
    </row>
    <row r="138" spans="1:7" x14ac:dyDescent="0.2">
      <c r="A138" s="342">
        <v>107</v>
      </c>
      <c r="B138" s="349">
        <v>46448</v>
      </c>
      <c r="C138" s="298"/>
      <c r="D138" s="341">
        <f t="shared" si="4"/>
        <v>16666.336666666666</v>
      </c>
      <c r="E138" s="341">
        <f t="shared" si="3"/>
        <v>-1783337.6233333335</v>
      </c>
      <c r="F138" s="298"/>
      <c r="G138" s="348">
        <f t="shared" si="5"/>
        <v>216662.37666666624</v>
      </c>
    </row>
    <row r="139" spans="1:7" x14ac:dyDescent="0.2">
      <c r="A139" s="342">
        <v>108</v>
      </c>
      <c r="B139" s="349">
        <v>46479</v>
      </c>
      <c r="C139" s="298"/>
      <c r="D139" s="341">
        <f t="shared" si="4"/>
        <v>16666.336666666666</v>
      </c>
      <c r="E139" s="341">
        <f t="shared" si="3"/>
        <v>-1800003.9600000002</v>
      </c>
      <c r="F139" s="298"/>
      <c r="G139" s="348">
        <f t="shared" si="5"/>
        <v>199996.03999999957</v>
      </c>
    </row>
    <row r="140" spans="1:7" x14ac:dyDescent="0.2">
      <c r="A140" s="342">
        <v>109</v>
      </c>
      <c r="B140" s="349">
        <v>46509</v>
      </c>
      <c r="C140" s="298"/>
      <c r="D140" s="341">
        <f t="shared" si="4"/>
        <v>16666.336666666666</v>
      </c>
      <c r="E140" s="341">
        <f t="shared" si="3"/>
        <v>-1816670.2966666669</v>
      </c>
      <c r="F140" s="298"/>
      <c r="G140" s="348">
        <f t="shared" si="5"/>
        <v>183329.7033333329</v>
      </c>
    </row>
    <row r="141" spans="1:7" x14ac:dyDescent="0.2">
      <c r="A141" s="342">
        <v>110</v>
      </c>
      <c r="B141" s="349">
        <v>46540</v>
      </c>
      <c r="C141" s="298"/>
      <c r="D141" s="341">
        <f t="shared" si="4"/>
        <v>16666.336666666666</v>
      </c>
      <c r="E141" s="341">
        <f t="shared" si="3"/>
        <v>-1833336.6333333335</v>
      </c>
      <c r="F141" s="298"/>
      <c r="G141" s="348">
        <f t="shared" si="5"/>
        <v>166663.36666666623</v>
      </c>
    </row>
    <row r="142" spans="1:7" x14ac:dyDescent="0.2">
      <c r="A142" s="342">
        <v>111</v>
      </c>
      <c r="B142" s="349">
        <v>46570</v>
      </c>
      <c r="C142" s="298"/>
      <c r="D142" s="341">
        <f t="shared" si="4"/>
        <v>16666.336666666666</v>
      </c>
      <c r="E142" s="341">
        <f t="shared" si="3"/>
        <v>-1850002.9700000002</v>
      </c>
      <c r="F142" s="298"/>
      <c r="G142" s="348">
        <f t="shared" si="5"/>
        <v>149997.02999999956</v>
      </c>
    </row>
    <row r="143" spans="1:7" x14ac:dyDescent="0.2">
      <c r="A143" s="342">
        <v>112</v>
      </c>
      <c r="B143" s="349">
        <v>46601</v>
      </c>
      <c r="C143" s="298"/>
      <c r="D143" s="341">
        <f t="shared" si="4"/>
        <v>16666.336666666666</v>
      </c>
      <c r="E143" s="341">
        <f t="shared" si="3"/>
        <v>-1866669.3066666669</v>
      </c>
      <c r="F143" s="298"/>
      <c r="G143" s="348">
        <f t="shared" si="5"/>
        <v>133330.69333333289</v>
      </c>
    </row>
    <row r="144" spans="1:7" x14ac:dyDescent="0.2">
      <c r="A144" s="342">
        <v>113</v>
      </c>
      <c r="B144" s="349">
        <v>46632</v>
      </c>
      <c r="C144" s="298"/>
      <c r="D144" s="341">
        <f t="shared" si="4"/>
        <v>16666.336666666666</v>
      </c>
      <c r="E144" s="341">
        <f t="shared" si="3"/>
        <v>-1883335.6433333335</v>
      </c>
      <c r="F144" s="298"/>
      <c r="G144" s="348">
        <f t="shared" si="5"/>
        <v>116664.35666666622</v>
      </c>
    </row>
    <row r="145" spans="1:7" x14ac:dyDescent="0.2">
      <c r="A145" s="342">
        <v>114</v>
      </c>
      <c r="B145" s="349">
        <v>46662</v>
      </c>
      <c r="C145" s="298"/>
      <c r="D145" s="341">
        <f t="shared" si="4"/>
        <v>16666.336666666666</v>
      </c>
      <c r="E145" s="341">
        <f t="shared" si="3"/>
        <v>-1900001.9800000002</v>
      </c>
      <c r="F145" s="298"/>
      <c r="G145" s="348">
        <f t="shared" si="5"/>
        <v>99998.019999999553</v>
      </c>
    </row>
    <row r="146" spans="1:7" x14ac:dyDescent="0.2">
      <c r="A146" s="342">
        <v>115</v>
      </c>
      <c r="B146" s="349">
        <v>46693</v>
      </c>
      <c r="C146" s="298"/>
      <c r="D146" s="341">
        <f t="shared" si="4"/>
        <v>16666.336666666666</v>
      </c>
      <c r="E146" s="341">
        <f t="shared" si="3"/>
        <v>-1916668.3166666669</v>
      </c>
      <c r="F146" s="298"/>
      <c r="G146" s="348">
        <f t="shared" si="5"/>
        <v>83331.683333332883</v>
      </c>
    </row>
    <row r="147" spans="1:7" x14ac:dyDescent="0.2">
      <c r="A147" s="342">
        <v>116</v>
      </c>
      <c r="B147" s="349">
        <v>46723</v>
      </c>
      <c r="C147" s="298"/>
      <c r="D147" s="341">
        <f t="shared" si="4"/>
        <v>16666.336666666666</v>
      </c>
      <c r="E147" s="341">
        <f t="shared" si="3"/>
        <v>-1933334.6533333336</v>
      </c>
      <c r="F147" s="298"/>
      <c r="G147" s="348">
        <f t="shared" si="5"/>
        <v>66665.346666666213</v>
      </c>
    </row>
    <row r="148" spans="1:7" x14ac:dyDescent="0.2">
      <c r="A148" s="342">
        <v>117</v>
      </c>
      <c r="B148" s="349">
        <v>46754</v>
      </c>
      <c r="C148" s="298"/>
      <c r="D148" s="341">
        <f t="shared" si="4"/>
        <v>16666.336666666666</v>
      </c>
      <c r="E148" s="341">
        <f t="shared" si="3"/>
        <v>-1950000.9900000002</v>
      </c>
      <c r="F148" s="298"/>
      <c r="G148" s="348">
        <f t="shared" si="5"/>
        <v>49999.009999999544</v>
      </c>
    </row>
    <row r="149" spans="1:7" x14ac:dyDescent="0.2">
      <c r="A149" s="342">
        <v>118</v>
      </c>
      <c r="B149" s="349">
        <v>46785</v>
      </c>
      <c r="C149" s="298"/>
      <c r="D149" s="341">
        <f t="shared" si="4"/>
        <v>16666.336666666666</v>
      </c>
      <c r="E149" s="341">
        <f t="shared" si="3"/>
        <v>-1966667.3266666669</v>
      </c>
      <c r="F149" s="298"/>
      <c r="G149" s="348">
        <f t="shared" si="5"/>
        <v>33332.673333332874</v>
      </c>
    </row>
    <row r="150" spans="1:7" x14ac:dyDescent="0.2">
      <c r="A150" s="342">
        <v>119</v>
      </c>
      <c r="B150" s="349">
        <v>46814</v>
      </c>
      <c r="C150" s="298"/>
      <c r="D150" s="341">
        <f t="shared" si="4"/>
        <v>16666.336666666666</v>
      </c>
      <c r="E150" s="341">
        <f t="shared" si="3"/>
        <v>-1983333.6633333336</v>
      </c>
      <c r="F150" s="298"/>
      <c r="G150" s="348">
        <f t="shared" si="5"/>
        <v>16666.336666666208</v>
      </c>
    </row>
    <row r="151" spans="1:7" x14ac:dyDescent="0.2">
      <c r="A151" s="342">
        <v>120</v>
      </c>
      <c r="B151" s="349">
        <v>46845</v>
      </c>
      <c r="C151" s="298"/>
      <c r="D151" s="341">
        <f t="shared" si="4"/>
        <v>16666.336666666666</v>
      </c>
      <c r="E151" s="341">
        <f t="shared" si="3"/>
        <v>-2000000.0000000002</v>
      </c>
      <c r="F151" s="298"/>
      <c r="G151" s="348">
        <f t="shared" si="5"/>
        <v>-4.5838532969355583E-10</v>
      </c>
    </row>
    <row r="152" spans="1:7" x14ac:dyDescent="0.2">
      <c r="A152" s="342"/>
      <c r="B152" s="298"/>
      <c r="C152" s="298"/>
      <c r="D152" s="298"/>
      <c r="E152" s="298"/>
      <c r="F152" s="298"/>
      <c r="G152" s="298"/>
    </row>
    <row r="153" spans="1:7" x14ac:dyDescent="0.2">
      <c r="A153" s="342"/>
      <c r="B153" s="298"/>
      <c r="C153" s="298"/>
      <c r="D153" s="298"/>
      <c r="E153" s="298"/>
      <c r="F153" s="298"/>
      <c r="G153" s="298"/>
    </row>
    <row r="154" spans="1:7" x14ac:dyDescent="0.2">
      <c r="A154" s="342"/>
      <c r="B154" s="298"/>
      <c r="C154" s="298"/>
      <c r="D154" s="298"/>
      <c r="E154" s="298"/>
      <c r="F154" s="298"/>
      <c r="G154" s="298"/>
    </row>
    <row r="155" spans="1:7" x14ac:dyDescent="0.2">
      <c r="A155" s="342"/>
      <c r="B155" s="298"/>
      <c r="C155" s="298"/>
      <c r="D155" s="298"/>
      <c r="E155" s="298"/>
      <c r="F155" s="298"/>
      <c r="G155" s="298"/>
    </row>
    <row r="156" spans="1:7" x14ac:dyDescent="0.2">
      <c r="A156" s="342"/>
      <c r="B156" s="298"/>
      <c r="C156" s="298"/>
      <c r="D156" s="298"/>
      <c r="E156" s="298"/>
      <c r="F156" s="298"/>
      <c r="G156" s="298"/>
    </row>
    <row r="157" spans="1:7" x14ac:dyDescent="0.2">
      <c r="A157" s="342"/>
      <c r="B157" s="298"/>
      <c r="C157" s="298"/>
      <c r="D157" s="298"/>
      <c r="E157" s="298"/>
      <c r="F157" s="298"/>
      <c r="G157" s="298"/>
    </row>
    <row r="158" spans="1:7" x14ac:dyDescent="0.2">
      <c r="A158" s="342"/>
      <c r="B158" s="298"/>
      <c r="C158" s="298"/>
      <c r="D158" s="298"/>
      <c r="E158" s="298"/>
      <c r="F158" s="298"/>
      <c r="G158" s="298"/>
    </row>
    <row r="159" spans="1:7" x14ac:dyDescent="0.2">
      <c r="A159" s="342"/>
      <c r="B159" s="298"/>
      <c r="C159" s="298"/>
      <c r="D159" s="298"/>
      <c r="E159" s="298"/>
      <c r="F159" s="298"/>
      <c r="G159" s="298"/>
    </row>
    <row r="160" spans="1:7" x14ac:dyDescent="0.2">
      <c r="A160" s="342"/>
      <c r="B160" s="298"/>
      <c r="C160" s="298"/>
      <c r="D160" s="298"/>
      <c r="E160" s="298"/>
      <c r="F160" s="298"/>
      <c r="G160" s="298"/>
    </row>
    <row r="161" spans="1:7" x14ac:dyDescent="0.2">
      <c r="A161" s="342"/>
      <c r="B161" s="298"/>
      <c r="C161" s="298"/>
      <c r="D161" s="298"/>
      <c r="E161" s="298"/>
      <c r="F161" s="298"/>
      <c r="G161" s="298"/>
    </row>
    <row r="162" spans="1:7" x14ac:dyDescent="0.2">
      <c r="A162" s="342"/>
      <c r="B162" s="298"/>
      <c r="C162" s="298"/>
      <c r="D162" s="298"/>
      <c r="E162" s="298"/>
      <c r="F162" s="298"/>
      <c r="G162" s="298"/>
    </row>
    <row r="163" spans="1:7" x14ac:dyDescent="0.2">
      <c r="A163" s="342"/>
      <c r="B163" s="298"/>
      <c r="C163" s="298"/>
      <c r="D163" s="298"/>
      <c r="E163" s="298"/>
      <c r="F163" s="298"/>
      <c r="G163" s="298"/>
    </row>
    <row r="164" spans="1:7" x14ac:dyDescent="0.2">
      <c r="A164" s="342"/>
      <c r="B164" s="298"/>
      <c r="C164" s="298"/>
      <c r="D164" s="298"/>
      <c r="E164" s="298"/>
      <c r="F164" s="298"/>
      <c r="G164" s="298"/>
    </row>
    <row r="165" spans="1:7" x14ac:dyDescent="0.2">
      <c r="A165" s="342"/>
      <c r="B165" s="298"/>
      <c r="C165" s="298"/>
      <c r="D165" s="298"/>
      <c r="E165" s="298"/>
      <c r="F165" s="298"/>
      <c r="G165" s="298"/>
    </row>
    <row r="166" spans="1:7" x14ac:dyDescent="0.2">
      <c r="A166" s="342"/>
      <c r="B166" s="298"/>
      <c r="C166" s="298"/>
      <c r="D166" s="298"/>
      <c r="E166" s="298"/>
      <c r="F166" s="298"/>
      <c r="G166" s="298"/>
    </row>
    <row r="167" spans="1:7" x14ac:dyDescent="0.2">
      <c r="A167" s="342"/>
      <c r="B167" s="298"/>
      <c r="C167" s="298"/>
      <c r="D167" s="298"/>
      <c r="E167" s="298"/>
      <c r="F167" s="298"/>
      <c r="G167" s="298"/>
    </row>
    <row r="168" spans="1:7" x14ac:dyDescent="0.2">
      <c r="A168" s="342"/>
      <c r="B168" s="298"/>
      <c r="C168" s="298"/>
      <c r="D168" s="298"/>
      <c r="E168" s="298"/>
      <c r="F168" s="298"/>
      <c r="G168" s="298"/>
    </row>
    <row r="169" spans="1:7" x14ac:dyDescent="0.2">
      <c r="A169" s="342"/>
      <c r="B169" s="298"/>
      <c r="C169" s="298"/>
      <c r="D169" s="298"/>
      <c r="E169" s="298"/>
      <c r="F169" s="298"/>
      <c r="G169" s="298"/>
    </row>
    <row r="170" spans="1:7" x14ac:dyDescent="0.2">
      <c r="A170" s="342"/>
      <c r="B170" s="298"/>
      <c r="C170" s="298"/>
      <c r="D170" s="298"/>
      <c r="E170" s="298"/>
      <c r="F170" s="298"/>
      <c r="G170" s="298"/>
    </row>
    <row r="171" spans="1:7" x14ac:dyDescent="0.2">
      <c r="A171" s="342"/>
      <c r="B171" s="298"/>
      <c r="C171" s="298"/>
      <c r="D171" s="298"/>
      <c r="E171" s="298"/>
      <c r="F171" s="298"/>
      <c r="G171" s="298"/>
    </row>
    <row r="172" spans="1:7" x14ac:dyDescent="0.2">
      <c r="A172" s="342"/>
      <c r="B172" s="298"/>
      <c r="C172" s="298"/>
      <c r="D172" s="298"/>
      <c r="E172" s="298"/>
      <c r="F172" s="298"/>
      <c r="G172" s="298"/>
    </row>
    <row r="173" spans="1:7" x14ac:dyDescent="0.2">
      <c r="A173" s="342"/>
      <c r="B173" s="298"/>
      <c r="C173" s="298"/>
      <c r="D173" s="298"/>
      <c r="E173" s="298"/>
      <c r="F173" s="298"/>
      <c r="G173" s="298"/>
    </row>
    <row r="174" spans="1:7" x14ac:dyDescent="0.2">
      <c r="A174" s="342"/>
      <c r="B174" s="298"/>
      <c r="C174" s="298"/>
      <c r="D174" s="298"/>
      <c r="E174" s="298"/>
      <c r="F174" s="298"/>
      <c r="G174" s="298"/>
    </row>
    <row r="175" spans="1:7" x14ac:dyDescent="0.2">
      <c r="A175" s="342"/>
      <c r="B175" s="298"/>
      <c r="C175" s="298"/>
      <c r="D175" s="298"/>
      <c r="E175" s="298"/>
      <c r="F175" s="298"/>
      <c r="G175" s="298"/>
    </row>
    <row r="176" spans="1:7" x14ac:dyDescent="0.2">
      <c r="A176" s="342"/>
      <c r="B176" s="298"/>
      <c r="C176" s="298"/>
      <c r="D176" s="298"/>
      <c r="E176" s="298"/>
      <c r="F176" s="298"/>
      <c r="G176" s="298"/>
    </row>
    <row r="177" spans="1:7" x14ac:dyDescent="0.2">
      <c r="A177" s="342"/>
      <c r="B177" s="298"/>
      <c r="C177" s="298"/>
      <c r="D177" s="298"/>
      <c r="E177" s="298"/>
      <c r="F177" s="298"/>
      <c r="G177" s="298"/>
    </row>
    <row r="178" spans="1:7" x14ac:dyDescent="0.2">
      <c r="A178" s="342"/>
      <c r="B178" s="298"/>
      <c r="C178" s="298"/>
      <c r="D178" s="298"/>
      <c r="E178" s="298"/>
      <c r="F178" s="298"/>
      <c r="G178" s="298"/>
    </row>
    <row r="179" spans="1:7" x14ac:dyDescent="0.2">
      <c r="A179" s="342"/>
      <c r="B179" s="298"/>
      <c r="C179" s="298"/>
      <c r="D179" s="298"/>
      <c r="E179" s="298"/>
      <c r="F179" s="298"/>
      <c r="G179" s="298"/>
    </row>
    <row r="180" spans="1:7" x14ac:dyDescent="0.2">
      <c r="A180" s="342"/>
      <c r="B180" s="298"/>
      <c r="C180" s="298"/>
      <c r="D180" s="298"/>
      <c r="E180" s="298"/>
      <c r="F180" s="298"/>
      <c r="G180" s="298"/>
    </row>
    <row r="181" spans="1:7" x14ac:dyDescent="0.2">
      <c r="A181" s="342"/>
      <c r="B181" s="298"/>
      <c r="C181" s="298"/>
      <c r="D181" s="298"/>
      <c r="E181" s="298"/>
      <c r="F181" s="298"/>
      <c r="G181" s="298"/>
    </row>
    <row r="182" spans="1:7" x14ac:dyDescent="0.2">
      <c r="A182" s="342"/>
      <c r="B182" s="298"/>
      <c r="C182" s="298"/>
      <c r="D182" s="298"/>
      <c r="E182" s="298"/>
      <c r="F182" s="298"/>
      <c r="G182" s="298"/>
    </row>
    <row r="183" spans="1:7" x14ac:dyDescent="0.2">
      <c r="A183" s="342"/>
      <c r="B183" s="298"/>
      <c r="C183" s="298"/>
      <c r="D183" s="298"/>
      <c r="E183" s="298"/>
      <c r="F183" s="298"/>
      <c r="G183" s="298"/>
    </row>
    <row r="184" spans="1:7" x14ac:dyDescent="0.2">
      <c r="A184" s="342"/>
      <c r="B184" s="298"/>
      <c r="C184" s="298"/>
      <c r="D184" s="298"/>
      <c r="E184" s="298"/>
      <c r="F184" s="298"/>
      <c r="G184" s="298"/>
    </row>
    <row r="185" spans="1:7" x14ac:dyDescent="0.2">
      <c r="A185" s="342"/>
      <c r="B185" s="298"/>
      <c r="C185" s="298"/>
      <c r="D185" s="298"/>
      <c r="E185" s="298"/>
      <c r="F185" s="298"/>
      <c r="G185" s="298"/>
    </row>
    <row r="186" spans="1:7" x14ac:dyDescent="0.2">
      <c r="A186" s="342"/>
      <c r="B186" s="298"/>
      <c r="C186" s="298"/>
      <c r="D186" s="298"/>
      <c r="E186" s="298"/>
      <c r="F186" s="298"/>
      <c r="G186" s="298"/>
    </row>
    <row r="187" spans="1:7" x14ac:dyDescent="0.2">
      <c r="A187" s="342"/>
      <c r="B187" s="298"/>
      <c r="C187" s="298"/>
      <c r="D187" s="298"/>
      <c r="E187" s="298"/>
      <c r="F187" s="298"/>
      <c r="G187" s="298"/>
    </row>
    <row r="188" spans="1:7" x14ac:dyDescent="0.2">
      <c r="A188" s="342"/>
      <c r="B188" s="298"/>
      <c r="C188" s="298"/>
      <c r="D188" s="298"/>
      <c r="E188" s="298"/>
      <c r="F188" s="298"/>
      <c r="G188" s="298"/>
    </row>
    <row r="189" spans="1:7" x14ac:dyDescent="0.2">
      <c r="A189" s="342"/>
      <c r="B189" s="298"/>
      <c r="C189" s="298"/>
      <c r="D189" s="298"/>
      <c r="E189" s="298"/>
      <c r="F189" s="298"/>
      <c r="G189" s="298"/>
    </row>
    <row r="190" spans="1:7" x14ac:dyDescent="0.2">
      <c r="A190" s="342"/>
      <c r="B190" s="298"/>
      <c r="C190" s="298"/>
      <c r="D190" s="298"/>
      <c r="E190" s="298"/>
      <c r="F190" s="298"/>
      <c r="G190" s="298"/>
    </row>
    <row r="191" spans="1:7" x14ac:dyDescent="0.2">
      <c r="A191" s="342"/>
      <c r="B191" s="298"/>
      <c r="C191" s="298"/>
      <c r="D191" s="298"/>
      <c r="E191" s="298"/>
      <c r="F191" s="298"/>
      <c r="G191" s="298"/>
    </row>
    <row r="192" spans="1:7" x14ac:dyDescent="0.2">
      <c r="A192" s="342"/>
      <c r="B192" s="298"/>
      <c r="C192" s="298"/>
      <c r="D192" s="298"/>
      <c r="E192" s="298"/>
      <c r="F192" s="298"/>
      <c r="G192" s="298"/>
    </row>
    <row r="193" spans="1:7" x14ac:dyDescent="0.2">
      <c r="A193" s="342"/>
      <c r="B193" s="298"/>
      <c r="C193" s="298"/>
      <c r="D193" s="298"/>
      <c r="E193" s="298"/>
      <c r="F193" s="298"/>
      <c r="G193" s="298"/>
    </row>
    <row r="194" spans="1:7" x14ac:dyDescent="0.2">
      <c r="A194" s="342"/>
      <c r="B194" s="298"/>
      <c r="C194" s="298"/>
      <c r="D194" s="298"/>
      <c r="E194" s="298"/>
      <c r="F194" s="298"/>
      <c r="G194" s="298"/>
    </row>
    <row r="195" spans="1:7" x14ac:dyDescent="0.2">
      <c r="A195" s="342"/>
      <c r="B195" s="298"/>
      <c r="C195" s="298"/>
      <c r="D195" s="298"/>
      <c r="E195" s="298"/>
      <c r="F195" s="298"/>
      <c r="G195" s="298"/>
    </row>
    <row r="196" spans="1:7" x14ac:dyDescent="0.2">
      <c r="A196" s="342"/>
      <c r="B196" s="298"/>
      <c r="C196" s="298"/>
      <c r="D196" s="298"/>
      <c r="E196" s="298"/>
      <c r="F196" s="298"/>
      <c r="G196" s="298"/>
    </row>
    <row r="197" spans="1:7" x14ac:dyDescent="0.2">
      <c r="A197" s="342"/>
      <c r="B197" s="298"/>
      <c r="C197" s="298"/>
      <c r="D197" s="298"/>
      <c r="E197" s="298"/>
      <c r="F197" s="298"/>
      <c r="G197" s="298"/>
    </row>
    <row r="198" spans="1:7" x14ac:dyDescent="0.2">
      <c r="A198" s="342"/>
      <c r="B198" s="298"/>
      <c r="C198" s="298"/>
      <c r="D198" s="298"/>
      <c r="E198" s="298"/>
      <c r="F198" s="298"/>
      <c r="G198" s="298"/>
    </row>
    <row r="199" spans="1:7" x14ac:dyDescent="0.2">
      <c r="A199" s="342"/>
      <c r="B199" s="298"/>
      <c r="C199" s="298"/>
      <c r="D199" s="298"/>
      <c r="E199" s="298"/>
      <c r="F199" s="298"/>
      <c r="G199" s="298"/>
    </row>
    <row r="200" spans="1:7" x14ac:dyDescent="0.2">
      <c r="A200" s="340"/>
    </row>
    <row r="201" spans="1:7" x14ac:dyDescent="0.2">
      <c r="A201" s="340"/>
    </row>
    <row r="202" spans="1:7" x14ac:dyDescent="0.2">
      <c r="A202" s="340"/>
    </row>
    <row r="203" spans="1:7" x14ac:dyDescent="0.2">
      <c r="A203" s="340"/>
    </row>
    <row r="204" spans="1:7" x14ac:dyDescent="0.2">
      <c r="A204" s="340"/>
    </row>
    <row r="205" spans="1:7" x14ac:dyDescent="0.2">
      <c r="A205" s="340"/>
    </row>
    <row r="206" spans="1:7" x14ac:dyDescent="0.2">
      <c r="A206" s="340"/>
    </row>
    <row r="207" spans="1:7" x14ac:dyDescent="0.2">
      <c r="A207" s="340"/>
    </row>
    <row r="208" spans="1:7" x14ac:dyDescent="0.2">
      <c r="A208" s="340"/>
    </row>
    <row r="209" spans="1:1" x14ac:dyDescent="0.2">
      <c r="A209" s="340"/>
    </row>
    <row r="210" spans="1:1" x14ac:dyDescent="0.2">
      <c r="A210" s="340"/>
    </row>
    <row r="211" spans="1:1" x14ac:dyDescent="0.2">
      <c r="A211" s="340"/>
    </row>
    <row r="212" spans="1:1" x14ac:dyDescent="0.2">
      <c r="A212" s="340"/>
    </row>
    <row r="213" spans="1:1" x14ac:dyDescent="0.2">
      <c r="A213" s="340"/>
    </row>
    <row r="214" spans="1:1" x14ac:dyDescent="0.2">
      <c r="A214" s="340"/>
    </row>
    <row r="215" spans="1:1" x14ac:dyDescent="0.2">
      <c r="A215" s="340"/>
    </row>
    <row r="216" spans="1:1" x14ac:dyDescent="0.2">
      <c r="A216" s="340"/>
    </row>
    <row r="217" spans="1:1" x14ac:dyDescent="0.2">
      <c r="A217" s="340"/>
    </row>
    <row r="218" spans="1:1" x14ac:dyDescent="0.2">
      <c r="A218" s="340"/>
    </row>
    <row r="219" spans="1:1" x14ac:dyDescent="0.2">
      <c r="A219" s="340"/>
    </row>
    <row r="220" spans="1:1" x14ac:dyDescent="0.2">
      <c r="A220" s="340"/>
    </row>
    <row r="221" spans="1:1" x14ac:dyDescent="0.2">
      <c r="A221" s="340"/>
    </row>
    <row r="222" spans="1:1" x14ac:dyDescent="0.2">
      <c r="A222" s="340"/>
    </row>
    <row r="223" spans="1:1" x14ac:dyDescent="0.2">
      <c r="A223" s="340"/>
    </row>
    <row r="224" spans="1:1" x14ac:dyDescent="0.2">
      <c r="A224" s="340"/>
    </row>
    <row r="225" spans="1:1" x14ac:dyDescent="0.2">
      <c r="A225" s="340"/>
    </row>
    <row r="226" spans="1:1" x14ac:dyDescent="0.2">
      <c r="A226" s="340"/>
    </row>
    <row r="227" spans="1:1" x14ac:dyDescent="0.2">
      <c r="A227" s="340"/>
    </row>
    <row r="228" spans="1:1" x14ac:dyDescent="0.2">
      <c r="A228" s="340"/>
    </row>
    <row r="229" spans="1:1" x14ac:dyDescent="0.2">
      <c r="A229" s="340"/>
    </row>
    <row r="230" spans="1:1" x14ac:dyDescent="0.2">
      <c r="A230" s="340"/>
    </row>
    <row r="231" spans="1:1" x14ac:dyDescent="0.2">
      <c r="A231" s="340"/>
    </row>
    <row r="232" spans="1:1" x14ac:dyDescent="0.2">
      <c r="A232" s="340"/>
    </row>
    <row r="233" spans="1:1" x14ac:dyDescent="0.2">
      <c r="A233" s="340"/>
    </row>
    <row r="234" spans="1:1" x14ac:dyDescent="0.2">
      <c r="A234" s="340"/>
    </row>
    <row r="235" spans="1:1" x14ac:dyDescent="0.2">
      <c r="A235" s="340"/>
    </row>
    <row r="236" spans="1:1" x14ac:dyDescent="0.2">
      <c r="A236" s="340"/>
    </row>
    <row r="237" spans="1:1" x14ac:dyDescent="0.2">
      <c r="A237" s="340"/>
    </row>
    <row r="238" spans="1:1" x14ac:dyDescent="0.2">
      <c r="A238" s="340"/>
    </row>
    <row r="239" spans="1:1" x14ac:dyDescent="0.2">
      <c r="A239" s="340"/>
    </row>
    <row r="240" spans="1:1" x14ac:dyDescent="0.2">
      <c r="A240" s="340"/>
    </row>
    <row r="241" spans="1:1" x14ac:dyDescent="0.2">
      <c r="A241" s="340"/>
    </row>
    <row r="242" spans="1:1" x14ac:dyDescent="0.2">
      <c r="A242" s="340"/>
    </row>
    <row r="243" spans="1:1" x14ac:dyDescent="0.2">
      <c r="A243" s="340"/>
    </row>
    <row r="244" spans="1:1" x14ac:dyDescent="0.2">
      <c r="A244" s="340"/>
    </row>
    <row r="245" spans="1:1" x14ac:dyDescent="0.2">
      <c r="A245" s="340"/>
    </row>
    <row r="246" spans="1:1" x14ac:dyDescent="0.2">
      <c r="A246" s="340"/>
    </row>
    <row r="247" spans="1:1" x14ac:dyDescent="0.2">
      <c r="A247" s="340"/>
    </row>
    <row r="248" spans="1:1" x14ac:dyDescent="0.2">
      <c r="A248" s="340"/>
    </row>
    <row r="249" spans="1:1" x14ac:dyDescent="0.2">
      <c r="A249" s="340"/>
    </row>
    <row r="250" spans="1:1" x14ac:dyDescent="0.2">
      <c r="A250" s="340"/>
    </row>
    <row r="251" spans="1:1" x14ac:dyDescent="0.2">
      <c r="A251" s="340"/>
    </row>
    <row r="252" spans="1:1" x14ac:dyDescent="0.2">
      <c r="A252" s="340"/>
    </row>
    <row r="253" spans="1:1" x14ac:dyDescent="0.2">
      <c r="A253" s="340"/>
    </row>
    <row r="254" spans="1:1" x14ac:dyDescent="0.2">
      <c r="A254" s="340"/>
    </row>
    <row r="255" spans="1:1" x14ac:dyDescent="0.2">
      <c r="A255" s="340"/>
    </row>
    <row r="256" spans="1:1" x14ac:dyDescent="0.2">
      <c r="A256" s="340"/>
    </row>
    <row r="257" spans="1:1" x14ac:dyDescent="0.2">
      <c r="A257" s="340"/>
    </row>
    <row r="258" spans="1:1" x14ac:dyDescent="0.2">
      <c r="A258" s="340"/>
    </row>
    <row r="259" spans="1:1" x14ac:dyDescent="0.2">
      <c r="A259" s="340"/>
    </row>
    <row r="260" spans="1:1" x14ac:dyDescent="0.2">
      <c r="A260" s="340"/>
    </row>
    <row r="261" spans="1:1" x14ac:dyDescent="0.2">
      <c r="A261" s="340"/>
    </row>
    <row r="262" spans="1:1" x14ac:dyDescent="0.2">
      <c r="A262" s="340"/>
    </row>
    <row r="263" spans="1:1" x14ac:dyDescent="0.2">
      <c r="A263" s="340"/>
    </row>
    <row r="264" spans="1:1" x14ac:dyDescent="0.2">
      <c r="A264" s="340"/>
    </row>
    <row r="265" spans="1:1" x14ac:dyDescent="0.2">
      <c r="A265" s="340"/>
    </row>
    <row r="266" spans="1:1" x14ac:dyDescent="0.2">
      <c r="A266" s="340"/>
    </row>
    <row r="267" spans="1:1" x14ac:dyDescent="0.2">
      <c r="A267" s="340"/>
    </row>
    <row r="268" spans="1:1" x14ac:dyDescent="0.2">
      <c r="A268" s="340"/>
    </row>
    <row r="269" spans="1:1" x14ac:dyDescent="0.2">
      <c r="A269" s="340"/>
    </row>
    <row r="270" spans="1:1" x14ac:dyDescent="0.2">
      <c r="A270" s="340"/>
    </row>
    <row r="271" spans="1:1" x14ac:dyDescent="0.2">
      <c r="A271" s="340"/>
    </row>
    <row r="272" spans="1:1" x14ac:dyDescent="0.2">
      <c r="A272" s="340"/>
    </row>
    <row r="273" spans="1:1" x14ac:dyDescent="0.2">
      <c r="A273" s="340"/>
    </row>
    <row r="274" spans="1:1" x14ac:dyDescent="0.2">
      <c r="A274" s="340"/>
    </row>
    <row r="275" spans="1:1" x14ac:dyDescent="0.2">
      <c r="A275" s="340"/>
    </row>
    <row r="276" spans="1:1" x14ac:dyDescent="0.2">
      <c r="A276" s="340"/>
    </row>
    <row r="277" spans="1:1" x14ac:dyDescent="0.2">
      <c r="A277" s="340"/>
    </row>
    <row r="278" spans="1:1" x14ac:dyDescent="0.2">
      <c r="A278" s="340"/>
    </row>
    <row r="279" spans="1:1" x14ac:dyDescent="0.2">
      <c r="A279" s="340"/>
    </row>
    <row r="280" spans="1:1" x14ac:dyDescent="0.2">
      <c r="A280" s="340"/>
    </row>
    <row r="281" spans="1:1" x14ac:dyDescent="0.2">
      <c r="A281" s="340"/>
    </row>
    <row r="282" spans="1:1" x14ac:dyDescent="0.2">
      <c r="A282" s="340"/>
    </row>
    <row r="283" spans="1:1" x14ac:dyDescent="0.2">
      <c r="A283" s="340"/>
    </row>
    <row r="284" spans="1:1" x14ac:dyDescent="0.2">
      <c r="A284" s="340"/>
    </row>
    <row r="285" spans="1:1" x14ac:dyDescent="0.2">
      <c r="A285" s="340"/>
    </row>
    <row r="286" spans="1:1" x14ac:dyDescent="0.2">
      <c r="A286" s="340"/>
    </row>
    <row r="287" spans="1:1" x14ac:dyDescent="0.2">
      <c r="A287" s="340"/>
    </row>
    <row r="288" spans="1:1" x14ac:dyDescent="0.2">
      <c r="A288" s="340"/>
    </row>
    <row r="289" spans="1:1" x14ac:dyDescent="0.2">
      <c r="A289" s="340"/>
    </row>
    <row r="290" spans="1:1" x14ac:dyDescent="0.2">
      <c r="A290" s="340"/>
    </row>
    <row r="291" spans="1:1" x14ac:dyDescent="0.2">
      <c r="A291" s="340"/>
    </row>
    <row r="292" spans="1:1" x14ac:dyDescent="0.2">
      <c r="A292" s="340"/>
    </row>
    <row r="293" spans="1:1" x14ac:dyDescent="0.2">
      <c r="A293" s="340"/>
    </row>
    <row r="294" spans="1:1" x14ac:dyDescent="0.2">
      <c r="A294" s="340"/>
    </row>
    <row r="295" spans="1:1" x14ac:dyDescent="0.2">
      <c r="A295" s="340"/>
    </row>
    <row r="296" spans="1:1" x14ac:dyDescent="0.2">
      <c r="A296" s="340"/>
    </row>
    <row r="297" spans="1:1" x14ac:dyDescent="0.2">
      <c r="A297" s="340"/>
    </row>
    <row r="298" spans="1:1" x14ac:dyDescent="0.2">
      <c r="A298" s="340"/>
    </row>
    <row r="299" spans="1:1" x14ac:dyDescent="0.2">
      <c r="A299" s="340"/>
    </row>
    <row r="300" spans="1:1" x14ac:dyDescent="0.2">
      <c r="A300" s="340"/>
    </row>
    <row r="301" spans="1:1" x14ac:dyDescent="0.2">
      <c r="A301" s="340"/>
    </row>
    <row r="302" spans="1:1" x14ac:dyDescent="0.2">
      <c r="A302" s="340"/>
    </row>
    <row r="303" spans="1:1" x14ac:dyDescent="0.2">
      <c r="A303" s="340"/>
    </row>
    <row r="304" spans="1:1" x14ac:dyDescent="0.2">
      <c r="A304" s="340"/>
    </row>
    <row r="305" spans="1:1" x14ac:dyDescent="0.2">
      <c r="A305" s="340"/>
    </row>
    <row r="306" spans="1:1" x14ac:dyDescent="0.2">
      <c r="A306" s="340"/>
    </row>
    <row r="307" spans="1:1" x14ac:dyDescent="0.2">
      <c r="A307" s="340"/>
    </row>
    <row r="308" spans="1:1" x14ac:dyDescent="0.2">
      <c r="A308" s="340"/>
    </row>
    <row r="309" spans="1:1" x14ac:dyDescent="0.2">
      <c r="A309" s="340"/>
    </row>
    <row r="310" spans="1:1" x14ac:dyDescent="0.2">
      <c r="A310" s="340"/>
    </row>
    <row r="311" spans="1:1" x14ac:dyDescent="0.2">
      <c r="A311" s="340"/>
    </row>
    <row r="312" spans="1:1" x14ac:dyDescent="0.2">
      <c r="A312" s="340"/>
    </row>
    <row r="313" spans="1:1" x14ac:dyDescent="0.2">
      <c r="A313" s="340"/>
    </row>
    <row r="314" spans="1:1" x14ac:dyDescent="0.2">
      <c r="A314" s="340"/>
    </row>
    <row r="315" spans="1:1" x14ac:dyDescent="0.2">
      <c r="A315" s="340"/>
    </row>
    <row r="316" spans="1:1" x14ac:dyDescent="0.2">
      <c r="A316" s="340"/>
    </row>
    <row r="317" spans="1:1" x14ac:dyDescent="0.2">
      <c r="A317" s="340"/>
    </row>
    <row r="318" spans="1:1" x14ac:dyDescent="0.2">
      <c r="A318" s="340"/>
    </row>
    <row r="319" spans="1:1" x14ac:dyDescent="0.2">
      <c r="A319" s="340"/>
    </row>
    <row r="320" spans="1:1" x14ac:dyDescent="0.2">
      <c r="A320" s="340"/>
    </row>
    <row r="321" spans="1:1" x14ac:dyDescent="0.2">
      <c r="A321" s="340"/>
    </row>
    <row r="322" spans="1:1" x14ac:dyDescent="0.2">
      <c r="A322" s="340"/>
    </row>
    <row r="323" spans="1:1" x14ac:dyDescent="0.2">
      <c r="A323" s="340"/>
    </row>
    <row r="324" spans="1:1" x14ac:dyDescent="0.2">
      <c r="A324" s="340"/>
    </row>
    <row r="325" spans="1:1" x14ac:dyDescent="0.2">
      <c r="A325" s="340"/>
    </row>
    <row r="326" spans="1:1" x14ac:dyDescent="0.2">
      <c r="A326" s="340"/>
    </row>
    <row r="327" spans="1:1" x14ac:dyDescent="0.2">
      <c r="A327" s="340"/>
    </row>
    <row r="328" spans="1:1" x14ac:dyDescent="0.2">
      <c r="A328" s="340"/>
    </row>
    <row r="329" spans="1:1" x14ac:dyDescent="0.2">
      <c r="A329" s="340"/>
    </row>
    <row r="330" spans="1:1" x14ac:dyDescent="0.2">
      <c r="A330" s="340"/>
    </row>
    <row r="331" spans="1:1" x14ac:dyDescent="0.2">
      <c r="A331" s="340"/>
    </row>
    <row r="332" spans="1:1" x14ac:dyDescent="0.2">
      <c r="A332" s="340"/>
    </row>
    <row r="333" spans="1:1" x14ac:dyDescent="0.2">
      <c r="A333" s="340"/>
    </row>
    <row r="334" spans="1:1" x14ac:dyDescent="0.2">
      <c r="A334" s="340"/>
    </row>
    <row r="335" spans="1:1" x14ac:dyDescent="0.2">
      <c r="A335" s="340"/>
    </row>
    <row r="336" spans="1:1" x14ac:dyDescent="0.2">
      <c r="A336" s="340"/>
    </row>
    <row r="337" spans="1:1" x14ac:dyDescent="0.2">
      <c r="A337" s="340"/>
    </row>
    <row r="338" spans="1:1" x14ac:dyDescent="0.2">
      <c r="A338" s="340"/>
    </row>
    <row r="339" spans="1:1" x14ac:dyDescent="0.2">
      <c r="A339" s="340"/>
    </row>
    <row r="340" spans="1:1" x14ac:dyDescent="0.2">
      <c r="A340" s="340"/>
    </row>
    <row r="341" spans="1:1" x14ac:dyDescent="0.2">
      <c r="A341" s="340"/>
    </row>
    <row r="342" spans="1:1" x14ac:dyDescent="0.2">
      <c r="A342" s="340"/>
    </row>
    <row r="343" spans="1:1" x14ac:dyDescent="0.2">
      <c r="A343" s="340"/>
    </row>
    <row r="344" spans="1:1" x14ac:dyDescent="0.2">
      <c r="A344" s="340"/>
    </row>
    <row r="345" spans="1:1" x14ac:dyDescent="0.2">
      <c r="A345" s="340"/>
    </row>
    <row r="346" spans="1:1" x14ac:dyDescent="0.2">
      <c r="A346" s="340"/>
    </row>
    <row r="347" spans="1:1" x14ac:dyDescent="0.2">
      <c r="A347" s="340"/>
    </row>
    <row r="348" spans="1:1" x14ac:dyDescent="0.2">
      <c r="A348" s="340"/>
    </row>
    <row r="349" spans="1:1" x14ac:dyDescent="0.2">
      <c r="A349" s="340"/>
    </row>
    <row r="350" spans="1:1" x14ac:dyDescent="0.2">
      <c r="A350" s="340"/>
    </row>
    <row r="351" spans="1:1" x14ac:dyDescent="0.2">
      <c r="A351" s="340"/>
    </row>
    <row r="352" spans="1:1" x14ac:dyDescent="0.2">
      <c r="A352" s="340"/>
    </row>
    <row r="353" spans="1:1" x14ac:dyDescent="0.2">
      <c r="A353" s="340"/>
    </row>
    <row r="354" spans="1:1" x14ac:dyDescent="0.2">
      <c r="A354" s="340"/>
    </row>
    <row r="355" spans="1:1" x14ac:dyDescent="0.2">
      <c r="A355" s="340"/>
    </row>
    <row r="356" spans="1:1" x14ac:dyDescent="0.2">
      <c r="A356" s="340"/>
    </row>
    <row r="357" spans="1:1" x14ac:dyDescent="0.2">
      <c r="A357" s="340"/>
    </row>
    <row r="358" spans="1:1" x14ac:dyDescent="0.2">
      <c r="A358" s="340"/>
    </row>
    <row r="359" spans="1:1" x14ac:dyDescent="0.2">
      <c r="A359" s="340"/>
    </row>
    <row r="360" spans="1:1" x14ac:dyDescent="0.2">
      <c r="A360" s="340"/>
    </row>
    <row r="361" spans="1:1" x14ac:dyDescent="0.2">
      <c r="A361" s="340"/>
    </row>
    <row r="362" spans="1:1" x14ac:dyDescent="0.2">
      <c r="A362" s="340"/>
    </row>
    <row r="363" spans="1:1" x14ac:dyDescent="0.2">
      <c r="A363" s="340"/>
    </row>
    <row r="364" spans="1:1" x14ac:dyDescent="0.2">
      <c r="A364" s="340"/>
    </row>
    <row r="365" spans="1:1" x14ac:dyDescent="0.2">
      <c r="A365" s="340"/>
    </row>
    <row r="366" spans="1:1" x14ac:dyDescent="0.2">
      <c r="A366" s="340"/>
    </row>
    <row r="367" spans="1:1" x14ac:dyDescent="0.2">
      <c r="A367" s="340"/>
    </row>
    <row r="368" spans="1:1" x14ac:dyDescent="0.2">
      <c r="A368" s="340"/>
    </row>
    <row r="369" spans="1:1" x14ac:dyDescent="0.2">
      <c r="A369" s="340"/>
    </row>
    <row r="370" spans="1:1" x14ac:dyDescent="0.2">
      <c r="A370" s="340"/>
    </row>
    <row r="371" spans="1:1" x14ac:dyDescent="0.2">
      <c r="A371" s="340"/>
    </row>
    <row r="372" spans="1:1" x14ac:dyDescent="0.2">
      <c r="A372" s="340"/>
    </row>
    <row r="373" spans="1:1" x14ac:dyDescent="0.2">
      <c r="A373" s="340"/>
    </row>
    <row r="374" spans="1:1" x14ac:dyDescent="0.2">
      <c r="A374" s="340"/>
    </row>
    <row r="375" spans="1:1" x14ac:dyDescent="0.2">
      <c r="A375" s="340"/>
    </row>
    <row r="376" spans="1:1" x14ac:dyDescent="0.2">
      <c r="A376" s="340"/>
    </row>
    <row r="377" spans="1:1" x14ac:dyDescent="0.2">
      <c r="A377" s="340"/>
    </row>
    <row r="378" spans="1:1" x14ac:dyDescent="0.2">
      <c r="A378" s="340"/>
    </row>
    <row r="379" spans="1:1" x14ac:dyDescent="0.2">
      <c r="A379" s="340"/>
    </row>
    <row r="380" spans="1:1" x14ac:dyDescent="0.2">
      <c r="A380" s="340"/>
    </row>
    <row r="381" spans="1:1" x14ac:dyDescent="0.2">
      <c r="A381" s="340"/>
    </row>
    <row r="382" spans="1:1" x14ac:dyDescent="0.2">
      <c r="A382" s="340"/>
    </row>
    <row r="383" spans="1:1" x14ac:dyDescent="0.2">
      <c r="A383" s="340"/>
    </row>
    <row r="384" spans="1:1" x14ac:dyDescent="0.2">
      <c r="A384" s="340"/>
    </row>
    <row r="385" spans="1:1" x14ac:dyDescent="0.2">
      <c r="A385" s="340"/>
    </row>
    <row r="386" spans="1:1" x14ac:dyDescent="0.2">
      <c r="A386" s="340"/>
    </row>
    <row r="387" spans="1:1" x14ac:dyDescent="0.2">
      <c r="A387" s="340"/>
    </row>
    <row r="388" spans="1:1" x14ac:dyDescent="0.2">
      <c r="A388" s="340"/>
    </row>
    <row r="389" spans="1:1" x14ac:dyDescent="0.2">
      <c r="A389" s="340"/>
    </row>
    <row r="390" spans="1:1" x14ac:dyDescent="0.2">
      <c r="A390" s="340"/>
    </row>
    <row r="391" spans="1:1" x14ac:dyDescent="0.2">
      <c r="A391" s="340"/>
    </row>
    <row r="392" spans="1:1" x14ac:dyDescent="0.2">
      <c r="A392" s="340"/>
    </row>
    <row r="393" spans="1:1" x14ac:dyDescent="0.2">
      <c r="A393" s="340"/>
    </row>
    <row r="394" spans="1:1" x14ac:dyDescent="0.2">
      <c r="A394" s="340"/>
    </row>
    <row r="395" spans="1:1" x14ac:dyDescent="0.2">
      <c r="A395" s="340"/>
    </row>
    <row r="396" spans="1:1" x14ac:dyDescent="0.2">
      <c r="A396" s="340"/>
    </row>
    <row r="397" spans="1:1" x14ac:dyDescent="0.2">
      <c r="A397" s="340"/>
    </row>
    <row r="398" spans="1:1" x14ac:dyDescent="0.2">
      <c r="A398" s="340"/>
    </row>
    <row r="399" spans="1:1" x14ac:dyDescent="0.2">
      <c r="A399" s="340"/>
    </row>
    <row r="400" spans="1:1" x14ac:dyDescent="0.2">
      <c r="A400" s="340"/>
    </row>
    <row r="401" spans="1:1" x14ac:dyDescent="0.2">
      <c r="A401" s="340"/>
    </row>
    <row r="402" spans="1:1" x14ac:dyDescent="0.2">
      <c r="A402" s="340"/>
    </row>
    <row r="403" spans="1:1" x14ac:dyDescent="0.2">
      <c r="A403" s="340"/>
    </row>
    <row r="404" spans="1:1" x14ac:dyDescent="0.2">
      <c r="A404" s="340"/>
    </row>
    <row r="405" spans="1:1" x14ac:dyDescent="0.2">
      <c r="A405" s="340"/>
    </row>
    <row r="406" spans="1:1" x14ac:dyDescent="0.2">
      <c r="A406" s="340"/>
    </row>
    <row r="407" spans="1:1" x14ac:dyDescent="0.2">
      <c r="A407" s="340"/>
    </row>
  </sheetData>
  <mergeCells count="2">
    <mergeCell ref="A1:G1"/>
    <mergeCell ref="A3:G3"/>
  </mergeCells>
  <pageMargins left="0.7" right="0.7" top="0.75" bottom="0.75" header="0.3" footer="0.3"/>
  <pageSetup scale="77" fitToHeight="0"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02"/>
  <sheetViews>
    <sheetView view="pageLayout" zoomScaleNormal="100" workbookViewId="0">
      <selection activeCell="E9" sqref="E9"/>
    </sheetView>
  </sheetViews>
  <sheetFormatPr defaultColWidth="9.140625" defaultRowHeight="15" x14ac:dyDescent="0.25"/>
  <cols>
    <col min="1" max="1" width="8.85546875" style="450" customWidth="1"/>
    <col min="2" max="2" width="15.85546875" style="464" bestFit="1" customWidth="1"/>
    <col min="3" max="3" width="20.5703125" style="464" customWidth="1"/>
    <col min="4" max="4" width="17" style="464" bestFit="1" customWidth="1"/>
    <col min="5" max="5" width="14.28515625" style="464" bestFit="1" customWidth="1"/>
    <col min="6" max="6" width="16.28515625" style="464" bestFit="1" customWidth="1"/>
    <col min="7" max="7" width="18.28515625" style="449" bestFit="1" customWidth="1"/>
    <col min="8" max="8" width="17.7109375" style="449" bestFit="1" customWidth="1"/>
    <col min="9" max="9" width="15.28515625" style="449" customWidth="1"/>
    <col min="10" max="10" width="44.7109375" style="449" customWidth="1"/>
    <col min="11" max="11" width="19.5703125" style="450" customWidth="1"/>
    <col min="12" max="12" width="17.85546875" style="450" customWidth="1"/>
    <col min="13" max="13" width="11.5703125" style="451" bestFit="1" customWidth="1"/>
    <col min="14" max="14" width="39.28515625" style="450" customWidth="1"/>
    <col min="15" max="15" width="35.7109375" style="450" bestFit="1" customWidth="1"/>
    <col min="16" max="16" width="17.28515625" style="450" customWidth="1"/>
    <col min="17" max="17" width="13.42578125" style="450" bestFit="1" customWidth="1"/>
    <col min="18" max="19" width="1.28515625" style="450" customWidth="1"/>
    <col min="20" max="16384" width="9.140625" style="450"/>
  </cols>
  <sheetData>
    <row r="1" spans="1:20" ht="23.25" x14ac:dyDescent="0.35">
      <c r="A1" s="447" t="s">
        <v>400</v>
      </c>
      <c r="B1" s="448"/>
      <c r="C1" s="448"/>
      <c r="D1" s="448"/>
      <c r="E1" s="448"/>
      <c r="F1" s="448"/>
      <c r="N1" s="452"/>
    </row>
    <row r="2" spans="1:20" ht="21" x14ac:dyDescent="0.35">
      <c r="A2" s="453" t="s">
        <v>401</v>
      </c>
      <c r="B2" s="454"/>
      <c r="C2" s="454"/>
      <c r="D2" s="454"/>
      <c r="E2" s="454"/>
      <c r="F2" s="454"/>
      <c r="G2" s="455"/>
      <c r="H2" s="455"/>
      <c r="I2" s="455"/>
      <c r="J2" s="455"/>
      <c r="K2" s="456"/>
      <c r="L2" s="455"/>
      <c r="M2" s="457"/>
      <c r="N2" s="455"/>
      <c r="O2" s="455"/>
      <c r="P2" s="455"/>
      <c r="Q2" s="455"/>
      <c r="R2" s="455"/>
      <c r="S2" s="455"/>
    </row>
    <row r="3" spans="1:20" ht="21" customHeight="1" x14ac:dyDescent="0.25">
      <c r="A3" s="579" t="s">
        <v>402</v>
      </c>
      <c r="B3" s="579"/>
      <c r="C3" s="579"/>
      <c r="D3" s="579"/>
      <c r="E3" s="579"/>
      <c r="F3" s="579"/>
      <c r="G3" s="579"/>
      <c r="H3" s="579"/>
      <c r="I3" s="579"/>
      <c r="J3" s="579"/>
      <c r="K3" s="456"/>
      <c r="L3" s="455"/>
      <c r="M3" s="457"/>
      <c r="N3" s="455"/>
      <c r="O3" s="455"/>
      <c r="P3" s="455"/>
      <c r="Q3" s="455"/>
      <c r="R3" s="455"/>
      <c r="S3" s="455"/>
    </row>
    <row r="4" spans="1:20" ht="21" customHeight="1" x14ac:dyDescent="0.25">
      <c r="A4" s="579"/>
      <c r="B4" s="579"/>
      <c r="C4" s="579"/>
      <c r="D4" s="579"/>
      <c r="E4" s="579"/>
      <c r="F4" s="579"/>
      <c r="G4" s="579"/>
      <c r="H4" s="579"/>
      <c r="I4" s="579"/>
      <c r="J4" s="579"/>
      <c r="K4" s="456"/>
      <c r="L4" s="455"/>
      <c r="M4" s="457"/>
      <c r="N4" s="455"/>
      <c r="O4" s="455"/>
      <c r="P4" s="455"/>
      <c r="Q4" s="455"/>
      <c r="R4" s="455"/>
      <c r="S4" s="455"/>
    </row>
    <row r="5" spans="1:20" ht="69" customHeight="1" x14ac:dyDescent="0.25">
      <c r="A5" s="579"/>
      <c r="B5" s="579"/>
      <c r="C5" s="579"/>
      <c r="D5" s="579"/>
      <c r="E5" s="579"/>
      <c r="F5" s="579"/>
      <c r="G5" s="579"/>
      <c r="H5" s="579"/>
      <c r="I5" s="579"/>
      <c r="J5" s="579"/>
      <c r="K5" s="456"/>
      <c r="L5" s="455"/>
      <c r="M5" s="457"/>
      <c r="N5" s="455"/>
      <c r="O5" s="455"/>
      <c r="P5" s="455"/>
      <c r="Q5" s="455"/>
      <c r="R5" s="455"/>
      <c r="S5" s="455"/>
    </row>
    <row r="6" spans="1:20" ht="21" x14ac:dyDescent="0.35">
      <c r="A6" s="453"/>
      <c r="B6" s="454"/>
      <c r="C6" s="454"/>
      <c r="D6" s="454"/>
      <c r="E6" s="454"/>
      <c r="F6" s="454"/>
      <c r="G6" s="455"/>
      <c r="H6" s="455"/>
      <c r="I6" s="455"/>
      <c r="J6" s="455"/>
      <c r="K6" s="456"/>
      <c r="L6" s="455"/>
      <c r="M6" s="457"/>
      <c r="N6" s="455"/>
      <c r="O6" s="455"/>
      <c r="P6" s="455"/>
      <c r="Q6" s="455"/>
      <c r="R6" s="455"/>
      <c r="S6" s="455"/>
    </row>
    <row r="7" spans="1:20" x14ac:dyDescent="0.25">
      <c r="A7" s="391"/>
      <c r="B7" s="458"/>
      <c r="C7" s="458"/>
      <c r="D7" s="458"/>
      <c r="E7" s="458"/>
      <c r="F7" s="458"/>
      <c r="G7" s="391"/>
      <c r="H7" s="391"/>
      <c r="I7" s="391"/>
      <c r="J7" s="391"/>
      <c r="K7" s="391"/>
      <c r="L7" s="391"/>
      <c r="M7" s="459"/>
      <c r="N7" s="391"/>
      <c r="O7" s="391"/>
      <c r="P7" s="391"/>
      <c r="Q7" s="391"/>
      <c r="R7" s="391"/>
    </row>
    <row r="8" spans="1:20" x14ac:dyDescent="0.25">
      <c r="A8" s="391"/>
      <c r="B8" s="458"/>
      <c r="C8" s="458"/>
      <c r="D8" s="458"/>
      <c r="E8" s="458"/>
      <c r="F8" s="458"/>
      <c r="G8" s="391"/>
      <c r="H8" s="391"/>
      <c r="I8" s="391"/>
      <c r="J8" s="391"/>
      <c r="L8" s="391"/>
      <c r="M8" s="459"/>
      <c r="N8" s="391"/>
      <c r="O8" s="391"/>
      <c r="P8" s="391"/>
      <c r="Q8" s="391"/>
      <c r="R8" s="391"/>
      <c r="T8" s="460"/>
    </row>
    <row r="9" spans="1:20" x14ac:dyDescent="0.25">
      <c r="A9" s="449" t="s">
        <v>403</v>
      </c>
      <c r="B9" s="449"/>
      <c r="C9" s="461"/>
      <c r="D9" s="462">
        <f>-'[24]B - PP Summary'!F51</f>
        <v>-1160000</v>
      </c>
      <c r="E9" s="463" t="s">
        <v>404</v>
      </c>
      <c r="H9" s="465"/>
      <c r="I9" s="465"/>
      <c r="J9" s="466"/>
      <c r="K9" s="467"/>
      <c r="L9" s="449"/>
      <c r="T9" s="460"/>
    </row>
    <row r="10" spans="1:20" x14ac:dyDescent="0.25">
      <c r="A10" s="449"/>
      <c r="B10" s="449"/>
      <c r="C10" s="467"/>
      <c r="D10" s="462"/>
      <c r="E10" s="450"/>
      <c r="H10" s="451"/>
      <c r="I10" s="451"/>
      <c r="J10" s="450"/>
      <c r="K10" s="467"/>
      <c r="L10" s="449"/>
      <c r="T10" s="460"/>
    </row>
    <row r="11" spans="1:20" x14ac:dyDescent="0.25">
      <c r="A11" s="449"/>
      <c r="B11" s="449"/>
      <c r="C11" s="468" t="s">
        <v>405</v>
      </c>
      <c r="D11" s="469">
        <v>146</v>
      </c>
      <c r="E11" s="463"/>
      <c r="H11" s="451"/>
      <c r="I11" s="451"/>
      <c r="J11" s="580" t="s">
        <v>406</v>
      </c>
      <c r="K11" s="580"/>
      <c r="L11" s="580"/>
      <c r="T11" s="460"/>
    </row>
    <row r="12" spans="1:20" x14ac:dyDescent="0.25">
      <c r="A12" s="470"/>
      <c r="B12" s="470"/>
      <c r="C12" s="471" t="s">
        <v>407</v>
      </c>
      <c r="D12" s="472">
        <f>-D9/D11</f>
        <v>7945.2054794520545</v>
      </c>
      <c r="E12" s="460"/>
      <c r="H12" s="473"/>
      <c r="I12" s="473"/>
      <c r="J12" s="389"/>
      <c r="K12" s="474" t="s">
        <v>333</v>
      </c>
      <c r="L12" s="474" t="s">
        <v>334</v>
      </c>
      <c r="Q12" s="460"/>
      <c r="R12" s="460"/>
      <c r="S12" s="460"/>
      <c r="T12" s="460"/>
    </row>
    <row r="13" spans="1:20" x14ac:dyDescent="0.25">
      <c r="A13" s="470"/>
      <c r="B13" s="470"/>
      <c r="C13" s="471" t="s">
        <v>408</v>
      </c>
      <c r="D13" s="475">
        <f>D12*2</f>
        <v>15890.410958904109</v>
      </c>
      <c r="E13" s="473"/>
      <c r="H13" s="473"/>
      <c r="I13" s="473"/>
      <c r="J13" s="460" t="s">
        <v>409</v>
      </c>
      <c r="K13" s="476">
        <f>D18</f>
        <v>38660.87777777778</v>
      </c>
      <c r="L13" s="470"/>
      <c r="Q13" s="460"/>
      <c r="R13" s="477"/>
      <c r="S13" s="460"/>
      <c r="T13" s="460"/>
    </row>
    <row r="14" spans="1:20" x14ac:dyDescent="0.25">
      <c r="A14" s="470"/>
      <c r="B14" s="470"/>
      <c r="C14"/>
      <c r="D14"/>
      <c r="E14" s="473"/>
      <c r="H14" s="473"/>
      <c r="I14" s="473"/>
      <c r="J14" s="478" t="s">
        <v>410</v>
      </c>
      <c r="L14" s="476">
        <f>-K13</f>
        <v>-38660.87777777778</v>
      </c>
      <c r="Q14" s="460"/>
      <c r="R14" s="477"/>
      <c r="S14" s="460"/>
      <c r="T14" s="460"/>
    </row>
    <row r="15" spans="1:20" x14ac:dyDescent="0.25">
      <c r="A15" s="470"/>
      <c r="B15" s="470"/>
      <c r="C15" s="471"/>
      <c r="D15" s="479"/>
      <c r="E15" s="460"/>
      <c r="H15" s="473"/>
      <c r="I15" s="473"/>
      <c r="J15" s="450"/>
      <c r="Q15" s="460"/>
      <c r="R15" s="477"/>
      <c r="S15" s="460"/>
      <c r="T15" s="460"/>
    </row>
    <row r="16" spans="1:20" x14ac:dyDescent="0.25">
      <c r="A16" s="470"/>
      <c r="B16" s="470"/>
      <c r="C16" s="471"/>
      <c r="D16" s="479"/>
      <c r="E16" s="460"/>
      <c r="H16" s="473"/>
      <c r="I16" s="473"/>
      <c r="J16" s="460"/>
      <c r="L16" s="476"/>
      <c r="Q16" s="460"/>
      <c r="R16" s="477"/>
      <c r="S16" s="460"/>
      <c r="T16" s="460"/>
    </row>
    <row r="17" spans="1:20" x14ac:dyDescent="0.25">
      <c r="A17" s="470" t="s">
        <v>411</v>
      </c>
      <c r="B17" s="470"/>
      <c r="C17" s="471"/>
      <c r="D17"/>
      <c r="E17" s="480"/>
      <c r="H17" s="481"/>
      <c r="I17" s="481"/>
      <c r="J17" s="482" t="s">
        <v>410</v>
      </c>
      <c r="K17" s="476">
        <f>D12</f>
        <v>7945.2054794520545</v>
      </c>
      <c r="Q17" s="460"/>
      <c r="R17" s="477"/>
      <c r="S17" s="460"/>
      <c r="T17" s="460"/>
    </row>
    <row r="18" spans="1:20" x14ac:dyDescent="0.25">
      <c r="A18" s="470"/>
      <c r="B18" s="470"/>
      <c r="C18" s="471" t="s">
        <v>407</v>
      </c>
      <c r="D18" s="479">
        <v>38660.87777777778</v>
      </c>
      <c r="E18" s="480" t="s">
        <v>412</v>
      </c>
      <c r="H18" s="483"/>
      <c r="I18" s="483"/>
      <c r="J18" s="478" t="s">
        <v>413</v>
      </c>
      <c r="L18" s="476">
        <f>-K17</f>
        <v>-7945.2054794520545</v>
      </c>
      <c r="Q18" s="466"/>
      <c r="T18" s="460"/>
    </row>
    <row r="19" spans="1:20" x14ac:dyDescent="0.25">
      <c r="A19" s="449"/>
      <c r="B19" s="449"/>
      <c r="C19" s="471"/>
      <c r="D19" s="466"/>
      <c r="E19" s="463"/>
      <c r="H19" s="483"/>
      <c r="I19" s="483"/>
      <c r="J19" s="450"/>
      <c r="Q19" s="466"/>
      <c r="T19" s="460"/>
    </row>
    <row r="20" spans="1:20" x14ac:dyDescent="0.25">
      <c r="A20" s="484"/>
      <c r="B20" s="485"/>
      <c r="C20" s="485"/>
      <c r="D20" s="485"/>
      <c r="E20" s="485"/>
      <c r="F20" s="485"/>
      <c r="J20"/>
      <c r="K20"/>
      <c r="T20" s="460"/>
    </row>
    <row r="21" spans="1:20" x14ac:dyDescent="0.25">
      <c r="A21" s="484"/>
      <c r="B21" s="485"/>
      <c r="C21" s="485"/>
      <c r="D21" s="485"/>
      <c r="E21" s="485"/>
      <c r="F21" s="485"/>
      <c r="J21"/>
      <c r="K21"/>
      <c r="T21" s="460"/>
    </row>
    <row r="22" spans="1:20" x14ac:dyDescent="0.25">
      <c r="A22" s="484"/>
      <c r="B22" s="485"/>
      <c r="C22" s="485"/>
      <c r="D22" s="485"/>
      <c r="E22" s="485"/>
      <c r="F22" s="485"/>
      <c r="J22"/>
      <c r="M22" s="450"/>
      <c r="N22" s="486"/>
      <c r="R22" s="486"/>
      <c r="S22" s="486"/>
      <c r="T22" s="460"/>
    </row>
    <row r="23" spans="1:20" x14ac:dyDescent="0.25">
      <c r="A23" s="484"/>
      <c r="B23" s="485"/>
      <c r="C23" s="485"/>
      <c r="D23" s="485"/>
      <c r="E23" s="485"/>
      <c r="F23" s="485"/>
      <c r="K23" s="470"/>
      <c r="N23" s="487"/>
      <c r="R23" s="488"/>
      <c r="T23" s="460"/>
    </row>
    <row r="24" spans="1:20" x14ac:dyDescent="0.25">
      <c r="A24" s="484"/>
      <c r="B24" s="485"/>
      <c r="C24" s="485"/>
      <c r="D24" s="485"/>
      <c r="E24" s="485"/>
      <c r="F24" s="485"/>
      <c r="M24" s="470"/>
      <c r="N24" s="487"/>
      <c r="R24" s="488"/>
      <c r="T24" s="460"/>
    </row>
    <row r="25" spans="1:20" ht="61.5" customHeight="1" x14ac:dyDescent="0.25">
      <c r="A25" s="490" t="s">
        <v>415</v>
      </c>
      <c r="B25" s="491" t="s">
        <v>416</v>
      </c>
      <c r="C25" s="491" t="s">
        <v>417</v>
      </c>
      <c r="D25" s="491" t="s">
        <v>418</v>
      </c>
      <c r="E25" s="491" t="s">
        <v>419</v>
      </c>
      <c r="F25" s="491" t="s">
        <v>420</v>
      </c>
      <c r="G25" s="491" t="s">
        <v>421</v>
      </c>
      <c r="H25" s="492" t="s">
        <v>422</v>
      </c>
      <c r="I25" s="492"/>
      <c r="S25" s="487"/>
    </row>
    <row r="26" spans="1:20" x14ac:dyDescent="0.25">
      <c r="A26" s="493">
        <v>43617</v>
      </c>
      <c r="B26" s="494"/>
      <c r="C26" s="495">
        <v>0</v>
      </c>
      <c r="D26" s="495"/>
      <c r="E26" s="494"/>
      <c r="F26" s="494"/>
      <c r="G26" s="496">
        <f>C26</f>
        <v>0</v>
      </c>
      <c r="H26" s="494">
        <f>'[24]C - Account Balance'!I14</f>
        <v>4449828.8999999994</v>
      </c>
      <c r="I26" s="494"/>
      <c r="J26" s="489" t="s">
        <v>414</v>
      </c>
      <c r="K26" s="474" t="s">
        <v>333</v>
      </c>
      <c r="L26" s="474" t="s">
        <v>334</v>
      </c>
      <c r="S26" s="487"/>
    </row>
    <row r="27" spans="1:20" x14ac:dyDescent="0.25">
      <c r="A27" s="497">
        <v>43647</v>
      </c>
      <c r="B27" s="462">
        <v>5609828.8966666674</v>
      </c>
      <c r="C27" s="498">
        <f t="shared" ref="C27:C90" si="0">-$D$18</f>
        <v>-38660.87777777778</v>
      </c>
      <c r="D27" s="498">
        <f>B27+C27</f>
        <v>5571168.0188888898</v>
      </c>
      <c r="E27" s="499">
        <f>D9</f>
        <v>-1160000</v>
      </c>
      <c r="F27" s="499">
        <f t="shared" ref="F27:F90" si="1">$D$12</f>
        <v>7945.2054794520545</v>
      </c>
      <c r="G27" s="499">
        <f>C27+F27</f>
        <v>-30715.672298325724</v>
      </c>
      <c r="H27" s="462">
        <f>H26+G27</f>
        <v>4419113.2277016733</v>
      </c>
      <c r="I27" s="462"/>
      <c r="J27" s="460" t="s">
        <v>409</v>
      </c>
      <c r="K27" s="476">
        <f>-C27-C28</f>
        <v>77321.755555555559</v>
      </c>
      <c r="S27" s="487"/>
    </row>
    <row r="28" spans="1:20" x14ac:dyDescent="0.25">
      <c r="A28" s="497">
        <v>43678</v>
      </c>
      <c r="B28" s="462">
        <f>D27</f>
        <v>5571168.0188888898</v>
      </c>
      <c r="C28" s="498">
        <f t="shared" si="0"/>
        <v>-38660.87777777778</v>
      </c>
      <c r="D28" s="498">
        <f t="shared" ref="D28:D91" si="2">B28+C28</f>
        <v>5532507.1411111122</v>
      </c>
      <c r="E28" s="499">
        <f>E27+F27</f>
        <v>-1152054.7945205478</v>
      </c>
      <c r="F28" s="499">
        <f t="shared" si="1"/>
        <v>7945.2054794520545</v>
      </c>
      <c r="G28" s="499">
        <f t="shared" ref="G28:G91" si="3">C28+F28</f>
        <v>-30715.672298325724</v>
      </c>
      <c r="H28" s="462">
        <f t="shared" ref="H28:H91" si="4">H27+G28</f>
        <v>4388397.5554033471</v>
      </c>
      <c r="I28" s="462"/>
      <c r="J28" s="478" t="s">
        <v>410</v>
      </c>
      <c r="L28" s="476">
        <f>-K27</f>
        <v>-77321.755555555559</v>
      </c>
      <c r="S28" s="487"/>
    </row>
    <row r="29" spans="1:20" x14ac:dyDescent="0.25">
      <c r="A29" s="497">
        <v>43709</v>
      </c>
      <c r="B29" s="462">
        <f t="shared" ref="B29:B92" si="5">D28</f>
        <v>5532507.1411111122</v>
      </c>
      <c r="C29" s="498">
        <f t="shared" si="0"/>
        <v>-38660.87777777778</v>
      </c>
      <c r="D29" s="498">
        <f t="shared" si="2"/>
        <v>5493846.2633333346</v>
      </c>
      <c r="E29" s="499">
        <f t="shared" ref="E29:E92" si="6">E28+F28</f>
        <v>-1144109.5890410957</v>
      </c>
      <c r="F29" s="499">
        <f t="shared" si="1"/>
        <v>7945.2054794520545</v>
      </c>
      <c r="G29" s="499">
        <f t="shared" si="3"/>
        <v>-30715.672298325724</v>
      </c>
      <c r="H29" s="462">
        <f t="shared" si="4"/>
        <v>4357681.883105021</v>
      </c>
      <c r="I29" s="462"/>
      <c r="J29" s="450"/>
      <c r="L29" s="476"/>
      <c r="S29" s="487"/>
    </row>
    <row r="30" spans="1:20" x14ac:dyDescent="0.25">
      <c r="A30" s="497">
        <v>43739</v>
      </c>
      <c r="B30" s="462">
        <f t="shared" si="5"/>
        <v>5493846.2633333346</v>
      </c>
      <c r="C30" s="499">
        <f t="shared" si="0"/>
        <v>-38660.87777777778</v>
      </c>
      <c r="D30" s="498">
        <f t="shared" si="2"/>
        <v>5455185.385555557</v>
      </c>
      <c r="E30" s="499">
        <f t="shared" si="6"/>
        <v>-1136164.3835616435</v>
      </c>
      <c r="F30" s="499">
        <f t="shared" si="1"/>
        <v>7945.2054794520545</v>
      </c>
      <c r="G30" s="499">
        <f t="shared" si="3"/>
        <v>-30715.672298325724</v>
      </c>
      <c r="H30" s="462">
        <f t="shared" si="4"/>
        <v>4326966.2108066948</v>
      </c>
      <c r="I30" s="462"/>
      <c r="J30" s="460"/>
      <c r="K30" s="466"/>
      <c r="L30" s="476"/>
      <c r="S30" s="487"/>
    </row>
    <row r="31" spans="1:20" x14ac:dyDescent="0.25">
      <c r="A31" s="497">
        <v>43770</v>
      </c>
      <c r="B31" s="462">
        <f t="shared" si="5"/>
        <v>5455185.385555557</v>
      </c>
      <c r="C31" s="462">
        <f t="shared" si="0"/>
        <v>-38660.87777777778</v>
      </c>
      <c r="D31" s="498">
        <f t="shared" si="2"/>
        <v>5416524.5077777794</v>
      </c>
      <c r="E31" s="462">
        <f t="shared" si="6"/>
        <v>-1128219.1780821914</v>
      </c>
      <c r="F31" s="462">
        <f t="shared" si="1"/>
        <v>7945.2054794520545</v>
      </c>
      <c r="G31" s="499">
        <f t="shared" si="3"/>
        <v>-30715.672298325724</v>
      </c>
      <c r="H31" s="462">
        <f t="shared" si="4"/>
        <v>4296250.5385083687</v>
      </c>
      <c r="I31" s="462"/>
      <c r="J31" s="482" t="s">
        <v>410</v>
      </c>
      <c r="K31" s="476">
        <f>F27+F28</f>
        <v>15890.410958904109</v>
      </c>
      <c r="L31" s="488"/>
      <c r="M31" s="497"/>
      <c r="N31" s="488"/>
      <c r="R31" s="487"/>
      <c r="S31" s="488"/>
    </row>
    <row r="32" spans="1:20" x14ac:dyDescent="0.25">
      <c r="A32" s="497">
        <v>43800</v>
      </c>
      <c r="B32" s="462">
        <f t="shared" si="5"/>
        <v>5416524.5077777794</v>
      </c>
      <c r="C32" s="462">
        <f t="shared" si="0"/>
        <v>-38660.87777777778</v>
      </c>
      <c r="D32" s="498">
        <f t="shared" si="2"/>
        <v>5377863.6300000018</v>
      </c>
      <c r="E32" s="462">
        <f t="shared" si="6"/>
        <v>-1120273.9726027392</v>
      </c>
      <c r="F32" s="462">
        <f t="shared" si="1"/>
        <v>7945.2054794520545</v>
      </c>
      <c r="G32" s="499">
        <f t="shared" si="3"/>
        <v>-30715.672298325724</v>
      </c>
      <c r="H32" s="462">
        <f t="shared" si="4"/>
        <v>4265534.8662100425</v>
      </c>
      <c r="I32" s="462"/>
      <c r="J32" s="478" t="s">
        <v>413</v>
      </c>
      <c r="L32" s="488">
        <f>-K31</f>
        <v>-15890.410958904109</v>
      </c>
      <c r="M32" s="497"/>
      <c r="N32" s="488"/>
      <c r="R32" s="487"/>
      <c r="S32" s="488"/>
    </row>
    <row r="33" spans="1:19" x14ac:dyDescent="0.25">
      <c r="A33" s="497">
        <v>43831</v>
      </c>
      <c r="B33" s="462">
        <f t="shared" si="5"/>
        <v>5377863.6300000018</v>
      </c>
      <c r="C33" s="462">
        <f t="shared" si="0"/>
        <v>-38660.87777777778</v>
      </c>
      <c r="D33" s="498">
        <f t="shared" si="2"/>
        <v>5339202.7522222241</v>
      </c>
      <c r="E33" s="462">
        <f t="shared" si="6"/>
        <v>-1112328.7671232871</v>
      </c>
      <c r="F33" s="462">
        <f t="shared" si="1"/>
        <v>7945.2054794520545</v>
      </c>
      <c r="G33" s="499">
        <f t="shared" si="3"/>
        <v>-30715.672298325724</v>
      </c>
      <c r="H33" s="462">
        <f t="shared" si="4"/>
        <v>4234819.1939117163</v>
      </c>
      <c r="I33" s="462"/>
      <c r="J33" s="462"/>
      <c r="K33" s="497"/>
      <c r="L33" s="488"/>
      <c r="N33" s="488"/>
      <c r="R33" s="487"/>
      <c r="S33" s="488"/>
    </row>
    <row r="34" spans="1:19" x14ac:dyDescent="0.25">
      <c r="A34" s="497">
        <v>43862</v>
      </c>
      <c r="B34" s="462">
        <f t="shared" si="5"/>
        <v>5339202.7522222241</v>
      </c>
      <c r="C34" s="462">
        <f t="shared" si="0"/>
        <v>-38660.87777777778</v>
      </c>
      <c r="D34" s="498">
        <f t="shared" si="2"/>
        <v>5300541.8744444465</v>
      </c>
      <c r="E34" s="462">
        <f t="shared" si="6"/>
        <v>-1104383.5616438349</v>
      </c>
      <c r="F34" s="462">
        <f t="shared" si="1"/>
        <v>7945.2054794520545</v>
      </c>
      <c r="G34" s="499">
        <f t="shared" si="3"/>
        <v>-30715.672298325724</v>
      </c>
      <c r="H34" s="462">
        <f t="shared" si="4"/>
        <v>4204103.5216133902</v>
      </c>
      <c r="I34" s="462"/>
      <c r="J34" s="462"/>
      <c r="K34" s="497"/>
      <c r="L34" s="488"/>
      <c r="N34" s="488"/>
      <c r="R34" s="487"/>
      <c r="S34" s="488"/>
    </row>
    <row r="35" spans="1:19" x14ac:dyDescent="0.25">
      <c r="A35" s="497">
        <v>43891</v>
      </c>
      <c r="B35" s="462">
        <f t="shared" si="5"/>
        <v>5300541.8744444465</v>
      </c>
      <c r="C35" s="462">
        <f t="shared" si="0"/>
        <v>-38660.87777777778</v>
      </c>
      <c r="D35" s="498">
        <f t="shared" si="2"/>
        <v>5261880.9966666689</v>
      </c>
      <c r="E35" s="462">
        <f t="shared" si="6"/>
        <v>-1096438.3561643828</v>
      </c>
      <c r="F35" s="462">
        <f t="shared" si="1"/>
        <v>7945.2054794520545</v>
      </c>
      <c r="G35" s="499">
        <f t="shared" si="3"/>
        <v>-30715.672298325724</v>
      </c>
      <c r="H35" s="462">
        <f t="shared" si="4"/>
        <v>4173387.8493150645</v>
      </c>
      <c r="I35" s="462"/>
      <c r="J35" s="470"/>
      <c r="K35" s="474" t="s">
        <v>333</v>
      </c>
      <c r="L35" s="474" t="s">
        <v>334</v>
      </c>
      <c r="N35" s="488"/>
      <c r="R35" s="487"/>
      <c r="S35" s="488"/>
    </row>
    <row r="36" spans="1:19" x14ac:dyDescent="0.25">
      <c r="A36" s="497">
        <v>43922</v>
      </c>
      <c r="B36" s="462">
        <f t="shared" si="5"/>
        <v>5261880.9966666689</v>
      </c>
      <c r="C36" s="462">
        <f t="shared" si="0"/>
        <v>-38660.87777777778</v>
      </c>
      <c r="D36" s="498">
        <f t="shared" si="2"/>
        <v>5223220.1188888913</v>
      </c>
      <c r="E36" s="462">
        <f t="shared" si="6"/>
        <v>-1088493.1506849306</v>
      </c>
      <c r="F36" s="462">
        <f t="shared" si="1"/>
        <v>7945.2054794520545</v>
      </c>
      <c r="G36" s="499">
        <f t="shared" si="3"/>
        <v>-30715.672298325724</v>
      </c>
      <c r="H36" s="462">
        <f t="shared" si="4"/>
        <v>4142672.1770167388</v>
      </c>
      <c r="I36" s="462"/>
      <c r="J36" s="489" t="s">
        <v>423</v>
      </c>
      <c r="K36" s="476"/>
      <c r="L36" s="470"/>
      <c r="N36" s="488"/>
      <c r="R36" s="487"/>
      <c r="S36" s="488"/>
    </row>
    <row r="37" spans="1:19" x14ac:dyDescent="0.25">
      <c r="A37" s="497">
        <v>43952</v>
      </c>
      <c r="B37" s="462">
        <f t="shared" si="5"/>
        <v>5223220.1188888913</v>
      </c>
      <c r="C37" s="462">
        <f t="shared" si="0"/>
        <v>-38660.87777777778</v>
      </c>
      <c r="D37" s="498">
        <f t="shared" si="2"/>
        <v>5184559.2411111137</v>
      </c>
      <c r="E37" s="462">
        <f t="shared" si="6"/>
        <v>-1080547.9452054785</v>
      </c>
      <c r="F37" s="462">
        <f t="shared" si="1"/>
        <v>7945.2054794520545</v>
      </c>
      <c r="G37" s="499">
        <f t="shared" si="3"/>
        <v>-30715.672298325724</v>
      </c>
      <c r="H37" s="462">
        <f t="shared" si="4"/>
        <v>4111956.5047184131</v>
      </c>
      <c r="I37" s="462"/>
      <c r="J37" s="460" t="s">
        <v>409</v>
      </c>
      <c r="K37" s="476">
        <f>-C29</f>
        <v>38660.87777777778</v>
      </c>
      <c r="L37" s="470"/>
      <c r="N37" s="488"/>
      <c r="R37" s="487"/>
      <c r="S37" s="488"/>
    </row>
    <row r="38" spans="1:19" x14ac:dyDescent="0.25">
      <c r="A38" s="497">
        <v>43983</v>
      </c>
      <c r="B38" s="462">
        <f t="shared" si="5"/>
        <v>5184559.2411111137</v>
      </c>
      <c r="C38" s="462">
        <f t="shared" si="0"/>
        <v>-38660.87777777778</v>
      </c>
      <c r="D38" s="498">
        <f t="shared" si="2"/>
        <v>5145898.3633333361</v>
      </c>
      <c r="E38" s="462">
        <f t="shared" si="6"/>
        <v>-1072602.7397260263</v>
      </c>
      <c r="F38" s="462">
        <f t="shared" si="1"/>
        <v>7945.2054794520545</v>
      </c>
      <c r="G38" s="499">
        <f t="shared" si="3"/>
        <v>-30715.672298325724</v>
      </c>
      <c r="H38" s="462">
        <f t="shared" si="4"/>
        <v>4081240.8324200874</v>
      </c>
      <c r="I38" s="462"/>
      <c r="J38" s="478" t="s">
        <v>410</v>
      </c>
      <c r="L38" s="476">
        <f>-K37</f>
        <v>-38660.87777777778</v>
      </c>
      <c r="N38" s="488"/>
      <c r="R38" s="487"/>
      <c r="S38" s="488"/>
    </row>
    <row r="39" spans="1:19" x14ac:dyDescent="0.25">
      <c r="A39" s="497">
        <v>44013</v>
      </c>
      <c r="B39" s="462">
        <f t="shared" si="5"/>
        <v>5145898.3633333361</v>
      </c>
      <c r="C39" s="462">
        <f t="shared" si="0"/>
        <v>-38660.87777777778</v>
      </c>
      <c r="D39" s="498">
        <f t="shared" si="2"/>
        <v>5107237.4855555585</v>
      </c>
      <c r="E39" s="462">
        <f t="shared" si="6"/>
        <v>-1064657.5342465742</v>
      </c>
      <c r="F39" s="462">
        <f t="shared" si="1"/>
        <v>7945.2054794520545</v>
      </c>
      <c r="G39" s="499">
        <f t="shared" si="3"/>
        <v>-30715.672298325724</v>
      </c>
      <c r="H39" s="462">
        <f t="shared" si="4"/>
        <v>4050525.1601217617</v>
      </c>
      <c r="I39" s="462"/>
      <c r="J39" s="450"/>
      <c r="N39" s="488"/>
      <c r="R39" s="487"/>
      <c r="S39" s="488"/>
    </row>
    <row r="40" spans="1:19" x14ac:dyDescent="0.25">
      <c r="A40" s="497">
        <v>44044</v>
      </c>
      <c r="B40" s="462">
        <f t="shared" si="5"/>
        <v>5107237.4855555585</v>
      </c>
      <c r="C40" s="462">
        <f t="shared" si="0"/>
        <v>-38660.87777777778</v>
      </c>
      <c r="D40" s="498">
        <f t="shared" si="2"/>
        <v>5068576.6077777809</v>
      </c>
      <c r="E40" s="462">
        <f t="shared" si="6"/>
        <v>-1056712.328767122</v>
      </c>
      <c r="F40" s="462">
        <f t="shared" si="1"/>
        <v>7945.2054794520545</v>
      </c>
      <c r="G40" s="499">
        <f t="shared" si="3"/>
        <v>-30715.672298325724</v>
      </c>
      <c r="H40" s="462">
        <f t="shared" si="4"/>
        <v>4019809.487823436</v>
      </c>
      <c r="I40" s="462"/>
      <c r="J40" s="460"/>
      <c r="L40" s="476"/>
      <c r="N40" s="488"/>
      <c r="R40" s="487"/>
      <c r="S40" s="488"/>
    </row>
    <row r="41" spans="1:19" x14ac:dyDescent="0.25">
      <c r="A41" s="497">
        <v>44075</v>
      </c>
      <c r="B41" s="462">
        <f t="shared" si="5"/>
        <v>5068576.6077777809</v>
      </c>
      <c r="C41" s="462">
        <f t="shared" si="0"/>
        <v>-38660.87777777778</v>
      </c>
      <c r="D41" s="498">
        <f t="shared" si="2"/>
        <v>5029915.7300000032</v>
      </c>
      <c r="E41" s="462">
        <f t="shared" si="6"/>
        <v>-1048767.1232876698</v>
      </c>
      <c r="F41" s="462">
        <f t="shared" si="1"/>
        <v>7945.2054794520545</v>
      </c>
      <c r="G41" s="499">
        <f t="shared" si="3"/>
        <v>-30715.672298325724</v>
      </c>
      <c r="H41" s="462">
        <f t="shared" si="4"/>
        <v>3989093.8155251103</v>
      </c>
      <c r="I41" s="462"/>
      <c r="J41" s="482" t="s">
        <v>410</v>
      </c>
      <c r="K41" s="476">
        <f>F29</f>
        <v>7945.2054794520545</v>
      </c>
      <c r="M41" s="497"/>
      <c r="N41" s="488"/>
      <c r="R41" s="487"/>
      <c r="S41" s="488"/>
    </row>
    <row r="42" spans="1:19" x14ac:dyDescent="0.25">
      <c r="A42" s="497">
        <v>44105</v>
      </c>
      <c r="B42" s="462">
        <f t="shared" si="5"/>
        <v>5029915.7300000032</v>
      </c>
      <c r="C42" s="462">
        <f t="shared" si="0"/>
        <v>-38660.87777777778</v>
      </c>
      <c r="D42" s="498">
        <f t="shared" si="2"/>
        <v>4991254.8522222256</v>
      </c>
      <c r="E42" s="462">
        <f t="shared" si="6"/>
        <v>-1040821.9178082178</v>
      </c>
      <c r="F42" s="462">
        <f t="shared" si="1"/>
        <v>7945.2054794520545</v>
      </c>
      <c r="G42" s="499">
        <f t="shared" si="3"/>
        <v>-30715.672298325724</v>
      </c>
      <c r="H42" s="462">
        <f t="shared" si="4"/>
        <v>3958378.1432267847</v>
      </c>
      <c r="I42" s="462"/>
      <c r="J42" s="478" t="s">
        <v>413</v>
      </c>
      <c r="L42" s="476">
        <f>-K41</f>
        <v>-7945.2054794520545</v>
      </c>
      <c r="M42" s="497"/>
      <c r="N42" s="488"/>
      <c r="R42" s="487"/>
      <c r="S42" s="488"/>
    </row>
    <row r="43" spans="1:19" x14ac:dyDescent="0.25">
      <c r="A43" s="497">
        <v>44136</v>
      </c>
      <c r="B43" s="462">
        <f t="shared" si="5"/>
        <v>4991254.8522222256</v>
      </c>
      <c r="C43" s="462">
        <f t="shared" si="0"/>
        <v>-38660.87777777778</v>
      </c>
      <c r="D43" s="498">
        <f t="shared" si="2"/>
        <v>4952593.974444448</v>
      </c>
      <c r="E43" s="462">
        <f t="shared" si="6"/>
        <v>-1032876.7123287658</v>
      </c>
      <c r="F43" s="462">
        <f t="shared" si="1"/>
        <v>7945.2054794520545</v>
      </c>
      <c r="G43" s="499">
        <f t="shared" si="3"/>
        <v>-30715.672298325724</v>
      </c>
      <c r="H43" s="462">
        <f t="shared" si="4"/>
        <v>3927662.470928459</v>
      </c>
      <c r="I43" s="462"/>
      <c r="J43" s="462"/>
      <c r="L43" s="462"/>
      <c r="M43" s="499"/>
      <c r="N43" s="497"/>
      <c r="O43" s="488"/>
      <c r="P43" s="497"/>
      <c r="Q43" s="488"/>
      <c r="R43" s="487"/>
      <c r="S43" s="488"/>
    </row>
    <row r="44" spans="1:19" x14ac:dyDescent="0.25">
      <c r="A44" s="497">
        <v>44166</v>
      </c>
      <c r="B44" s="462">
        <f t="shared" si="5"/>
        <v>4952593.974444448</v>
      </c>
      <c r="C44" s="462">
        <f t="shared" si="0"/>
        <v>-38660.87777777778</v>
      </c>
      <c r="D44" s="498">
        <f t="shared" si="2"/>
        <v>4913933.0966666704</v>
      </c>
      <c r="E44" s="462">
        <f t="shared" si="6"/>
        <v>-1024931.5068493137</v>
      </c>
      <c r="F44" s="462">
        <f t="shared" si="1"/>
        <v>7945.2054794520545</v>
      </c>
      <c r="G44" s="499">
        <f t="shared" si="3"/>
        <v>-30715.672298325724</v>
      </c>
      <c r="H44" s="462">
        <f t="shared" si="4"/>
        <v>3896946.7986301333</v>
      </c>
      <c r="I44" s="462"/>
      <c r="J44" s="462"/>
      <c r="L44" s="462"/>
      <c r="M44" s="499"/>
      <c r="N44" s="497"/>
      <c r="O44" s="488"/>
      <c r="P44" s="497"/>
      <c r="Q44" s="488"/>
      <c r="R44" s="487"/>
      <c r="S44" s="488"/>
    </row>
    <row r="45" spans="1:19" x14ac:dyDescent="0.25">
      <c r="A45" s="497">
        <v>44197</v>
      </c>
      <c r="B45" s="462">
        <f t="shared" si="5"/>
        <v>4913933.0966666704</v>
      </c>
      <c r="C45" s="462">
        <f t="shared" si="0"/>
        <v>-38660.87777777778</v>
      </c>
      <c r="D45" s="498">
        <f t="shared" si="2"/>
        <v>4875272.2188888928</v>
      </c>
      <c r="E45" s="462">
        <f t="shared" si="6"/>
        <v>-1016986.3013698617</v>
      </c>
      <c r="F45" s="462">
        <f t="shared" si="1"/>
        <v>7945.2054794520545</v>
      </c>
      <c r="G45" s="499">
        <f t="shared" si="3"/>
        <v>-30715.672298325724</v>
      </c>
      <c r="H45" s="462">
        <f t="shared" si="4"/>
        <v>3866231.1263318076</v>
      </c>
      <c r="I45" s="462"/>
      <c r="J45" s="462"/>
      <c r="L45" s="462"/>
      <c r="M45" s="499"/>
      <c r="N45" s="497"/>
      <c r="O45" s="488"/>
      <c r="P45" s="497"/>
      <c r="Q45" s="488"/>
      <c r="R45" s="487"/>
      <c r="S45" s="488"/>
    </row>
    <row r="46" spans="1:19" x14ac:dyDescent="0.25">
      <c r="A46" s="497">
        <v>44228</v>
      </c>
      <c r="B46" s="462">
        <f t="shared" si="5"/>
        <v>4875272.2188888928</v>
      </c>
      <c r="C46" s="462">
        <f t="shared" si="0"/>
        <v>-38660.87777777778</v>
      </c>
      <c r="D46" s="498">
        <f t="shared" si="2"/>
        <v>4836611.3411111152</v>
      </c>
      <c r="E46" s="462">
        <f t="shared" si="6"/>
        <v>-1009041.0958904097</v>
      </c>
      <c r="F46" s="462">
        <f t="shared" si="1"/>
        <v>7945.2054794520545</v>
      </c>
      <c r="G46" s="499">
        <f t="shared" si="3"/>
        <v>-30715.672298325724</v>
      </c>
      <c r="H46" s="462">
        <f t="shared" si="4"/>
        <v>3835515.4540334819</v>
      </c>
      <c r="I46" s="462"/>
      <c r="J46" s="462"/>
      <c r="L46" s="462"/>
      <c r="M46" s="499"/>
      <c r="N46" s="497"/>
      <c r="O46" s="488"/>
      <c r="P46" s="497"/>
      <c r="Q46" s="488"/>
      <c r="R46" s="487"/>
      <c r="S46" s="488"/>
    </row>
    <row r="47" spans="1:19" x14ac:dyDescent="0.25">
      <c r="A47" s="497">
        <v>44256</v>
      </c>
      <c r="B47" s="462">
        <f t="shared" si="5"/>
        <v>4836611.3411111152</v>
      </c>
      <c r="C47" s="462">
        <f t="shared" si="0"/>
        <v>-38660.87777777778</v>
      </c>
      <c r="D47" s="498">
        <f t="shared" si="2"/>
        <v>4797950.4633333376</v>
      </c>
      <c r="E47" s="462">
        <f t="shared" si="6"/>
        <v>-1001095.8904109576</v>
      </c>
      <c r="F47" s="462">
        <f t="shared" si="1"/>
        <v>7945.2054794520545</v>
      </c>
      <c r="G47" s="499">
        <f t="shared" si="3"/>
        <v>-30715.672298325724</v>
      </c>
      <c r="H47" s="462">
        <f t="shared" si="4"/>
        <v>3804799.7817351562</v>
      </c>
      <c r="I47" s="462"/>
      <c r="J47" s="462"/>
      <c r="L47" s="462"/>
      <c r="M47" s="499"/>
      <c r="N47" s="497"/>
      <c r="O47" s="488"/>
      <c r="P47" s="497"/>
      <c r="Q47" s="488"/>
      <c r="R47" s="487"/>
      <c r="S47" s="488"/>
    </row>
    <row r="48" spans="1:19" x14ac:dyDescent="0.25">
      <c r="A48" s="497">
        <v>44287</v>
      </c>
      <c r="B48" s="462">
        <f t="shared" si="5"/>
        <v>4797950.4633333376</v>
      </c>
      <c r="C48" s="462">
        <f t="shared" si="0"/>
        <v>-38660.87777777778</v>
      </c>
      <c r="D48" s="498">
        <f t="shared" si="2"/>
        <v>4759289.58555556</v>
      </c>
      <c r="E48" s="462">
        <f t="shared" si="6"/>
        <v>-993150.68493150559</v>
      </c>
      <c r="F48" s="462">
        <f t="shared" si="1"/>
        <v>7945.2054794520545</v>
      </c>
      <c r="G48" s="499">
        <f t="shared" si="3"/>
        <v>-30715.672298325724</v>
      </c>
      <c r="H48" s="462">
        <f t="shared" si="4"/>
        <v>3774084.1094368305</v>
      </c>
      <c r="I48" s="462"/>
      <c r="J48" s="462"/>
      <c r="L48" s="462"/>
      <c r="M48" s="499"/>
      <c r="N48" s="497"/>
      <c r="O48" s="488"/>
      <c r="P48" s="497"/>
      <c r="Q48" s="488"/>
      <c r="R48" s="487"/>
      <c r="S48" s="488"/>
    </row>
    <row r="49" spans="1:19" x14ac:dyDescent="0.25">
      <c r="A49" s="497">
        <v>44317</v>
      </c>
      <c r="B49" s="462">
        <f t="shared" si="5"/>
        <v>4759289.58555556</v>
      </c>
      <c r="C49" s="462">
        <f t="shared" si="0"/>
        <v>-38660.87777777778</v>
      </c>
      <c r="D49" s="498">
        <f t="shared" si="2"/>
        <v>4720628.7077777823</v>
      </c>
      <c r="E49" s="462">
        <f t="shared" si="6"/>
        <v>-985205.47945205355</v>
      </c>
      <c r="F49" s="462">
        <f t="shared" si="1"/>
        <v>7945.2054794520545</v>
      </c>
      <c r="G49" s="499">
        <f t="shared" si="3"/>
        <v>-30715.672298325724</v>
      </c>
      <c r="H49" s="462">
        <f t="shared" si="4"/>
        <v>3743368.4371385048</v>
      </c>
      <c r="I49" s="462"/>
      <c r="J49" s="462"/>
      <c r="L49" s="462"/>
      <c r="M49" s="499"/>
      <c r="N49" s="497"/>
      <c r="O49" s="488"/>
      <c r="P49" s="497"/>
      <c r="Q49" s="488"/>
      <c r="R49" s="487"/>
      <c r="S49" s="488"/>
    </row>
    <row r="50" spans="1:19" x14ac:dyDescent="0.25">
      <c r="A50" s="497">
        <v>44348</v>
      </c>
      <c r="B50" s="462">
        <f t="shared" si="5"/>
        <v>4720628.7077777823</v>
      </c>
      <c r="C50" s="462">
        <f t="shared" si="0"/>
        <v>-38660.87777777778</v>
      </c>
      <c r="D50" s="498">
        <f t="shared" si="2"/>
        <v>4681967.8300000047</v>
      </c>
      <c r="E50" s="462">
        <f t="shared" si="6"/>
        <v>-977260.27397260151</v>
      </c>
      <c r="F50" s="462">
        <f t="shared" si="1"/>
        <v>7945.2054794520545</v>
      </c>
      <c r="G50" s="499">
        <f t="shared" si="3"/>
        <v>-30715.672298325724</v>
      </c>
      <c r="H50" s="462">
        <f t="shared" si="4"/>
        <v>3712652.7648401791</v>
      </c>
      <c r="I50" s="462"/>
      <c r="J50" s="462"/>
      <c r="L50" s="462"/>
      <c r="M50" s="499"/>
      <c r="N50" s="497"/>
      <c r="O50" s="488"/>
      <c r="P50" s="497"/>
      <c r="Q50" s="488"/>
      <c r="R50" s="487"/>
      <c r="S50" s="488"/>
    </row>
    <row r="51" spans="1:19" x14ac:dyDescent="0.25">
      <c r="A51" s="497">
        <v>44378</v>
      </c>
      <c r="B51" s="462">
        <f t="shared" si="5"/>
        <v>4681967.8300000047</v>
      </c>
      <c r="C51" s="462">
        <f t="shared" si="0"/>
        <v>-38660.87777777778</v>
      </c>
      <c r="D51" s="498">
        <f t="shared" si="2"/>
        <v>4643306.9522222271</v>
      </c>
      <c r="E51" s="462">
        <f t="shared" si="6"/>
        <v>-969315.06849314948</v>
      </c>
      <c r="F51" s="462">
        <f t="shared" si="1"/>
        <v>7945.2054794520545</v>
      </c>
      <c r="G51" s="499">
        <f t="shared" si="3"/>
        <v>-30715.672298325724</v>
      </c>
      <c r="H51" s="462">
        <f t="shared" si="4"/>
        <v>3681937.0925418534</v>
      </c>
      <c r="I51" s="462"/>
      <c r="J51" s="462"/>
      <c r="L51" s="462"/>
      <c r="M51" s="499"/>
      <c r="N51" s="497"/>
      <c r="O51" s="488"/>
      <c r="P51" s="497"/>
      <c r="Q51" s="488"/>
      <c r="R51" s="487"/>
      <c r="S51" s="488"/>
    </row>
    <row r="52" spans="1:19" x14ac:dyDescent="0.25">
      <c r="A52" s="497">
        <v>44409</v>
      </c>
      <c r="B52" s="462">
        <f t="shared" si="5"/>
        <v>4643306.9522222271</v>
      </c>
      <c r="C52" s="462">
        <f t="shared" si="0"/>
        <v>-38660.87777777778</v>
      </c>
      <c r="D52" s="498">
        <f t="shared" si="2"/>
        <v>4604646.0744444495</v>
      </c>
      <c r="E52" s="462">
        <f t="shared" si="6"/>
        <v>-961369.86301369744</v>
      </c>
      <c r="F52" s="462">
        <f t="shared" si="1"/>
        <v>7945.2054794520545</v>
      </c>
      <c r="G52" s="499">
        <f t="shared" si="3"/>
        <v>-30715.672298325724</v>
      </c>
      <c r="H52" s="462">
        <f t="shared" si="4"/>
        <v>3651221.4202435277</v>
      </c>
      <c r="I52" s="462"/>
      <c r="J52" s="462"/>
      <c r="L52" s="462"/>
      <c r="M52" s="499"/>
      <c r="N52" s="497"/>
      <c r="O52" s="488"/>
      <c r="P52" s="497"/>
      <c r="Q52" s="488"/>
      <c r="R52" s="487"/>
      <c r="S52" s="488"/>
    </row>
    <row r="53" spans="1:19" x14ac:dyDescent="0.25">
      <c r="A53" s="497">
        <v>44440</v>
      </c>
      <c r="B53" s="462">
        <f t="shared" si="5"/>
        <v>4604646.0744444495</v>
      </c>
      <c r="C53" s="462">
        <f t="shared" si="0"/>
        <v>-38660.87777777778</v>
      </c>
      <c r="D53" s="498">
        <f t="shared" si="2"/>
        <v>4565985.1966666719</v>
      </c>
      <c r="E53" s="462">
        <f t="shared" si="6"/>
        <v>-953424.6575342454</v>
      </c>
      <c r="F53" s="462">
        <f t="shared" si="1"/>
        <v>7945.2054794520545</v>
      </c>
      <c r="G53" s="499">
        <f t="shared" si="3"/>
        <v>-30715.672298325724</v>
      </c>
      <c r="H53" s="462">
        <f t="shared" si="4"/>
        <v>3620505.747945202</v>
      </c>
      <c r="I53" s="462"/>
      <c r="J53" s="462"/>
      <c r="L53" s="462"/>
      <c r="M53" s="499"/>
      <c r="N53" s="497"/>
      <c r="O53" s="488"/>
      <c r="P53" s="497"/>
      <c r="Q53" s="488"/>
      <c r="R53" s="487"/>
      <c r="S53" s="488"/>
    </row>
    <row r="54" spans="1:19" x14ac:dyDescent="0.25">
      <c r="A54" s="497">
        <v>44470</v>
      </c>
      <c r="B54" s="462">
        <f t="shared" si="5"/>
        <v>4565985.1966666719</v>
      </c>
      <c r="C54" s="462">
        <f t="shared" si="0"/>
        <v>-38660.87777777778</v>
      </c>
      <c r="D54" s="498">
        <f t="shared" si="2"/>
        <v>4527324.3188888943</v>
      </c>
      <c r="E54" s="462">
        <f t="shared" si="6"/>
        <v>-945479.45205479336</v>
      </c>
      <c r="F54" s="462">
        <f t="shared" si="1"/>
        <v>7945.2054794520545</v>
      </c>
      <c r="G54" s="499">
        <f t="shared" si="3"/>
        <v>-30715.672298325724</v>
      </c>
      <c r="H54" s="462">
        <f t="shared" si="4"/>
        <v>3589790.0756468764</v>
      </c>
      <c r="I54" s="462"/>
      <c r="J54" s="462"/>
      <c r="L54" s="462"/>
      <c r="M54" s="499"/>
      <c r="N54" s="497"/>
      <c r="O54" s="488"/>
      <c r="P54" s="497"/>
      <c r="Q54" s="488"/>
      <c r="R54" s="487"/>
      <c r="S54" s="488"/>
    </row>
    <row r="55" spans="1:19" x14ac:dyDescent="0.25">
      <c r="A55" s="497">
        <v>44501</v>
      </c>
      <c r="B55" s="462">
        <f t="shared" si="5"/>
        <v>4527324.3188888943</v>
      </c>
      <c r="C55" s="462">
        <f t="shared" si="0"/>
        <v>-38660.87777777778</v>
      </c>
      <c r="D55" s="498">
        <f t="shared" si="2"/>
        <v>4488663.4411111167</v>
      </c>
      <c r="E55" s="462">
        <f t="shared" si="6"/>
        <v>-937534.24657534133</v>
      </c>
      <c r="F55" s="462">
        <f t="shared" si="1"/>
        <v>7945.2054794520545</v>
      </c>
      <c r="G55" s="499">
        <f t="shared" si="3"/>
        <v>-30715.672298325724</v>
      </c>
      <c r="H55" s="462">
        <f t="shared" si="4"/>
        <v>3559074.4033485507</v>
      </c>
      <c r="I55" s="462"/>
      <c r="J55" s="462"/>
      <c r="L55" s="462"/>
      <c r="M55" s="499"/>
      <c r="N55" s="497"/>
      <c r="O55" s="488"/>
      <c r="P55" s="497"/>
      <c r="Q55" s="488"/>
      <c r="R55" s="487"/>
      <c r="S55" s="488"/>
    </row>
    <row r="56" spans="1:19" x14ac:dyDescent="0.25">
      <c r="A56" s="497">
        <v>44531</v>
      </c>
      <c r="B56" s="462">
        <f t="shared" si="5"/>
        <v>4488663.4411111167</v>
      </c>
      <c r="C56" s="462">
        <f t="shared" si="0"/>
        <v>-38660.87777777778</v>
      </c>
      <c r="D56" s="498">
        <f t="shared" si="2"/>
        <v>4450002.5633333391</v>
      </c>
      <c r="E56" s="462">
        <f t="shared" si="6"/>
        <v>-929589.04109588929</v>
      </c>
      <c r="F56" s="462">
        <f t="shared" si="1"/>
        <v>7945.2054794520545</v>
      </c>
      <c r="G56" s="499">
        <f t="shared" si="3"/>
        <v>-30715.672298325724</v>
      </c>
      <c r="H56" s="462">
        <f t="shared" si="4"/>
        <v>3528358.731050225</v>
      </c>
      <c r="I56" s="462"/>
      <c r="J56" s="462"/>
      <c r="L56" s="462"/>
      <c r="M56" s="499"/>
      <c r="N56" s="497"/>
      <c r="O56" s="488"/>
      <c r="P56" s="497"/>
      <c r="Q56" s="488"/>
      <c r="R56" s="487"/>
      <c r="S56" s="488"/>
    </row>
    <row r="57" spans="1:19" x14ac:dyDescent="0.25">
      <c r="A57" s="497">
        <v>44562</v>
      </c>
      <c r="B57" s="462">
        <f t="shared" si="5"/>
        <v>4450002.5633333391</v>
      </c>
      <c r="C57" s="462">
        <f t="shared" si="0"/>
        <v>-38660.87777777778</v>
      </c>
      <c r="D57" s="498">
        <f t="shared" si="2"/>
        <v>4411341.6855555614</v>
      </c>
      <c r="E57" s="462">
        <f t="shared" si="6"/>
        <v>-921643.83561643725</v>
      </c>
      <c r="F57" s="462">
        <f t="shared" si="1"/>
        <v>7945.2054794520545</v>
      </c>
      <c r="G57" s="499">
        <f t="shared" si="3"/>
        <v>-30715.672298325724</v>
      </c>
      <c r="H57" s="462">
        <f t="shared" si="4"/>
        <v>3497643.0587518993</v>
      </c>
      <c r="I57" s="462"/>
      <c r="J57" s="462"/>
      <c r="L57" s="462"/>
      <c r="M57" s="499"/>
      <c r="N57" s="497"/>
      <c r="O57" s="488"/>
      <c r="P57" s="497"/>
      <c r="Q57" s="488"/>
      <c r="R57" s="487"/>
      <c r="S57" s="488"/>
    </row>
    <row r="58" spans="1:19" x14ac:dyDescent="0.25">
      <c r="A58" s="497">
        <v>44593</v>
      </c>
      <c r="B58" s="462">
        <f t="shared" si="5"/>
        <v>4411341.6855555614</v>
      </c>
      <c r="C58" s="462">
        <f t="shared" si="0"/>
        <v>-38660.87777777778</v>
      </c>
      <c r="D58" s="498">
        <f t="shared" si="2"/>
        <v>4372680.8077777838</v>
      </c>
      <c r="E58" s="462">
        <f t="shared" si="6"/>
        <v>-913698.63013698522</v>
      </c>
      <c r="F58" s="462">
        <f t="shared" si="1"/>
        <v>7945.2054794520545</v>
      </c>
      <c r="G58" s="499">
        <f t="shared" si="3"/>
        <v>-30715.672298325724</v>
      </c>
      <c r="H58" s="462">
        <f t="shared" si="4"/>
        <v>3466927.3864535736</v>
      </c>
      <c r="I58" s="462"/>
      <c r="J58" s="462"/>
      <c r="L58" s="462"/>
      <c r="M58" s="499"/>
      <c r="N58" s="497"/>
      <c r="O58" s="488"/>
      <c r="P58" s="497"/>
      <c r="Q58" s="488"/>
      <c r="R58" s="487"/>
      <c r="S58" s="488"/>
    </row>
    <row r="59" spans="1:19" x14ac:dyDescent="0.25">
      <c r="A59" s="497">
        <v>44621</v>
      </c>
      <c r="B59" s="462">
        <f t="shared" si="5"/>
        <v>4372680.8077777838</v>
      </c>
      <c r="C59" s="462">
        <f t="shared" si="0"/>
        <v>-38660.87777777778</v>
      </c>
      <c r="D59" s="498">
        <f t="shared" si="2"/>
        <v>4334019.9300000062</v>
      </c>
      <c r="E59" s="462">
        <f t="shared" si="6"/>
        <v>-905753.42465753318</v>
      </c>
      <c r="F59" s="462">
        <f t="shared" si="1"/>
        <v>7945.2054794520545</v>
      </c>
      <c r="G59" s="499">
        <f t="shared" si="3"/>
        <v>-30715.672298325724</v>
      </c>
      <c r="H59" s="462">
        <f t="shared" si="4"/>
        <v>3436211.7141552479</v>
      </c>
      <c r="I59" s="462"/>
      <c r="J59" s="462"/>
      <c r="L59" s="462"/>
      <c r="M59" s="499"/>
      <c r="N59" s="497"/>
      <c r="O59" s="488"/>
      <c r="P59" s="497"/>
      <c r="Q59" s="488"/>
      <c r="R59" s="487"/>
      <c r="S59" s="488"/>
    </row>
    <row r="60" spans="1:19" x14ac:dyDescent="0.25">
      <c r="A60" s="497">
        <v>44652</v>
      </c>
      <c r="B60" s="462">
        <f t="shared" si="5"/>
        <v>4334019.9300000062</v>
      </c>
      <c r="C60" s="462">
        <f t="shared" si="0"/>
        <v>-38660.87777777778</v>
      </c>
      <c r="D60" s="498">
        <f t="shared" si="2"/>
        <v>4295359.0522222286</v>
      </c>
      <c r="E60" s="462">
        <f t="shared" si="6"/>
        <v>-897808.21917808114</v>
      </c>
      <c r="F60" s="462">
        <f t="shared" si="1"/>
        <v>7945.2054794520545</v>
      </c>
      <c r="G60" s="499">
        <f t="shared" si="3"/>
        <v>-30715.672298325724</v>
      </c>
      <c r="H60" s="462">
        <f t="shared" si="4"/>
        <v>3405496.0418569222</v>
      </c>
      <c r="I60" s="462"/>
      <c r="J60" s="462"/>
      <c r="L60" s="462"/>
      <c r="M60" s="499"/>
      <c r="N60" s="497"/>
      <c r="O60" s="488"/>
      <c r="P60" s="497"/>
      <c r="Q60" s="488"/>
      <c r="R60" s="487"/>
      <c r="S60" s="488"/>
    </row>
    <row r="61" spans="1:19" x14ac:dyDescent="0.25">
      <c r="A61" s="497">
        <v>44682</v>
      </c>
      <c r="B61" s="462">
        <f t="shared" si="5"/>
        <v>4295359.0522222286</v>
      </c>
      <c r="C61" s="462">
        <f t="shared" si="0"/>
        <v>-38660.87777777778</v>
      </c>
      <c r="D61" s="498">
        <f t="shared" si="2"/>
        <v>4256698.174444451</v>
      </c>
      <c r="E61" s="462">
        <f t="shared" si="6"/>
        <v>-889863.0136986291</v>
      </c>
      <c r="F61" s="462">
        <f t="shared" si="1"/>
        <v>7945.2054794520545</v>
      </c>
      <c r="G61" s="499">
        <f t="shared" si="3"/>
        <v>-30715.672298325724</v>
      </c>
      <c r="H61" s="462">
        <f t="shared" si="4"/>
        <v>3374780.3695585965</v>
      </c>
      <c r="I61" s="462"/>
      <c r="J61" s="462"/>
      <c r="L61" s="462"/>
      <c r="M61" s="499"/>
      <c r="N61" s="497"/>
      <c r="O61" s="488"/>
      <c r="P61" s="497"/>
      <c r="Q61" s="488"/>
      <c r="R61" s="487"/>
      <c r="S61" s="488"/>
    </row>
    <row r="62" spans="1:19" x14ac:dyDescent="0.25">
      <c r="A62" s="497">
        <v>44713</v>
      </c>
      <c r="B62" s="462">
        <f t="shared" si="5"/>
        <v>4256698.174444451</v>
      </c>
      <c r="C62" s="462">
        <f t="shared" si="0"/>
        <v>-38660.87777777778</v>
      </c>
      <c r="D62" s="498">
        <f t="shared" si="2"/>
        <v>4218037.2966666734</v>
      </c>
      <c r="E62" s="462">
        <f t="shared" si="6"/>
        <v>-881917.80821917707</v>
      </c>
      <c r="F62" s="462">
        <f t="shared" si="1"/>
        <v>7945.2054794520545</v>
      </c>
      <c r="G62" s="499">
        <f t="shared" si="3"/>
        <v>-30715.672298325724</v>
      </c>
      <c r="H62" s="462">
        <f t="shared" si="4"/>
        <v>3344064.6972602708</v>
      </c>
      <c r="I62" s="462"/>
      <c r="J62" s="462"/>
      <c r="L62" s="462"/>
      <c r="M62" s="499"/>
      <c r="N62" s="497"/>
      <c r="O62" s="488"/>
      <c r="P62" s="497"/>
      <c r="Q62" s="488"/>
      <c r="R62" s="487"/>
      <c r="S62" s="488"/>
    </row>
    <row r="63" spans="1:19" x14ac:dyDescent="0.25">
      <c r="A63" s="497">
        <v>44743</v>
      </c>
      <c r="B63" s="462">
        <f t="shared" si="5"/>
        <v>4218037.2966666734</v>
      </c>
      <c r="C63" s="462">
        <f t="shared" si="0"/>
        <v>-38660.87777777778</v>
      </c>
      <c r="D63" s="498">
        <f t="shared" si="2"/>
        <v>4179376.4188888958</v>
      </c>
      <c r="E63" s="462">
        <f t="shared" si="6"/>
        <v>-873972.60273972503</v>
      </c>
      <c r="F63" s="462">
        <f t="shared" si="1"/>
        <v>7945.2054794520545</v>
      </c>
      <c r="G63" s="499">
        <f t="shared" si="3"/>
        <v>-30715.672298325724</v>
      </c>
      <c r="H63" s="462">
        <f t="shared" si="4"/>
        <v>3313349.0249619451</v>
      </c>
      <c r="I63" s="462"/>
      <c r="J63" s="462"/>
      <c r="L63" s="462"/>
      <c r="M63" s="499"/>
      <c r="N63" s="497"/>
      <c r="O63" s="488"/>
      <c r="P63" s="497"/>
      <c r="Q63" s="488"/>
      <c r="R63" s="487"/>
      <c r="S63" s="488"/>
    </row>
    <row r="64" spans="1:19" x14ac:dyDescent="0.25">
      <c r="A64" s="497">
        <v>44774</v>
      </c>
      <c r="B64" s="462">
        <f t="shared" si="5"/>
        <v>4179376.4188888958</v>
      </c>
      <c r="C64" s="462">
        <f t="shared" si="0"/>
        <v>-38660.87777777778</v>
      </c>
      <c r="D64" s="498">
        <f t="shared" si="2"/>
        <v>4140715.5411111182</v>
      </c>
      <c r="E64" s="462">
        <f t="shared" si="6"/>
        <v>-866027.39726027299</v>
      </c>
      <c r="F64" s="462">
        <f t="shared" si="1"/>
        <v>7945.2054794520545</v>
      </c>
      <c r="G64" s="499">
        <f t="shared" si="3"/>
        <v>-30715.672298325724</v>
      </c>
      <c r="H64" s="462">
        <f t="shared" si="4"/>
        <v>3282633.3526636194</v>
      </c>
      <c r="I64" s="462"/>
      <c r="J64" s="462"/>
      <c r="L64" s="462"/>
      <c r="M64" s="499"/>
      <c r="N64" s="497"/>
      <c r="O64" s="488"/>
      <c r="P64" s="497"/>
      <c r="Q64" s="488"/>
      <c r="R64" s="487"/>
      <c r="S64" s="488"/>
    </row>
    <row r="65" spans="1:19" x14ac:dyDescent="0.25">
      <c r="A65" s="497">
        <v>44805</v>
      </c>
      <c r="B65" s="462">
        <f t="shared" si="5"/>
        <v>4140715.5411111182</v>
      </c>
      <c r="C65" s="462">
        <f t="shared" si="0"/>
        <v>-38660.87777777778</v>
      </c>
      <c r="D65" s="498">
        <f t="shared" si="2"/>
        <v>4102054.6633333405</v>
      </c>
      <c r="E65" s="462">
        <f t="shared" si="6"/>
        <v>-858082.19178082095</v>
      </c>
      <c r="F65" s="462">
        <f t="shared" si="1"/>
        <v>7945.2054794520545</v>
      </c>
      <c r="G65" s="499">
        <f t="shared" si="3"/>
        <v>-30715.672298325724</v>
      </c>
      <c r="H65" s="462">
        <f t="shared" si="4"/>
        <v>3251917.6803652938</v>
      </c>
      <c r="I65" s="462"/>
      <c r="J65" s="462"/>
      <c r="L65" s="462"/>
      <c r="M65" s="499"/>
      <c r="N65" s="497"/>
      <c r="O65" s="488"/>
      <c r="P65" s="497"/>
      <c r="Q65" s="488"/>
      <c r="R65" s="487"/>
      <c r="S65" s="488"/>
    </row>
    <row r="66" spans="1:19" x14ac:dyDescent="0.25">
      <c r="A66" s="497">
        <v>44835</v>
      </c>
      <c r="B66" s="462">
        <f t="shared" si="5"/>
        <v>4102054.6633333405</v>
      </c>
      <c r="C66" s="462">
        <f t="shared" si="0"/>
        <v>-38660.87777777778</v>
      </c>
      <c r="D66" s="498">
        <f t="shared" si="2"/>
        <v>4063393.7855555629</v>
      </c>
      <c r="E66" s="462">
        <f t="shared" si="6"/>
        <v>-850136.98630136892</v>
      </c>
      <c r="F66" s="462">
        <f t="shared" si="1"/>
        <v>7945.2054794520545</v>
      </c>
      <c r="G66" s="499">
        <f t="shared" si="3"/>
        <v>-30715.672298325724</v>
      </c>
      <c r="H66" s="462">
        <f t="shared" si="4"/>
        <v>3221202.0080669681</v>
      </c>
      <c r="I66" s="462"/>
      <c r="J66" s="462"/>
      <c r="L66" s="462"/>
      <c r="M66" s="499"/>
      <c r="N66" s="497"/>
      <c r="O66" s="488"/>
      <c r="P66" s="497"/>
      <c r="Q66" s="488"/>
      <c r="R66" s="487"/>
      <c r="S66" s="488"/>
    </row>
    <row r="67" spans="1:19" x14ac:dyDescent="0.25">
      <c r="A67" s="497">
        <v>44866</v>
      </c>
      <c r="B67" s="462">
        <f t="shared" si="5"/>
        <v>4063393.7855555629</v>
      </c>
      <c r="C67" s="462">
        <f t="shared" si="0"/>
        <v>-38660.87777777778</v>
      </c>
      <c r="D67" s="498">
        <f t="shared" si="2"/>
        <v>4024732.9077777853</v>
      </c>
      <c r="E67" s="462">
        <f t="shared" si="6"/>
        <v>-842191.78082191688</v>
      </c>
      <c r="F67" s="462">
        <f t="shared" si="1"/>
        <v>7945.2054794520545</v>
      </c>
      <c r="G67" s="499">
        <f t="shared" si="3"/>
        <v>-30715.672298325724</v>
      </c>
      <c r="H67" s="462">
        <f t="shared" si="4"/>
        <v>3190486.3357686424</v>
      </c>
      <c r="I67" s="462"/>
      <c r="J67" s="462"/>
      <c r="L67" s="462"/>
      <c r="M67" s="499"/>
      <c r="N67" s="497"/>
      <c r="O67" s="488"/>
      <c r="P67" s="497"/>
      <c r="Q67" s="488"/>
      <c r="R67" s="487"/>
      <c r="S67" s="488"/>
    </row>
    <row r="68" spans="1:19" x14ac:dyDescent="0.25">
      <c r="A68" s="497">
        <v>44896</v>
      </c>
      <c r="B68" s="462">
        <f t="shared" si="5"/>
        <v>4024732.9077777853</v>
      </c>
      <c r="C68" s="462">
        <f t="shared" si="0"/>
        <v>-38660.87777777778</v>
      </c>
      <c r="D68" s="498">
        <f t="shared" si="2"/>
        <v>3986072.0300000077</v>
      </c>
      <c r="E68" s="462">
        <f t="shared" si="6"/>
        <v>-834246.57534246484</v>
      </c>
      <c r="F68" s="462">
        <f t="shared" si="1"/>
        <v>7945.2054794520545</v>
      </c>
      <c r="G68" s="499">
        <f t="shared" si="3"/>
        <v>-30715.672298325724</v>
      </c>
      <c r="H68" s="462">
        <f t="shared" si="4"/>
        <v>3159770.6634703167</v>
      </c>
      <c r="I68" s="462"/>
      <c r="J68" s="462"/>
      <c r="L68" s="462"/>
      <c r="M68" s="499"/>
      <c r="N68" s="497"/>
      <c r="O68" s="488"/>
      <c r="P68" s="497"/>
      <c r="Q68" s="488"/>
      <c r="R68" s="487"/>
      <c r="S68" s="488"/>
    </row>
    <row r="69" spans="1:19" x14ac:dyDescent="0.25">
      <c r="A69" s="497">
        <v>44927</v>
      </c>
      <c r="B69" s="462">
        <f t="shared" si="5"/>
        <v>3986072.0300000077</v>
      </c>
      <c r="C69" s="462">
        <f t="shared" si="0"/>
        <v>-38660.87777777778</v>
      </c>
      <c r="D69" s="498">
        <f t="shared" si="2"/>
        <v>3947411.1522222301</v>
      </c>
      <c r="E69" s="462">
        <f t="shared" si="6"/>
        <v>-826301.36986301281</v>
      </c>
      <c r="F69" s="462">
        <f t="shared" si="1"/>
        <v>7945.2054794520545</v>
      </c>
      <c r="G69" s="499">
        <f t="shared" si="3"/>
        <v>-30715.672298325724</v>
      </c>
      <c r="H69" s="462">
        <f t="shared" si="4"/>
        <v>3129054.991171991</v>
      </c>
      <c r="I69" s="462"/>
      <c r="J69" s="462"/>
      <c r="L69" s="462"/>
      <c r="M69" s="499"/>
      <c r="N69" s="497"/>
      <c r="O69" s="488"/>
      <c r="P69" s="497"/>
      <c r="Q69" s="488"/>
      <c r="R69" s="487"/>
      <c r="S69" s="488"/>
    </row>
    <row r="70" spans="1:19" x14ac:dyDescent="0.25">
      <c r="A70" s="497">
        <v>44958</v>
      </c>
      <c r="B70" s="462">
        <f t="shared" si="5"/>
        <v>3947411.1522222301</v>
      </c>
      <c r="C70" s="462">
        <f t="shared" si="0"/>
        <v>-38660.87777777778</v>
      </c>
      <c r="D70" s="498">
        <f t="shared" si="2"/>
        <v>3908750.2744444525</v>
      </c>
      <c r="E70" s="462">
        <f t="shared" si="6"/>
        <v>-818356.16438356077</v>
      </c>
      <c r="F70" s="462">
        <f t="shared" si="1"/>
        <v>7945.2054794520545</v>
      </c>
      <c r="G70" s="499">
        <f t="shared" si="3"/>
        <v>-30715.672298325724</v>
      </c>
      <c r="H70" s="462">
        <f t="shared" si="4"/>
        <v>3098339.3188736653</v>
      </c>
      <c r="I70" s="462"/>
      <c r="J70" s="462"/>
      <c r="L70" s="462"/>
      <c r="M70" s="499"/>
      <c r="N70" s="497"/>
      <c r="O70" s="488"/>
      <c r="P70" s="497"/>
      <c r="Q70" s="488"/>
      <c r="R70" s="487"/>
      <c r="S70" s="488"/>
    </row>
    <row r="71" spans="1:19" x14ac:dyDescent="0.25">
      <c r="A71" s="497">
        <v>44986</v>
      </c>
      <c r="B71" s="462">
        <f t="shared" si="5"/>
        <v>3908750.2744444525</v>
      </c>
      <c r="C71" s="462">
        <f t="shared" si="0"/>
        <v>-38660.87777777778</v>
      </c>
      <c r="D71" s="498">
        <f t="shared" si="2"/>
        <v>3870089.3966666749</v>
      </c>
      <c r="E71" s="462">
        <f t="shared" si="6"/>
        <v>-810410.95890410873</v>
      </c>
      <c r="F71" s="462">
        <f t="shared" si="1"/>
        <v>7945.2054794520545</v>
      </c>
      <c r="G71" s="499">
        <f t="shared" si="3"/>
        <v>-30715.672298325724</v>
      </c>
      <c r="H71" s="462">
        <f t="shared" si="4"/>
        <v>3067623.6465753396</v>
      </c>
      <c r="I71" s="462"/>
      <c r="J71" s="462"/>
      <c r="L71" s="462"/>
      <c r="M71" s="499"/>
      <c r="N71" s="497"/>
      <c r="O71" s="488"/>
      <c r="P71" s="497"/>
      <c r="Q71" s="488"/>
      <c r="R71" s="487"/>
      <c r="S71" s="488"/>
    </row>
    <row r="72" spans="1:19" x14ac:dyDescent="0.25">
      <c r="A72" s="497">
        <v>45017</v>
      </c>
      <c r="B72" s="462">
        <f t="shared" si="5"/>
        <v>3870089.3966666749</v>
      </c>
      <c r="C72" s="462">
        <f t="shared" si="0"/>
        <v>-38660.87777777778</v>
      </c>
      <c r="D72" s="498">
        <f t="shared" si="2"/>
        <v>3831428.5188888973</v>
      </c>
      <c r="E72" s="462">
        <f t="shared" si="6"/>
        <v>-802465.75342465669</v>
      </c>
      <c r="F72" s="462">
        <f t="shared" si="1"/>
        <v>7945.2054794520545</v>
      </c>
      <c r="G72" s="499">
        <f t="shared" si="3"/>
        <v>-30715.672298325724</v>
      </c>
      <c r="H72" s="462">
        <f t="shared" si="4"/>
        <v>3036907.9742770139</v>
      </c>
      <c r="I72" s="462"/>
      <c r="J72" s="462"/>
      <c r="L72" s="462"/>
      <c r="M72" s="499"/>
      <c r="N72" s="497"/>
      <c r="O72" s="488"/>
      <c r="P72" s="497"/>
      <c r="Q72" s="488"/>
      <c r="R72" s="487"/>
      <c r="S72" s="488"/>
    </row>
    <row r="73" spans="1:19" x14ac:dyDescent="0.25">
      <c r="A73" s="497">
        <v>45047</v>
      </c>
      <c r="B73" s="462">
        <f t="shared" si="5"/>
        <v>3831428.5188888973</v>
      </c>
      <c r="C73" s="462">
        <f t="shared" si="0"/>
        <v>-38660.87777777778</v>
      </c>
      <c r="D73" s="498">
        <f t="shared" si="2"/>
        <v>3792767.6411111197</v>
      </c>
      <c r="E73" s="462">
        <f t="shared" si="6"/>
        <v>-794520.54794520466</v>
      </c>
      <c r="F73" s="462">
        <f t="shared" si="1"/>
        <v>7945.2054794520545</v>
      </c>
      <c r="G73" s="499">
        <f t="shared" si="3"/>
        <v>-30715.672298325724</v>
      </c>
      <c r="H73" s="462">
        <f t="shared" si="4"/>
        <v>3006192.3019786882</v>
      </c>
      <c r="I73" s="462"/>
      <c r="J73" s="462"/>
      <c r="L73" s="462"/>
      <c r="M73" s="499"/>
      <c r="N73" s="497"/>
      <c r="O73" s="488"/>
      <c r="P73" s="497"/>
      <c r="Q73" s="488"/>
      <c r="R73" s="487"/>
      <c r="S73" s="488"/>
    </row>
    <row r="74" spans="1:19" x14ac:dyDescent="0.25">
      <c r="A74" s="497">
        <v>45078</v>
      </c>
      <c r="B74" s="462">
        <f t="shared" si="5"/>
        <v>3792767.6411111197</v>
      </c>
      <c r="C74" s="462">
        <f t="shared" si="0"/>
        <v>-38660.87777777778</v>
      </c>
      <c r="D74" s="498">
        <f t="shared" si="2"/>
        <v>3754106.763333342</v>
      </c>
      <c r="E74" s="462">
        <f t="shared" si="6"/>
        <v>-786575.34246575262</v>
      </c>
      <c r="F74" s="462">
        <f t="shared" si="1"/>
        <v>7945.2054794520545</v>
      </c>
      <c r="G74" s="499">
        <f t="shared" si="3"/>
        <v>-30715.672298325724</v>
      </c>
      <c r="H74" s="462">
        <f t="shared" si="4"/>
        <v>2975476.6296803625</v>
      </c>
      <c r="I74" s="462"/>
      <c r="J74" s="462"/>
      <c r="L74" s="462"/>
      <c r="M74" s="499"/>
      <c r="N74" s="497"/>
      <c r="O74" s="488"/>
      <c r="P74" s="497"/>
      <c r="Q74" s="488"/>
      <c r="R74" s="487"/>
      <c r="S74" s="488"/>
    </row>
    <row r="75" spans="1:19" x14ac:dyDescent="0.25">
      <c r="A75" s="497">
        <v>45108</v>
      </c>
      <c r="B75" s="462">
        <f t="shared" si="5"/>
        <v>3754106.763333342</v>
      </c>
      <c r="C75" s="462">
        <f t="shared" si="0"/>
        <v>-38660.87777777778</v>
      </c>
      <c r="D75" s="498">
        <f t="shared" si="2"/>
        <v>3715445.8855555644</v>
      </c>
      <c r="E75" s="462">
        <f t="shared" si="6"/>
        <v>-778630.13698630058</v>
      </c>
      <c r="F75" s="462">
        <f t="shared" si="1"/>
        <v>7945.2054794520545</v>
      </c>
      <c r="G75" s="499">
        <f t="shared" si="3"/>
        <v>-30715.672298325724</v>
      </c>
      <c r="H75" s="462">
        <f t="shared" si="4"/>
        <v>2944760.9573820368</v>
      </c>
      <c r="I75" s="462"/>
      <c r="J75" s="462"/>
      <c r="L75" s="462"/>
      <c r="M75" s="499"/>
      <c r="N75" s="497"/>
      <c r="O75" s="488"/>
      <c r="P75" s="497"/>
      <c r="Q75" s="488"/>
      <c r="R75" s="487"/>
      <c r="S75" s="488"/>
    </row>
    <row r="76" spans="1:19" x14ac:dyDescent="0.25">
      <c r="A76" s="497">
        <v>45139</v>
      </c>
      <c r="B76" s="462">
        <f t="shared" si="5"/>
        <v>3715445.8855555644</v>
      </c>
      <c r="C76" s="462">
        <f t="shared" si="0"/>
        <v>-38660.87777777778</v>
      </c>
      <c r="D76" s="498">
        <f t="shared" si="2"/>
        <v>3676785.0077777868</v>
      </c>
      <c r="E76" s="462">
        <f t="shared" si="6"/>
        <v>-770684.93150684854</v>
      </c>
      <c r="F76" s="462">
        <f t="shared" si="1"/>
        <v>7945.2054794520545</v>
      </c>
      <c r="G76" s="499">
        <f t="shared" si="3"/>
        <v>-30715.672298325724</v>
      </c>
      <c r="H76" s="462">
        <f t="shared" si="4"/>
        <v>2914045.2850837111</v>
      </c>
      <c r="I76" s="462"/>
      <c r="J76" s="462"/>
      <c r="L76" s="462"/>
      <c r="M76" s="499"/>
      <c r="N76" s="497"/>
      <c r="O76" s="488"/>
      <c r="P76" s="497"/>
      <c r="Q76" s="488"/>
      <c r="R76" s="487"/>
      <c r="S76" s="488"/>
    </row>
    <row r="77" spans="1:19" x14ac:dyDescent="0.25">
      <c r="A77" s="497">
        <v>45170</v>
      </c>
      <c r="B77" s="462">
        <f t="shared" si="5"/>
        <v>3676785.0077777868</v>
      </c>
      <c r="C77" s="462">
        <f t="shared" si="0"/>
        <v>-38660.87777777778</v>
      </c>
      <c r="D77" s="498">
        <f t="shared" si="2"/>
        <v>3638124.1300000092</v>
      </c>
      <c r="E77" s="462">
        <f t="shared" si="6"/>
        <v>-762739.72602739651</v>
      </c>
      <c r="F77" s="462">
        <f t="shared" si="1"/>
        <v>7945.2054794520545</v>
      </c>
      <c r="G77" s="499">
        <f t="shared" si="3"/>
        <v>-30715.672298325724</v>
      </c>
      <c r="H77" s="462">
        <f t="shared" si="4"/>
        <v>2883329.6127853855</v>
      </c>
      <c r="I77" s="462"/>
      <c r="J77" s="462"/>
      <c r="L77" s="462"/>
      <c r="M77" s="499"/>
      <c r="N77" s="497"/>
      <c r="O77" s="488"/>
      <c r="P77" s="497"/>
      <c r="Q77" s="488"/>
      <c r="R77" s="487"/>
      <c r="S77" s="488"/>
    </row>
    <row r="78" spans="1:19" x14ac:dyDescent="0.25">
      <c r="A78" s="497">
        <v>45200</v>
      </c>
      <c r="B78" s="462">
        <f t="shared" si="5"/>
        <v>3638124.1300000092</v>
      </c>
      <c r="C78" s="462">
        <f t="shared" si="0"/>
        <v>-38660.87777777778</v>
      </c>
      <c r="D78" s="498">
        <f t="shared" si="2"/>
        <v>3599463.2522222316</v>
      </c>
      <c r="E78" s="462">
        <f t="shared" si="6"/>
        <v>-754794.52054794447</v>
      </c>
      <c r="F78" s="462">
        <f t="shared" si="1"/>
        <v>7945.2054794520545</v>
      </c>
      <c r="G78" s="499">
        <f t="shared" si="3"/>
        <v>-30715.672298325724</v>
      </c>
      <c r="H78" s="462">
        <f t="shared" si="4"/>
        <v>2852613.9404870598</v>
      </c>
      <c r="I78" s="462"/>
      <c r="J78" s="462"/>
      <c r="L78" s="462"/>
      <c r="M78" s="499"/>
      <c r="N78" s="497"/>
      <c r="O78" s="488"/>
      <c r="P78" s="497"/>
      <c r="Q78" s="488"/>
      <c r="R78" s="487"/>
      <c r="S78" s="488"/>
    </row>
    <row r="79" spans="1:19" x14ac:dyDescent="0.25">
      <c r="A79" s="497">
        <v>45231</v>
      </c>
      <c r="B79" s="462">
        <f t="shared" si="5"/>
        <v>3599463.2522222316</v>
      </c>
      <c r="C79" s="462">
        <f t="shared" si="0"/>
        <v>-38660.87777777778</v>
      </c>
      <c r="D79" s="498">
        <f t="shared" si="2"/>
        <v>3560802.374444454</v>
      </c>
      <c r="E79" s="462">
        <f t="shared" si="6"/>
        <v>-746849.31506849243</v>
      </c>
      <c r="F79" s="462">
        <f t="shared" si="1"/>
        <v>7945.2054794520545</v>
      </c>
      <c r="G79" s="499">
        <f t="shared" si="3"/>
        <v>-30715.672298325724</v>
      </c>
      <c r="H79" s="462">
        <f t="shared" si="4"/>
        <v>2821898.2681887341</v>
      </c>
      <c r="I79" s="462"/>
      <c r="J79" s="462"/>
      <c r="L79" s="462"/>
      <c r="M79" s="499"/>
      <c r="N79" s="497"/>
      <c r="O79" s="488"/>
      <c r="P79" s="497"/>
      <c r="Q79" s="488"/>
      <c r="R79" s="487"/>
      <c r="S79" s="488"/>
    </row>
    <row r="80" spans="1:19" x14ac:dyDescent="0.25">
      <c r="A80" s="497">
        <v>45261</v>
      </c>
      <c r="B80" s="462">
        <f t="shared" si="5"/>
        <v>3560802.374444454</v>
      </c>
      <c r="C80" s="462">
        <f t="shared" si="0"/>
        <v>-38660.87777777778</v>
      </c>
      <c r="D80" s="498">
        <f t="shared" si="2"/>
        <v>3522141.4966666764</v>
      </c>
      <c r="E80" s="462">
        <f t="shared" si="6"/>
        <v>-738904.1095890404</v>
      </c>
      <c r="F80" s="462">
        <f t="shared" si="1"/>
        <v>7945.2054794520545</v>
      </c>
      <c r="G80" s="499">
        <f t="shared" si="3"/>
        <v>-30715.672298325724</v>
      </c>
      <c r="H80" s="462">
        <f t="shared" si="4"/>
        <v>2791182.5958904084</v>
      </c>
      <c r="I80" s="462"/>
      <c r="J80" s="462"/>
      <c r="L80" s="462"/>
      <c r="M80" s="499"/>
      <c r="N80" s="497"/>
      <c r="O80" s="488"/>
      <c r="P80" s="497"/>
      <c r="Q80" s="488"/>
      <c r="R80" s="487"/>
      <c r="S80" s="488"/>
    </row>
    <row r="81" spans="1:19" x14ac:dyDescent="0.25">
      <c r="A81" s="497">
        <v>45292</v>
      </c>
      <c r="B81" s="462">
        <f t="shared" si="5"/>
        <v>3522141.4966666764</v>
      </c>
      <c r="C81" s="462">
        <f t="shared" si="0"/>
        <v>-38660.87777777778</v>
      </c>
      <c r="D81" s="498">
        <f t="shared" si="2"/>
        <v>3483480.6188888988</v>
      </c>
      <c r="E81" s="462">
        <f t="shared" si="6"/>
        <v>-730958.90410958836</v>
      </c>
      <c r="F81" s="462">
        <f t="shared" si="1"/>
        <v>7945.2054794520545</v>
      </c>
      <c r="G81" s="499">
        <f t="shared" si="3"/>
        <v>-30715.672298325724</v>
      </c>
      <c r="H81" s="462">
        <f t="shared" si="4"/>
        <v>2760466.9235920827</v>
      </c>
      <c r="I81" s="462"/>
      <c r="J81" s="462"/>
      <c r="L81" s="462"/>
      <c r="M81" s="499"/>
      <c r="N81" s="497"/>
      <c r="O81" s="488"/>
      <c r="P81" s="497"/>
      <c r="Q81" s="488"/>
      <c r="R81" s="487"/>
      <c r="S81" s="488"/>
    </row>
    <row r="82" spans="1:19" x14ac:dyDescent="0.25">
      <c r="A82" s="497">
        <v>45323</v>
      </c>
      <c r="B82" s="462">
        <f t="shared" si="5"/>
        <v>3483480.6188888988</v>
      </c>
      <c r="C82" s="462">
        <f t="shared" si="0"/>
        <v>-38660.87777777778</v>
      </c>
      <c r="D82" s="498">
        <f t="shared" si="2"/>
        <v>3444819.7411111211</v>
      </c>
      <c r="E82" s="462">
        <f t="shared" si="6"/>
        <v>-723013.69863013632</v>
      </c>
      <c r="F82" s="462">
        <f t="shared" si="1"/>
        <v>7945.2054794520545</v>
      </c>
      <c r="G82" s="499">
        <f t="shared" si="3"/>
        <v>-30715.672298325724</v>
      </c>
      <c r="H82" s="462">
        <f t="shared" si="4"/>
        <v>2729751.251293757</v>
      </c>
      <c r="I82" s="462"/>
      <c r="J82" s="462"/>
      <c r="L82" s="462"/>
      <c r="M82" s="499"/>
      <c r="N82" s="497"/>
      <c r="O82" s="488"/>
      <c r="P82" s="497"/>
      <c r="Q82" s="488"/>
      <c r="R82" s="487"/>
      <c r="S82" s="488"/>
    </row>
    <row r="83" spans="1:19" x14ac:dyDescent="0.25">
      <c r="A83" s="497">
        <v>45352</v>
      </c>
      <c r="B83" s="462">
        <f t="shared" si="5"/>
        <v>3444819.7411111211</v>
      </c>
      <c r="C83" s="462">
        <f t="shared" si="0"/>
        <v>-38660.87777777778</v>
      </c>
      <c r="D83" s="498">
        <f t="shared" si="2"/>
        <v>3406158.8633333435</v>
      </c>
      <c r="E83" s="462">
        <f t="shared" si="6"/>
        <v>-715068.49315068428</v>
      </c>
      <c r="F83" s="462">
        <f t="shared" si="1"/>
        <v>7945.2054794520545</v>
      </c>
      <c r="G83" s="499">
        <f t="shared" si="3"/>
        <v>-30715.672298325724</v>
      </c>
      <c r="H83" s="462">
        <f t="shared" si="4"/>
        <v>2699035.5789954313</v>
      </c>
      <c r="I83" s="462"/>
      <c r="J83" s="462"/>
      <c r="L83" s="462"/>
      <c r="M83" s="499"/>
      <c r="N83" s="487"/>
      <c r="O83" s="488"/>
      <c r="P83" s="497"/>
      <c r="Q83" s="488"/>
      <c r="R83" s="487"/>
      <c r="S83" s="449"/>
    </row>
    <row r="84" spans="1:19" x14ac:dyDescent="0.25">
      <c r="A84" s="497">
        <v>45383</v>
      </c>
      <c r="B84" s="462">
        <f t="shared" si="5"/>
        <v>3406158.8633333435</v>
      </c>
      <c r="C84" s="462">
        <f t="shared" si="0"/>
        <v>-38660.87777777778</v>
      </c>
      <c r="D84" s="498">
        <f t="shared" si="2"/>
        <v>3367497.9855555659</v>
      </c>
      <c r="E84" s="462">
        <f t="shared" si="6"/>
        <v>-707123.28767123225</v>
      </c>
      <c r="F84" s="462">
        <f t="shared" si="1"/>
        <v>7945.2054794520545</v>
      </c>
      <c r="G84" s="499">
        <f t="shared" si="3"/>
        <v>-30715.672298325724</v>
      </c>
      <c r="H84" s="462">
        <f t="shared" si="4"/>
        <v>2668319.9066971056</v>
      </c>
      <c r="I84" s="462"/>
      <c r="J84" s="462"/>
      <c r="L84" s="462"/>
      <c r="M84" s="499"/>
      <c r="N84" s="487"/>
      <c r="O84" s="449"/>
      <c r="P84" s="487"/>
      <c r="Q84" s="449"/>
      <c r="R84" s="487"/>
      <c r="S84" s="449"/>
    </row>
    <row r="85" spans="1:19" x14ac:dyDescent="0.25">
      <c r="A85" s="497">
        <v>45413</v>
      </c>
      <c r="B85" s="462">
        <f t="shared" si="5"/>
        <v>3367497.9855555659</v>
      </c>
      <c r="C85" s="462">
        <f t="shared" si="0"/>
        <v>-38660.87777777778</v>
      </c>
      <c r="D85" s="498">
        <f t="shared" si="2"/>
        <v>3328837.1077777883</v>
      </c>
      <c r="E85" s="462">
        <f t="shared" si="6"/>
        <v>-699178.08219178021</v>
      </c>
      <c r="F85" s="462">
        <f t="shared" si="1"/>
        <v>7945.2054794520545</v>
      </c>
      <c r="G85" s="499">
        <f t="shared" si="3"/>
        <v>-30715.672298325724</v>
      </c>
      <c r="H85" s="462">
        <f t="shared" si="4"/>
        <v>2637604.2343987799</v>
      </c>
      <c r="I85" s="462"/>
      <c r="J85" s="462"/>
      <c r="L85" s="462"/>
      <c r="M85" s="499"/>
      <c r="O85" s="449"/>
      <c r="P85" s="487"/>
      <c r="Q85" s="449"/>
    </row>
    <row r="86" spans="1:19" x14ac:dyDescent="0.25">
      <c r="A86" s="497">
        <v>45444</v>
      </c>
      <c r="B86" s="462">
        <f t="shared" si="5"/>
        <v>3328837.1077777883</v>
      </c>
      <c r="C86" s="462">
        <f t="shared" si="0"/>
        <v>-38660.87777777778</v>
      </c>
      <c r="D86" s="498">
        <f t="shared" si="2"/>
        <v>3290176.2300000107</v>
      </c>
      <c r="E86" s="462">
        <f t="shared" si="6"/>
        <v>-691232.87671232817</v>
      </c>
      <c r="F86" s="462">
        <f t="shared" si="1"/>
        <v>7945.2054794520545</v>
      </c>
      <c r="G86" s="499">
        <f t="shared" si="3"/>
        <v>-30715.672298325724</v>
      </c>
      <c r="H86" s="462">
        <f t="shared" si="4"/>
        <v>2606888.5621004542</v>
      </c>
      <c r="I86" s="462"/>
      <c r="J86" s="462"/>
      <c r="L86" s="462"/>
      <c r="M86" s="499"/>
    </row>
    <row r="87" spans="1:19" x14ac:dyDescent="0.25">
      <c r="A87" s="497">
        <v>45474</v>
      </c>
      <c r="B87" s="462">
        <f t="shared" si="5"/>
        <v>3290176.2300000107</v>
      </c>
      <c r="C87" s="462">
        <f t="shared" si="0"/>
        <v>-38660.87777777778</v>
      </c>
      <c r="D87" s="498">
        <f t="shared" si="2"/>
        <v>3251515.3522222331</v>
      </c>
      <c r="E87" s="462">
        <f t="shared" si="6"/>
        <v>-683287.67123287614</v>
      </c>
      <c r="F87" s="462">
        <f t="shared" si="1"/>
        <v>7945.2054794520545</v>
      </c>
      <c r="G87" s="499">
        <f t="shared" si="3"/>
        <v>-30715.672298325724</v>
      </c>
      <c r="H87" s="462">
        <f t="shared" si="4"/>
        <v>2576172.8898021285</v>
      </c>
      <c r="I87" s="462"/>
      <c r="J87" s="462"/>
      <c r="L87" s="462"/>
      <c r="M87" s="499"/>
    </row>
    <row r="88" spans="1:19" x14ac:dyDescent="0.25">
      <c r="A88" s="497">
        <v>45505</v>
      </c>
      <c r="B88" s="462">
        <f t="shared" si="5"/>
        <v>3251515.3522222331</v>
      </c>
      <c r="C88" s="462">
        <f t="shared" si="0"/>
        <v>-38660.87777777778</v>
      </c>
      <c r="D88" s="498">
        <f t="shared" si="2"/>
        <v>3212854.4744444555</v>
      </c>
      <c r="E88" s="462">
        <f t="shared" si="6"/>
        <v>-675342.4657534241</v>
      </c>
      <c r="F88" s="462">
        <f t="shared" si="1"/>
        <v>7945.2054794520545</v>
      </c>
      <c r="G88" s="499">
        <f t="shared" si="3"/>
        <v>-30715.672298325724</v>
      </c>
      <c r="H88" s="462">
        <f t="shared" si="4"/>
        <v>2545457.2175038029</v>
      </c>
      <c r="I88" s="462"/>
      <c r="J88" s="462"/>
      <c r="L88" s="462"/>
      <c r="M88" s="499"/>
    </row>
    <row r="89" spans="1:19" ht="18" x14ac:dyDescent="0.25">
      <c r="A89" s="497">
        <v>45536</v>
      </c>
      <c r="B89" s="462">
        <f t="shared" si="5"/>
        <v>3212854.4744444555</v>
      </c>
      <c r="C89" s="462">
        <f t="shared" si="0"/>
        <v>-38660.87777777778</v>
      </c>
      <c r="D89" s="498">
        <f t="shared" si="2"/>
        <v>3174193.5966666779</v>
      </c>
      <c r="E89" s="462">
        <f t="shared" si="6"/>
        <v>-667397.26027397206</v>
      </c>
      <c r="F89" s="462">
        <f t="shared" si="1"/>
        <v>7945.2054794520545</v>
      </c>
      <c r="G89" s="499">
        <f t="shared" si="3"/>
        <v>-30715.672298325724</v>
      </c>
      <c r="H89" s="462">
        <f t="shared" si="4"/>
        <v>2514741.5452054772</v>
      </c>
      <c r="I89" s="462"/>
      <c r="J89" s="462"/>
      <c r="L89" s="462"/>
      <c r="M89" s="499"/>
      <c r="R89" s="500"/>
      <c r="S89" s="500"/>
    </row>
    <row r="90" spans="1:19" ht="18" x14ac:dyDescent="0.25">
      <c r="A90" s="497">
        <v>45566</v>
      </c>
      <c r="B90" s="462">
        <f t="shared" si="5"/>
        <v>3174193.5966666779</v>
      </c>
      <c r="C90" s="462">
        <f t="shared" si="0"/>
        <v>-38660.87777777778</v>
      </c>
      <c r="D90" s="498">
        <f t="shared" si="2"/>
        <v>3135532.7188889002</v>
      </c>
      <c r="E90" s="462">
        <f t="shared" si="6"/>
        <v>-659452.05479452002</v>
      </c>
      <c r="F90" s="462">
        <f t="shared" si="1"/>
        <v>7945.2054794520545</v>
      </c>
      <c r="G90" s="499">
        <f t="shared" si="3"/>
        <v>-30715.672298325724</v>
      </c>
      <c r="H90" s="462">
        <f t="shared" si="4"/>
        <v>2484025.8729071515</v>
      </c>
      <c r="I90" s="462"/>
      <c r="J90" s="462"/>
      <c r="L90" s="462"/>
      <c r="M90" s="499"/>
      <c r="Q90" s="500"/>
      <c r="R90" s="500"/>
      <c r="S90" s="500"/>
    </row>
    <row r="91" spans="1:19" ht="18" x14ac:dyDescent="0.25">
      <c r="A91" s="497">
        <v>45597</v>
      </c>
      <c r="B91" s="462">
        <f t="shared" si="5"/>
        <v>3135532.7188889002</v>
      </c>
      <c r="C91" s="462">
        <f t="shared" ref="C91:C154" si="7">-$D$18</f>
        <v>-38660.87777777778</v>
      </c>
      <c r="D91" s="498">
        <f t="shared" si="2"/>
        <v>3096871.8411111226</v>
      </c>
      <c r="E91" s="462">
        <f t="shared" si="6"/>
        <v>-651506.84931506799</v>
      </c>
      <c r="F91" s="462">
        <f t="shared" ref="F91:F154" si="8">$D$12</f>
        <v>7945.2054794520545</v>
      </c>
      <c r="G91" s="499">
        <f t="shared" si="3"/>
        <v>-30715.672298325724</v>
      </c>
      <c r="H91" s="462">
        <f t="shared" si="4"/>
        <v>2453310.2006088258</v>
      </c>
      <c r="I91" s="462"/>
      <c r="J91" s="462"/>
      <c r="L91" s="462"/>
      <c r="M91" s="499"/>
      <c r="Q91" s="500"/>
      <c r="R91" s="500"/>
      <c r="S91" s="500"/>
    </row>
    <row r="92" spans="1:19" ht="18" x14ac:dyDescent="0.25">
      <c r="A92" s="497">
        <v>45627</v>
      </c>
      <c r="B92" s="462">
        <f t="shared" si="5"/>
        <v>3096871.8411111226</v>
      </c>
      <c r="C92" s="462">
        <f t="shared" si="7"/>
        <v>-38660.87777777778</v>
      </c>
      <c r="D92" s="498">
        <f t="shared" ref="D92:D155" si="9">B92+C92</f>
        <v>3058210.963333345</v>
      </c>
      <c r="E92" s="462">
        <f t="shared" si="6"/>
        <v>-643561.64383561595</v>
      </c>
      <c r="F92" s="462">
        <f t="shared" si="8"/>
        <v>7945.2054794520545</v>
      </c>
      <c r="G92" s="499">
        <f t="shared" ref="G92:G155" si="10">C92+F92</f>
        <v>-30715.672298325724</v>
      </c>
      <c r="H92" s="462">
        <f t="shared" ref="H92:H155" si="11">H91+G92</f>
        <v>2422594.5283105001</v>
      </c>
      <c r="I92" s="462"/>
      <c r="J92" s="462"/>
      <c r="L92" s="462"/>
      <c r="M92" s="499"/>
      <c r="Q92" s="500"/>
    </row>
    <row r="93" spans="1:19" x14ac:dyDescent="0.25">
      <c r="A93" s="497">
        <v>45658</v>
      </c>
      <c r="B93" s="462">
        <f t="shared" ref="B93:B156" si="12">D92</f>
        <v>3058210.963333345</v>
      </c>
      <c r="C93" s="462">
        <f t="shared" si="7"/>
        <v>-38660.87777777778</v>
      </c>
      <c r="D93" s="498">
        <f t="shared" si="9"/>
        <v>3019550.0855555674</v>
      </c>
      <c r="E93" s="462">
        <f t="shared" ref="E93:E156" si="13">E92+F92</f>
        <v>-635616.43835616391</v>
      </c>
      <c r="F93" s="462">
        <f t="shared" si="8"/>
        <v>7945.2054794520545</v>
      </c>
      <c r="G93" s="499">
        <f t="shared" si="10"/>
        <v>-30715.672298325724</v>
      </c>
      <c r="H93" s="462">
        <f t="shared" si="11"/>
        <v>2391878.8560121744</v>
      </c>
      <c r="I93" s="462"/>
      <c r="J93" s="462"/>
      <c r="L93" s="462"/>
      <c r="M93" s="499"/>
    </row>
    <row r="94" spans="1:19" x14ac:dyDescent="0.25">
      <c r="A94" s="497">
        <v>45689</v>
      </c>
      <c r="B94" s="462">
        <f t="shared" si="12"/>
        <v>3019550.0855555674</v>
      </c>
      <c r="C94" s="462">
        <f t="shared" si="7"/>
        <v>-38660.87777777778</v>
      </c>
      <c r="D94" s="498">
        <f t="shared" si="9"/>
        <v>2980889.2077777898</v>
      </c>
      <c r="E94" s="462">
        <f t="shared" si="13"/>
        <v>-627671.23287671187</v>
      </c>
      <c r="F94" s="462">
        <f t="shared" si="8"/>
        <v>7945.2054794520545</v>
      </c>
      <c r="G94" s="499">
        <f t="shared" si="10"/>
        <v>-30715.672298325724</v>
      </c>
      <c r="H94" s="462">
        <f t="shared" si="11"/>
        <v>2361163.1837138487</v>
      </c>
      <c r="I94" s="462"/>
      <c r="J94" s="462"/>
      <c r="L94" s="462"/>
      <c r="M94" s="499"/>
    </row>
    <row r="95" spans="1:19" x14ac:dyDescent="0.25">
      <c r="A95" s="497">
        <v>45717</v>
      </c>
      <c r="B95" s="462">
        <f t="shared" si="12"/>
        <v>2980889.2077777898</v>
      </c>
      <c r="C95" s="462">
        <f t="shared" si="7"/>
        <v>-38660.87777777778</v>
      </c>
      <c r="D95" s="498">
        <f t="shared" si="9"/>
        <v>2942228.3300000122</v>
      </c>
      <c r="E95" s="462">
        <f t="shared" si="13"/>
        <v>-619726.02739725984</v>
      </c>
      <c r="F95" s="462">
        <f t="shared" si="8"/>
        <v>7945.2054794520545</v>
      </c>
      <c r="G95" s="499">
        <f t="shared" si="10"/>
        <v>-30715.672298325724</v>
      </c>
      <c r="H95" s="462">
        <f t="shared" si="11"/>
        <v>2330447.511415523</v>
      </c>
      <c r="I95" s="462"/>
      <c r="J95" s="462"/>
      <c r="L95" s="462"/>
      <c r="M95" s="499"/>
    </row>
    <row r="96" spans="1:19" x14ac:dyDescent="0.25">
      <c r="A96" s="497">
        <v>45748</v>
      </c>
      <c r="B96" s="462">
        <f t="shared" si="12"/>
        <v>2942228.3300000122</v>
      </c>
      <c r="C96" s="462">
        <f t="shared" si="7"/>
        <v>-38660.87777777778</v>
      </c>
      <c r="D96" s="498">
        <f t="shared" si="9"/>
        <v>2903567.4522222346</v>
      </c>
      <c r="E96" s="462">
        <f t="shared" si="13"/>
        <v>-611780.8219178078</v>
      </c>
      <c r="F96" s="462">
        <f t="shared" si="8"/>
        <v>7945.2054794520545</v>
      </c>
      <c r="G96" s="499">
        <f t="shared" si="10"/>
        <v>-30715.672298325724</v>
      </c>
      <c r="H96" s="462">
        <f t="shared" si="11"/>
        <v>2299731.8391171973</v>
      </c>
      <c r="I96" s="462"/>
      <c r="J96" s="462"/>
      <c r="L96" s="462"/>
      <c r="M96" s="499"/>
    </row>
    <row r="97" spans="1:19" x14ac:dyDescent="0.25">
      <c r="A97" s="497">
        <v>45778</v>
      </c>
      <c r="B97" s="462">
        <f t="shared" si="12"/>
        <v>2903567.4522222346</v>
      </c>
      <c r="C97" s="462">
        <f t="shared" si="7"/>
        <v>-38660.87777777778</v>
      </c>
      <c r="D97" s="498">
        <f t="shared" si="9"/>
        <v>2864906.574444457</v>
      </c>
      <c r="E97" s="462">
        <f t="shared" si="13"/>
        <v>-603835.61643835576</v>
      </c>
      <c r="F97" s="462">
        <f t="shared" si="8"/>
        <v>7945.2054794520545</v>
      </c>
      <c r="G97" s="499">
        <f t="shared" si="10"/>
        <v>-30715.672298325724</v>
      </c>
      <c r="H97" s="462">
        <f t="shared" si="11"/>
        <v>2269016.1668188716</v>
      </c>
      <c r="I97" s="462"/>
      <c r="J97" s="462"/>
      <c r="L97" s="462"/>
      <c r="M97" s="499"/>
    </row>
    <row r="98" spans="1:19" x14ac:dyDescent="0.25">
      <c r="A98" s="497">
        <v>45809</v>
      </c>
      <c r="B98" s="462">
        <f t="shared" si="12"/>
        <v>2864906.574444457</v>
      </c>
      <c r="C98" s="462">
        <f t="shared" si="7"/>
        <v>-38660.87777777778</v>
      </c>
      <c r="D98" s="498">
        <f t="shared" si="9"/>
        <v>2826245.6966666793</v>
      </c>
      <c r="E98" s="462">
        <f t="shared" si="13"/>
        <v>-595890.41095890373</v>
      </c>
      <c r="F98" s="462">
        <f t="shared" si="8"/>
        <v>7945.2054794520545</v>
      </c>
      <c r="G98" s="499">
        <f t="shared" si="10"/>
        <v>-30715.672298325724</v>
      </c>
      <c r="H98" s="462">
        <f t="shared" si="11"/>
        <v>2238300.4945205459</v>
      </c>
      <c r="I98" s="462"/>
      <c r="J98" s="462"/>
      <c r="L98" s="462"/>
      <c r="M98" s="499"/>
    </row>
    <row r="99" spans="1:19" x14ac:dyDescent="0.25">
      <c r="A99" s="497">
        <v>45839</v>
      </c>
      <c r="B99" s="462">
        <f t="shared" si="12"/>
        <v>2826245.6966666793</v>
      </c>
      <c r="C99" s="462">
        <f t="shared" si="7"/>
        <v>-38660.87777777778</v>
      </c>
      <c r="D99" s="498">
        <f t="shared" si="9"/>
        <v>2787584.8188889017</v>
      </c>
      <c r="E99" s="462">
        <f t="shared" si="13"/>
        <v>-587945.20547945169</v>
      </c>
      <c r="F99" s="462">
        <f t="shared" si="8"/>
        <v>7945.2054794520545</v>
      </c>
      <c r="G99" s="499">
        <f t="shared" si="10"/>
        <v>-30715.672298325724</v>
      </c>
      <c r="H99" s="462">
        <f t="shared" si="11"/>
        <v>2207584.8222222202</v>
      </c>
      <c r="I99" s="462"/>
      <c r="J99" s="462"/>
      <c r="L99" s="462"/>
      <c r="M99" s="499"/>
    </row>
    <row r="100" spans="1:19" x14ac:dyDescent="0.25">
      <c r="A100" s="497">
        <v>45870</v>
      </c>
      <c r="B100" s="462">
        <f t="shared" si="12"/>
        <v>2787584.8188889017</v>
      </c>
      <c r="C100" s="462">
        <f t="shared" si="7"/>
        <v>-38660.87777777778</v>
      </c>
      <c r="D100" s="498">
        <f t="shared" si="9"/>
        <v>2748923.9411111241</v>
      </c>
      <c r="E100" s="462">
        <f t="shared" si="13"/>
        <v>-579999.99999999965</v>
      </c>
      <c r="F100" s="462">
        <f t="shared" si="8"/>
        <v>7945.2054794520545</v>
      </c>
      <c r="G100" s="499">
        <f t="shared" si="10"/>
        <v>-30715.672298325724</v>
      </c>
      <c r="H100" s="462">
        <f t="shared" si="11"/>
        <v>2176869.1499238946</v>
      </c>
      <c r="I100" s="462"/>
      <c r="J100" s="462"/>
      <c r="L100" s="462"/>
      <c r="M100" s="499"/>
    </row>
    <row r="101" spans="1:19" x14ac:dyDescent="0.25">
      <c r="A101" s="497">
        <v>45901</v>
      </c>
      <c r="B101" s="462">
        <f t="shared" si="12"/>
        <v>2748923.9411111241</v>
      </c>
      <c r="C101" s="462">
        <f t="shared" si="7"/>
        <v>-38660.87777777778</v>
      </c>
      <c r="D101" s="498">
        <f t="shared" si="9"/>
        <v>2710263.0633333465</v>
      </c>
      <c r="E101" s="462">
        <f t="shared" si="13"/>
        <v>-572054.79452054761</v>
      </c>
      <c r="F101" s="462">
        <f t="shared" si="8"/>
        <v>7945.2054794520545</v>
      </c>
      <c r="G101" s="499">
        <f t="shared" si="10"/>
        <v>-30715.672298325724</v>
      </c>
      <c r="H101" s="462">
        <f t="shared" si="11"/>
        <v>2146153.4776255689</v>
      </c>
      <c r="I101" s="462"/>
      <c r="J101" s="462"/>
      <c r="L101" s="462"/>
      <c r="M101" s="499"/>
    </row>
    <row r="102" spans="1:19" x14ac:dyDescent="0.25">
      <c r="A102" s="497">
        <v>45931</v>
      </c>
      <c r="B102" s="462">
        <f t="shared" si="12"/>
        <v>2710263.0633333465</v>
      </c>
      <c r="C102" s="462">
        <f t="shared" si="7"/>
        <v>-38660.87777777778</v>
      </c>
      <c r="D102" s="498">
        <f t="shared" si="9"/>
        <v>2671602.1855555689</v>
      </c>
      <c r="E102" s="462">
        <f t="shared" si="13"/>
        <v>-564109.58904109558</v>
      </c>
      <c r="F102" s="462">
        <f t="shared" si="8"/>
        <v>7945.2054794520545</v>
      </c>
      <c r="G102" s="499">
        <f t="shared" si="10"/>
        <v>-30715.672298325724</v>
      </c>
      <c r="H102" s="462">
        <f t="shared" si="11"/>
        <v>2115437.8053272432</v>
      </c>
      <c r="I102" s="462"/>
      <c r="J102" s="462"/>
      <c r="L102" s="462"/>
      <c r="M102" s="499"/>
      <c r="R102" s="487"/>
      <c r="S102" s="449"/>
    </row>
    <row r="103" spans="1:19" x14ac:dyDescent="0.25">
      <c r="A103" s="497">
        <v>45962</v>
      </c>
      <c r="B103" s="462">
        <f t="shared" si="12"/>
        <v>2671602.1855555689</v>
      </c>
      <c r="C103" s="462">
        <f t="shared" si="7"/>
        <v>-38660.87777777778</v>
      </c>
      <c r="D103" s="498">
        <f t="shared" si="9"/>
        <v>2632941.3077777913</v>
      </c>
      <c r="E103" s="462">
        <f t="shared" si="13"/>
        <v>-556164.38356164354</v>
      </c>
      <c r="F103" s="462">
        <f t="shared" si="8"/>
        <v>7945.2054794520545</v>
      </c>
      <c r="G103" s="499">
        <f t="shared" si="10"/>
        <v>-30715.672298325724</v>
      </c>
      <c r="H103" s="462">
        <f t="shared" si="11"/>
        <v>2084722.1330289175</v>
      </c>
      <c r="I103" s="462"/>
      <c r="J103" s="462"/>
      <c r="L103" s="462"/>
      <c r="M103" s="499"/>
      <c r="R103" s="487"/>
      <c r="S103" s="449"/>
    </row>
    <row r="104" spans="1:19" x14ac:dyDescent="0.25">
      <c r="A104" s="497">
        <v>45992</v>
      </c>
      <c r="B104" s="462">
        <f t="shared" si="12"/>
        <v>2632941.3077777913</v>
      </c>
      <c r="C104" s="462">
        <f t="shared" si="7"/>
        <v>-38660.87777777778</v>
      </c>
      <c r="D104" s="498">
        <f t="shared" si="9"/>
        <v>2594280.4300000137</v>
      </c>
      <c r="E104" s="462">
        <f t="shared" si="13"/>
        <v>-548219.1780821915</v>
      </c>
      <c r="F104" s="462">
        <f t="shared" si="8"/>
        <v>7945.2054794520545</v>
      </c>
      <c r="G104" s="499">
        <f t="shared" si="10"/>
        <v>-30715.672298325724</v>
      </c>
      <c r="H104" s="462">
        <f t="shared" si="11"/>
        <v>2054006.4607305918</v>
      </c>
      <c r="I104" s="462"/>
      <c r="J104" s="462"/>
      <c r="L104" s="462"/>
      <c r="M104" s="499"/>
      <c r="R104" s="487"/>
      <c r="S104" s="449"/>
    </row>
    <row r="105" spans="1:19" x14ac:dyDescent="0.25">
      <c r="A105" s="497">
        <v>46023</v>
      </c>
      <c r="B105" s="462">
        <f t="shared" si="12"/>
        <v>2594280.4300000137</v>
      </c>
      <c r="C105" s="462">
        <f t="shared" si="7"/>
        <v>-38660.87777777778</v>
      </c>
      <c r="D105" s="498">
        <f t="shared" si="9"/>
        <v>2555619.5522222361</v>
      </c>
      <c r="E105" s="462">
        <f t="shared" si="13"/>
        <v>-540273.97260273946</v>
      </c>
      <c r="F105" s="462">
        <f t="shared" si="8"/>
        <v>7945.2054794520545</v>
      </c>
      <c r="G105" s="499">
        <f t="shared" si="10"/>
        <v>-30715.672298325724</v>
      </c>
      <c r="H105" s="462">
        <f t="shared" si="11"/>
        <v>2023290.7884322661</v>
      </c>
      <c r="I105" s="462"/>
      <c r="J105" s="462"/>
      <c r="L105" s="462"/>
      <c r="M105" s="499"/>
    </row>
    <row r="106" spans="1:19" x14ac:dyDescent="0.25">
      <c r="A106" s="497">
        <v>46054</v>
      </c>
      <c r="B106" s="462">
        <f t="shared" si="12"/>
        <v>2555619.5522222361</v>
      </c>
      <c r="C106" s="462">
        <f t="shared" si="7"/>
        <v>-38660.87777777778</v>
      </c>
      <c r="D106" s="498">
        <f t="shared" si="9"/>
        <v>2516958.6744444584</v>
      </c>
      <c r="E106" s="462">
        <f t="shared" si="13"/>
        <v>-532328.76712328743</v>
      </c>
      <c r="F106" s="462">
        <f t="shared" si="8"/>
        <v>7945.2054794520545</v>
      </c>
      <c r="G106" s="499">
        <f t="shared" si="10"/>
        <v>-30715.672298325724</v>
      </c>
      <c r="H106" s="462">
        <f t="shared" si="11"/>
        <v>1992575.1161339404</v>
      </c>
      <c r="I106" s="462"/>
      <c r="J106" s="462"/>
      <c r="L106" s="462"/>
      <c r="M106" s="499"/>
    </row>
    <row r="107" spans="1:19" x14ac:dyDescent="0.25">
      <c r="A107" s="497">
        <v>46082</v>
      </c>
      <c r="B107" s="462">
        <f t="shared" si="12"/>
        <v>2516958.6744444584</v>
      </c>
      <c r="C107" s="462">
        <f t="shared" si="7"/>
        <v>-38660.87777777778</v>
      </c>
      <c r="D107" s="498">
        <f t="shared" si="9"/>
        <v>2478297.7966666808</v>
      </c>
      <c r="E107" s="462">
        <f t="shared" si="13"/>
        <v>-524383.56164383539</v>
      </c>
      <c r="F107" s="462">
        <f t="shared" si="8"/>
        <v>7945.2054794520545</v>
      </c>
      <c r="G107" s="499">
        <f t="shared" si="10"/>
        <v>-30715.672298325724</v>
      </c>
      <c r="H107" s="462">
        <f t="shared" si="11"/>
        <v>1961859.4438356147</v>
      </c>
      <c r="I107" s="462"/>
      <c r="J107" s="462"/>
      <c r="L107" s="462"/>
      <c r="M107" s="499"/>
    </row>
    <row r="108" spans="1:19" x14ac:dyDescent="0.25">
      <c r="A108" s="497">
        <v>46113</v>
      </c>
      <c r="B108" s="462">
        <f t="shared" si="12"/>
        <v>2478297.7966666808</v>
      </c>
      <c r="C108" s="462">
        <f t="shared" si="7"/>
        <v>-38660.87777777778</v>
      </c>
      <c r="D108" s="498">
        <f t="shared" si="9"/>
        <v>2439636.9188889032</v>
      </c>
      <c r="E108" s="462">
        <f t="shared" si="13"/>
        <v>-516438.35616438335</v>
      </c>
      <c r="F108" s="462">
        <f t="shared" si="8"/>
        <v>7945.2054794520545</v>
      </c>
      <c r="G108" s="499">
        <f t="shared" si="10"/>
        <v>-30715.672298325724</v>
      </c>
      <c r="H108" s="462">
        <f t="shared" si="11"/>
        <v>1931143.771537289</v>
      </c>
      <c r="I108" s="462"/>
      <c r="J108" s="462"/>
      <c r="L108" s="462"/>
      <c r="M108" s="499"/>
    </row>
    <row r="109" spans="1:19" x14ac:dyDescent="0.25">
      <c r="A109" s="497">
        <v>46143</v>
      </c>
      <c r="B109" s="462">
        <f t="shared" si="12"/>
        <v>2439636.9188889032</v>
      </c>
      <c r="C109" s="462">
        <f t="shared" si="7"/>
        <v>-38660.87777777778</v>
      </c>
      <c r="D109" s="498">
        <f t="shared" si="9"/>
        <v>2400976.0411111256</v>
      </c>
      <c r="E109" s="462">
        <f t="shared" si="13"/>
        <v>-508493.15068493132</v>
      </c>
      <c r="F109" s="462">
        <f t="shared" si="8"/>
        <v>7945.2054794520545</v>
      </c>
      <c r="G109" s="499">
        <f t="shared" si="10"/>
        <v>-30715.672298325724</v>
      </c>
      <c r="H109" s="462">
        <f t="shared" si="11"/>
        <v>1900428.0992389633</v>
      </c>
      <c r="I109" s="462"/>
      <c r="J109" s="462"/>
      <c r="L109" s="462"/>
      <c r="M109" s="499"/>
    </row>
    <row r="110" spans="1:19" x14ac:dyDescent="0.25">
      <c r="A110" s="497">
        <v>46174</v>
      </c>
      <c r="B110" s="462">
        <f t="shared" si="12"/>
        <v>2400976.0411111256</v>
      </c>
      <c r="C110" s="462">
        <f t="shared" si="7"/>
        <v>-38660.87777777778</v>
      </c>
      <c r="D110" s="498">
        <f t="shared" si="9"/>
        <v>2362315.163333348</v>
      </c>
      <c r="E110" s="462">
        <f t="shared" si="13"/>
        <v>-500547.94520547928</v>
      </c>
      <c r="F110" s="462">
        <f t="shared" si="8"/>
        <v>7945.2054794520545</v>
      </c>
      <c r="G110" s="499">
        <f t="shared" si="10"/>
        <v>-30715.672298325724</v>
      </c>
      <c r="H110" s="462">
        <f t="shared" si="11"/>
        <v>1869712.4269406376</v>
      </c>
      <c r="I110" s="462"/>
      <c r="J110" s="462"/>
      <c r="L110" s="462"/>
      <c r="M110" s="499"/>
    </row>
    <row r="111" spans="1:19" x14ac:dyDescent="0.25">
      <c r="A111" s="497">
        <v>46204</v>
      </c>
      <c r="B111" s="462">
        <f t="shared" si="12"/>
        <v>2362315.163333348</v>
      </c>
      <c r="C111" s="462">
        <f t="shared" si="7"/>
        <v>-38660.87777777778</v>
      </c>
      <c r="D111" s="498">
        <f t="shared" si="9"/>
        <v>2323654.2855555704</v>
      </c>
      <c r="E111" s="462">
        <f t="shared" si="13"/>
        <v>-492602.73972602724</v>
      </c>
      <c r="F111" s="462">
        <f t="shared" si="8"/>
        <v>7945.2054794520545</v>
      </c>
      <c r="G111" s="499">
        <f t="shared" si="10"/>
        <v>-30715.672298325724</v>
      </c>
      <c r="H111" s="462">
        <f t="shared" si="11"/>
        <v>1838996.7546423119</v>
      </c>
      <c r="I111" s="462"/>
      <c r="J111" s="462"/>
      <c r="L111" s="462"/>
      <c r="M111" s="499"/>
    </row>
    <row r="112" spans="1:19" x14ac:dyDescent="0.25">
      <c r="A112" s="497">
        <v>46235</v>
      </c>
      <c r="B112" s="462">
        <f t="shared" si="12"/>
        <v>2323654.2855555704</v>
      </c>
      <c r="C112" s="462">
        <f t="shared" si="7"/>
        <v>-38660.87777777778</v>
      </c>
      <c r="D112" s="498">
        <f t="shared" si="9"/>
        <v>2284993.4077777928</v>
      </c>
      <c r="E112" s="462">
        <f t="shared" si="13"/>
        <v>-484657.5342465752</v>
      </c>
      <c r="F112" s="462">
        <f t="shared" si="8"/>
        <v>7945.2054794520545</v>
      </c>
      <c r="G112" s="499">
        <f t="shared" si="10"/>
        <v>-30715.672298325724</v>
      </c>
      <c r="H112" s="462">
        <f t="shared" si="11"/>
        <v>1808281.0823439863</v>
      </c>
      <c r="I112" s="462"/>
      <c r="J112" s="462"/>
      <c r="L112" s="462"/>
      <c r="M112" s="499"/>
    </row>
    <row r="113" spans="1:13" x14ac:dyDescent="0.25">
      <c r="A113" s="497">
        <v>46266</v>
      </c>
      <c r="B113" s="462">
        <f t="shared" si="12"/>
        <v>2284993.4077777928</v>
      </c>
      <c r="C113" s="462">
        <f t="shared" si="7"/>
        <v>-38660.87777777778</v>
      </c>
      <c r="D113" s="498">
        <f t="shared" si="9"/>
        <v>2246332.5300000152</v>
      </c>
      <c r="E113" s="462">
        <f t="shared" si="13"/>
        <v>-476712.32876712317</v>
      </c>
      <c r="F113" s="462">
        <f t="shared" si="8"/>
        <v>7945.2054794520545</v>
      </c>
      <c r="G113" s="499">
        <f t="shared" si="10"/>
        <v>-30715.672298325724</v>
      </c>
      <c r="H113" s="462">
        <f t="shared" si="11"/>
        <v>1777565.4100456606</v>
      </c>
      <c r="I113" s="462"/>
      <c r="J113" s="462"/>
      <c r="L113" s="462"/>
      <c r="M113" s="499"/>
    </row>
    <row r="114" spans="1:13" x14ac:dyDescent="0.25">
      <c r="A114" s="497">
        <v>46296</v>
      </c>
      <c r="B114" s="462">
        <f t="shared" si="12"/>
        <v>2246332.5300000152</v>
      </c>
      <c r="C114" s="462">
        <f t="shared" si="7"/>
        <v>-38660.87777777778</v>
      </c>
      <c r="D114" s="498">
        <f t="shared" si="9"/>
        <v>2207671.6522222375</v>
      </c>
      <c r="E114" s="462">
        <f t="shared" si="13"/>
        <v>-468767.12328767113</v>
      </c>
      <c r="F114" s="462">
        <f t="shared" si="8"/>
        <v>7945.2054794520545</v>
      </c>
      <c r="G114" s="499">
        <f t="shared" si="10"/>
        <v>-30715.672298325724</v>
      </c>
      <c r="H114" s="462">
        <f t="shared" si="11"/>
        <v>1746849.7377473349</v>
      </c>
      <c r="I114" s="462"/>
      <c r="J114" s="462"/>
      <c r="L114" s="462"/>
      <c r="M114" s="499"/>
    </row>
    <row r="115" spans="1:13" x14ac:dyDescent="0.25">
      <c r="A115" s="497">
        <v>46327</v>
      </c>
      <c r="B115" s="462">
        <f t="shared" si="12"/>
        <v>2207671.6522222375</v>
      </c>
      <c r="C115" s="462">
        <f t="shared" si="7"/>
        <v>-38660.87777777778</v>
      </c>
      <c r="D115" s="498">
        <f t="shared" si="9"/>
        <v>2169010.7744444599</v>
      </c>
      <c r="E115" s="462">
        <f t="shared" si="13"/>
        <v>-460821.91780821909</v>
      </c>
      <c r="F115" s="462">
        <f t="shared" si="8"/>
        <v>7945.2054794520545</v>
      </c>
      <c r="G115" s="499">
        <f t="shared" si="10"/>
        <v>-30715.672298325724</v>
      </c>
      <c r="H115" s="462">
        <f t="shared" si="11"/>
        <v>1716134.0654490092</v>
      </c>
      <c r="I115" s="462"/>
      <c r="J115" s="462"/>
      <c r="L115" s="462"/>
      <c r="M115" s="499"/>
    </row>
    <row r="116" spans="1:13" x14ac:dyDescent="0.25">
      <c r="A116" s="497">
        <v>46357</v>
      </c>
      <c r="B116" s="462">
        <f t="shared" si="12"/>
        <v>2169010.7744444599</v>
      </c>
      <c r="C116" s="462">
        <f t="shared" si="7"/>
        <v>-38660.87777777778</v>
      </c>
      <c r="D116" s="498">
        <f t="shared" si="9"/>
        <v>2130349.8966666823</v>
      </c>
      <c r="E116" s="462">
        <f t="shared" si="13"/>
        <v>-452876.71232876705</v>
      </c>
      <c r="F116" s="462">
        <f t="shared" si="8"/>
        <v>7945.2054794520545</v>
      </c>
      <c r="G116" s="499">
        <f t="shared" si="10"/>
        <v>-30715.672298325724</v>
      </c>
      <c r="H116" s="462">
        <f t="shared" si="11"/>
        <v>1685418.3931506835</v>
      </c>
      <c r="I116" s="462"/>
      <c r="J116" s="462"/>
      <c r="L116" s="462"/>
      <c r="M116" s="499"/>
    </row>
    <row r="117" spans="1:13" x14ac:dyDescent="0.25">
      <c r="A117" s="497">
        <v>46388</v>
      </c>
      <c r="B117" s="462">
        <f t="shared" si="12"/>
        <v>2130349.8966666823</v>
      </c>
      <c r="C117" s="462">
        <f t="shared" si="7"/>
        <v>-38660.87777777778</v>
      </c>
      <c r="D117" s="498">
        <f t="shared" si="9"/>
        <v>2091689.0188889045</v>
      </c>
      <c r="E117" s="462">
        <f t="shared" si="13"/>
        <v>-444931.50684931502</v>
      </c>
      <c r="F117" s="462">
        <f t="shared" si="8"/>
        <v>7945.2054794520545</v>
      </c>
      <c r="G117" s="499">
        <f t="shared" si="10"/>
        <v>-30715.672298325724</v>
      </c>
      <c r="H117" s="462">
        <f t="shared" si="11"/>
        <v>1654702.7208523578</v>
      </c>
      <c r="I117" s="462"/>
      <c r="J117" s="462"/>
      <c r="L117" s="462"/>
      <c r="M117" s="499"/>
    </row>
    <row r="118" spans="1:13" x14ac:dyDescent="0.25">
      <c r="A118" s="497">
        <v>46419</v>
      </c>
      <c r="B118" s="462">
        <f t="shared" si="12"/>
        <v>2091689.0188889045</v>
      </c>
      <c r="C118" s="462">
        <f t="shared" si="7"/>
        <v>-38660.87777777778</v>
      </c>
      <c r="D118" s="498">
        <f t="shared" si="9"/>
        <v>2053028.1411111266</v>
      </c>
      <c r="E118" s="462">
        <f t="shared" si="13"/>
        <v>-436986.30136986298</v>
      </c>
      <c r="F118" s="462">
        <f t="shared" si="8"/>
        <v>7945.2054794520545</v>
      </c>
      <c r="G118" s="499">
        <f t="shared" si="10"/>
        <v>-30715.672298325724</v>
      </c>
      <c r="H118" s="462">
        <f t="shared" si="11"/>
        <v>1623987.0485540321</v>
      </c>
      <c r="I118" s="462"/>
      <c r="J118" s="462"/>
      <c r="L118" s="462"/>
      <c r="M118" s="499"/>
    </row>
    <row r="119" spans="1:13" x14ac:dyDescent="0.25">
      <c r="A119" s="497">
        <v>46447</v>
      </c>
      <c r="B119" s="462">
        <f t="shared" si="12"/>
        <v>2053028.1411111266</v>
      </c>
      <c r="C119" s="462">
        <f t="shared" si="7"/>
        <v>-38660.87777777778</v>
      </c>
      <c r="D119" s="498">
        <f t="shared" si="9"/>
        <v>2014367.2633333488</v>
      </c>
      <c r="E119" s="462">
        <f t="shared" si="13"/>
        <v>-429041.09589041094</v>
      </c>
      <c r="F119" s="462">
        <f t="shared" si="8"/>
        <v>7945.2054794520545</v>
      </c>
      <c r="G119" s="499">
        <f t="shared" si="10"/>
        <v>-30715.672298325724</v>
      </c>
      <c r="H119" s="462">
        <f t="shared" si="11"/>
        <v>1593271.3762557064</v>
      </c>
      <c r="I119" s="462"/>
      <c r="J119" s="462"/>
      <c r="L119" s="462"/>
      <c r="M119" s="499"/>
    </row>
    <row r="120" spans="1:13" x14ac:dyDescent="0.25">
      <c r="A120" s="497">
        <v>46478</v>
      </c>
      <c r="B120" s="462">
        <f t="shared" si="12"/>
        <v>2014367.2633333488</v>
      </c>
      <c r="C120" s="462">
        <f t="shared" si="7"/>
        <v>-38660.87777777778</v>
      </c>
      <c r="D120" s="498">
        <f t="shared" si="9"/>
        <v>1975706.3855555709</v>
      </c>
      <c r="E120" s="462">
        <f t="shared" si="13"/>
        <v>-421095.89041095891</v>
      </c>
      <c r="F120" s="462">
        <f t="shared" si="8"/>
        <v>7945.2054794520545</v>
      </c>
      <c r="G120" s="499">
        <f t="shared" si="10"/>
        <v>-30715.672298325724</v>
      </c>
      <c r="H120" s="462">
        <f t="shared" si="11"/>
        <v>1562555.7039573807</v>
      </c>
      <c r="I120" s="462"/>
      <c r="J120" s="462"/>
      <c r="L120" s="462"/>
      <c r="M120" s="499"/>
    </row>
    <row r="121" spans="1:13" x14ac:dyDescent="0.25">
      <c r="A121" s="497">
        <v>46508</v>
      </c>
      <c r="B121" s="462">
        <f t="shared" si="12"/>
        <v>1975706.3855555709</v>
      </c>
      <c r="C121" s="462">
        <f t="shared" si="7"/>
        <v>-38660.87777777778</v>
      </c>
      <c r="D121" s="498">
        <f t="shared" si="9"/>
        <v>1937045.5077777931</v>
      </c>
      <c r="E121" s="462">
        <f t="shared" si="13"/>
        <v>-413150.68493150687</v>
      </c>
      <c r="F121" s="462">
        <f t="shared" si="8"/>
        <v>7945.2054794520545</v>
      </c>
      <c r="G121" s="499">
        <f t="shared" si="10"/>
        <v>-30715.672298325724</v>
      </c>
      <c r="H121" s="462">
        <f t="shared" si="11"/>
        <v>1531840.031659055</v>
      </c>
      <c r="I121" s="462"/>
      <c r="J121" s="462"/>
      <c r="L121" s="462"/>
      <c r="M121" s="499"/>
    </row>
    <row r="122" spans="1:13" x14ac:dyDescent="0.25">
      <c r="A122" s="497">
        <v>46539</v>
      </c>
      <c r="B122" s="462">
        <f t="shared" si="12"/>
        <v>1937045.5077777931</v>
      </c>
      <c r="C122" s="462">
        <f t="shared" si="7"/>
        <v>-38660.87777777778</v>
      </c>
      <c r="D122" s="498">
        <f t="shared" si="9"/>
        <v>1898384.6300000153</v>
      </c>
      <c r="E122" s="462">
        <f t="shared" si="13"/>
        <v>-405205.47945205483</v>
      </c>
      <c r="F122" s="462">
        <f t="shared" si="8"/>
        <v>7945.2054794520545</v>
      </c>
      <c r="G122" s="499">
        <f t="shared" si="10"/>
        <v>-30715.672298325724</v>
      </c>
      <c r="H122" s="462">
        <f t="shared" si="11"/>
        <v>1501124.3593607293</v>
      </c>
      <c r="I122" s="462"/>
      <c r="J122" s="462"/>
      <c r="L122" s="462"/>
      <c r="M122" s="499"/>
    </row>
    <row r="123" spans="1:13" x14ac:dyDescent="0.25">
      <c r="A123" s="497">
        <v>46569</v>
      </c>
      <c r="B123" s="462">
        <f t="shared" si="12"/>
        <v>1898384.6300000153</v>
      </c>
      <c r="C123" s="462">
        <f t="shared" si="7"/>
        <v>-38660.87777777778</v>
      </c>
      <c r="D123" s="498">
        <f t="shared" si="9"/>
        <v>1859723.7522222374</v>
      </c>
      <c r="E123" s="462">
        <f t="shared" si="13"/>
        <v>-397260.27397260279</v>
      </c>
      <c r="F123" s="462">
        <f t="shared" si="8"/>
        <v>7945.2054794520545</v>
      </c>
      <c r="G123" s="499">
        <f t="shared" si="10"/>
        <v>-30715.672298325724</v>
      </c>
      <c r="H123" s="462">
        <f t="shared" si="11"/>
        <v>1470408.6870624037</v>
      </c>
      <c r="I123" s="462"/>
      <c r="J123" s="462"/>
      <c r="L123" s="462"/>
      <c r="M123" s="499"/>
    </row>
    <row r="124" spans="1:13" x14ac:dyDescent="0.25">
      <c r="A124" s="497">
        <v>46600</v>
      </c>
      <c r="B124" s="462">
        <f t="shared" si="12"/>
        <v>1859723.7522222374</v>
      </c>
      <c r="C124" s="462">
        <f t="shared" si="7"/>
        <v>-38660.87777777778</v>
      </c>
      <c r="D124" s="498">
        <f t="shared" si="9"/>
        <v>1821062.8744444596</v>
      </c>
      <c r="E124" s="462">
        <f t="shared" si="13"/>
        <v>-389315.06849315076</v>
      </c>
      <c r="F124" s="462">
        <f t="shared" si="8"/>
        <v>7945.2054794520545</v>
      </c>
      <c r="G124" s="499">
        <f t="shared" si="10"/>
        <v>-30715.672298325724</v>
      </c>
      <c r="H124" s="462">
        <f t="shared" si="11"/>
        <v>1439693.014764078</v>
      </c>
      <c r="I124" s="462"/>
      <c r="J124" s="462"/>
      <c r="L124" s="462"/>
    </row>
    <row r="125" spans="1:13" x14ac:dyDescent="0.25">
      <c r="A125" s="497">
        <v>46631</v>
      </c>
      <c r="B125" s="462">
        <f t="shared" si="12"/>
        <v>1821062.8744444596</v>
      </c>
      <c r="C125" s="462">
        <f t="shared" si="7"/>
        <v>-38660.87777777778</v>
      </c>
      <c r="D125" s="498">
        <f t="shared" si="9"/>
        <v>1782401.9966666817</v>
      </c>
      <c r="E125" s="462">
        <f t="shared" si="13"/>
        <v>-381369.86301369872</v>
      </c>
      <c r="F125" s="462">
        <f t="shared" si="8"/>
        <v>7945.2054794520545</v>
      </c>
      <c r="G125" s="499">
        <f t="shared" si="10"/>
        <v>-30715.672298325724</v>
      </c>
      <c r="H125" s="462">
        <f t="shared" si="11"/>
        <v>1408977.3424657523</v>
      </c>
      <c r="I125" s="462"/>
      <c r="J125" s="462"/>
      <c r="L125" s="462"/>
    </row>
    <row r="126" spans="1:13" x14ac:dyDescent="0.25">
      <c r="A126" s="497">
        <v>46661</v>
      </c>
      <c r="B126" s="462">
        <f t="shared" si="12"/>
        <v>1782401.9966666817</v>
      </c>
      <c r="C126" s="462">
        <f t="shared" si="7"/>
        <v>-38660.87777777778</v>
      </c>
      <c r="D126" s="498">
        <f t="shared" si="9"/>
        <v>1743741.1188889039</v>
      </c>
      <c r="E126" s="462">
        <f t="shared" si="13"/>
        <v>-373424.65753424668</v>
      </c>
      <c r="F126" s="462">
        <f t="shared" si="8"/>
        <v>7945.2054794520545</v>
      </c>
      <c r="G126" s="499">
        <f t="shared" si="10"/>
        <v>-30715.672298325724</v>
      </c>
      <c r="H126" s="462">
        <f t="shared" si="11"/>
        <v>1378261.6701674266</v>
      </c>
      <c r="I126" s="462"/>
      <c r="J126" s="462"/>
      <c r="L126" s="462"/>
    </row>
    <row r="127" spans="1:13" x14ac:dyDescent="0.25">
      <c r="A127" s="497">
        <v>46692</v>
      </c>
      <c r="B127" s="462">
        <f t="shared" si="12"/>
        <v>1743741.1188889039</v>
      </c>
      <c r="C127" s="462">
        <f t="shared" si="7"/>
        <v>-38660.87777777778</v>
      </c>
      <c r="D127" s="498">
        <f t="shared" si="9"/>
        <v>1705080.241111126</v>
      </c>
      <c r="E127" s="462">
        <f t="shared" si="13"/>
        <v>-365479.45205479464</v>
      </c>
      <c r="F127" s="462">
        <f t="shared" si="8"/>
        <v>7945.2054794520545</v>
      </c>
      <c r="G127" s="499">
        <f t="shared" si="10"/>
        <v>-30715.672298325724</v>
      </c>
      <c r="H127" s="462">
        <f t="shared" si="11"/>
        <v>1347545.9978691009</v>
      </c>
      <c r="I127" s="462"/>
      <c r="J127" s="462"/>
      <c r="L127" s="462"/>
    </row>
    <row r="128" spans="1:13" x14ac:dyDescent="0.25">
      <c r="A128" s="497">
        <v>46722</v>
      </c>
      <c r="B128" s="462">
        <f t="shared" si="12"/>
        <v>1705080.241111126</v>
      </c>
      <c r="C128" s="462">
        <f t="shared" si="7"/>
        <v>-38660.87777777778</v>
      </c>
      <c r="D128" s="498">
        <f t="shared" si="9"/>
        <v>1666419.3633333482</v>
      </c>
      <c r="E128" s="462">
        <f t="shared" si="13"/>
        <v>-357534.24657534261</v>
      </c>
      <c r="F128" s="462">
        <f t="shared" si="8"/>
        <v>7945.2054794520545</v>
      </c>
      <c r="G128" s="499">
        <f t="shared" si="10"/>
        <v>-30715.672298325724</v>
      </c>
      <c r="H128" s="462">
        <f t="shared" si="11"/>
        <v>1316830.3255707752</v>
      </c>
      <c r="I128" s="462"/>
      <c r="J128" s="462"/>
      <c r="L128" s="462"/>
    </row>
    <row r="129" spans="1:12" x14ac:dyDescent="0.25">
      <c r="A129" s="497">
        <v>46753</v>
      </c>
      <c r="B129" s="462">
        <f t="shared" si="12"/>
        <v>1666419.3633333482</v>
      </c>
      <c r="C129" s="462">
        <f t="shared" si="7"/>
        <v>-38660.87777777778</v>
      </c>
      <c r="D129" s="498">
        <f t="shared" si="9"/>
        <v>1627758.4855555703</v>
      </c>
      <c r="E129" s="462">
        <f t="shared" si="13"/>
        <v>-349589.04109589057</v>
      </c>
      <c r="F129" s="462">
        <f t="shared" si="8"/>
        <v>7945.2054794520545</v>
      </c>
      <c r="G129" s="499">
        <f t="shared" si="10"/>
        <v>-30715.672298325724</v>
      </c>
      <c r="H129" s="462">
        <f t="shared" si="11"/>
        <v>1286114.6532724495</v>
      </c>
      <c r="I129" s="462"/>
      <c r="J129" s="462"/>
      <c r="L129" s="462"/>
    </row>
    <row r="130" spans="1:12" x14ac:dyDescent="0.25">
      <c r="A130" s="497">
        <v>46784</v>
      </c>
      <c r="B130" s="462">
        <f t="shared" si="12"/>
        <v>1627758.4855555703</v>
      </c>
      <c r="C130" s="462">
        <f t="shared" si="7"/>
        <v>-38660.87777777778</v>
      </c>
      <c r="D130" s="498">
        <f t="shared" si="9"/>
        <v>1589097.6077777925</v>
      </c>
      <c r="E130" s="462">
        <f t="shared" si="13"/>
        <v>-341643.83561643853</v>
      </c>
      <c r="F130" s="462">
        <f t="shared" si="8"/>
        <v>7945.2054794520545</v>
      </c>
      <c r="G130" s="499">
        <f t="shared" si="10"/>
        <v>-30715.672298325724</v>
      </c>
      <c r="H130" s="462">
        <f t="shared" si="11"/>
        <v>1255398.9809741238</v>
      </c>
      <c r="I130" s="462"/>
      <c r="J130" s="462"/>
      <c r="L130" s="462"/>
    </row>
    <row r="131" spans="1:12" x14ac:dyDescent="0.25">
      <c r="A131" s="497">
        <v>46813</v>
      </c>
      <c r="B131" s="462">
        <f t="shared" si="12"/>
        <v>1589097.6077777925</v>
      </c>
      <c r="C131" s="462">
        <f t="shared" si="7"/>
        <v>-38660.87777777778</v>
      </c>
      <c r="D131" s="498">
        <f t="shared" si="9"/>
        <v>1550436.7300000146</v>
      </c>
      <c r="E131" s="462">
        <f t="shared" si="13"/>
        <v>-333698.6301369865</v>
      </c>
      <c r="F131" s="462">
        <f t="shared" si="8"/>
        <v>7945.2054794520545</v>
      </c>
      <c r="G131" s="499">
        <f t="shared" si="10"/>
        <v>-30715.672298325724</v>
      </c>
      <c r="H131" s="462">
        <f t="shared" si="11"/>
        <v>1224683.3086757981</v>
      </c>
      <c r="I131" s="462"/>
      <c r="J131" s="462"/>
      <c r="L131" s="462"/>
    </row>
    <row r="132" spans="1:12" x14ac:dyDescent="0.25">
      <c r="A132" s="497">
        <v>46844</v>
      </c>
      <c r="B132" s="462">
        <f t="shared" si="12"/>
        <v>1550436.7300000146</v>
      </c>
      <c r="C132" s="462">
        <f t="shared" si="7"/>
        <v>-38660.87777777778</v>
      </c>
      <c r="D132" s="498">
        <f t="shared" si="9"/>
        <v>1511775.8522222368</v>
      </c>
      <c r="E132" s="462">
        <f t="shared" si="13"/>
        <v>-325753.42465753446</v>
      </c>
      <c r="F132" s="462">
        <f t="shared" si="8"/>
        <v>7945.2054794520545</v>
      </c>
      <c r="G132" s="499">
        <f t="shared" si="10"/>
        <v>-30715.672298325724</v>
      </c>
      <c r="H132" s="462">
        <f t="shared" si="11"/>
        <v>1193967.6363774724</v>
      </c>
      <c r="I132" s="462"/>
      <c r="J132" s="462"/>
      <c r="L132" s="462"/>
    </row>
    <row r="133" spans="1:12" x14ac:dyDescent="0.25">
      <c r="A133" s="497">
        <v>46874</v>
      </c>
      <c r="B133" s="462">
        <f t="shared" si="12"/>
        <v>1511775.8522222368</v>
      </c>
      <c r="C133" s="462">
        <f t="shared" si="7"/>
        <v>-38660.87777777778</v>
      </c>
      <c r="D133" s="498">
        <f t="shared" si="9"/>
        <v>1473114.974444459</v>
      </c>
      <c r="E133" s="462">
        <f t="shared" si="13"/>
        <v>-317808.21917808242</v>
      </c>
      <c r="F133" s="462">
        <f t="shared" si="8"/>
        <v>7945.2054794520545</v>
      </c>
      <c r="G133" s="499">
        <f t="shared" si="10"/>
        <v>-30715.672298325724</v>
      </c>
      <c r="H133" s="462">
        <f t="shared" si="11"/>
        <v>1163251.9640791467</v>
      </c>
      <c r="I133" s="462"/>
      <c r="J133" s="462"/>
      <c r="L133" s="462"/>
    </row>
    <row r="134" spans="1:12" x14ac:dyDescent="0.25">
      <c r="A134" s="497">
        <v>46905</v>
      </c>
      <c r="B134" s="462">
        <f t="shared" si="12"/>
        <v>1473114.974444459</v>
      </c>
      <c r="C134" s="462">
        <f t="shared" si="7"/>
        <v>-38660.87777777778</v>
      </c>
      <c r="D134" s="498">
        <f t="shared" si="9"/>
        <v>1434454.0966666811</v>
      </c>
      <c r="E134" s="462">
        <f t="shared" si="13"/>
        <v>-309863.01369863038</v>
      </c>
      <c r="F134" s="462">
        <f t="shared" si="8"/>
        <v>7945.2054794520545</v>
      </c>
      <c r="G134" s="499">
        <f t="shared" si="10"/>
        <v>-30715.672298325724</v>
      </c>
      <c r="H134" s="462">
        <f t="shared" si="11"/>
        <v>1132536.291780821</v>
      </c>
      <c r="I134" s="462"/>
      <c r="J134" s="462"/>
      <c r="L134" s="462"/>
    </row>
    <row r="135" spans="1:12" x14ac:dyDescent="0.25">
      <c r="A135" s="497">
        <v>46935</v>
      </c>
      <c r="B135" s="462">
        <f t="shared" si="12"/>
        <v>1434454.0966666811</v>
      </c>
      <c r="C135" s="462">
        <f t="shared" si="7"/>
        <v>-38660.87777777778</v>
      </c>
      <c r="D135" s="498">
        <f t="shared" si="9"/>
        <v>1395793.2188889033</v>
      </c>
      <c r="E135" s="462">
        <f t="shared" si="13"/>
        <v>-301917.80821917835</v>
      </c>
      <c r="F135" s="462">
        <f t="shared" si="8"/>
        <v>7945.2054794520545</v>
      </c>
      <c r="G135" s="499">
        <f t="shared" si="10"/>
        <v>-30715.672298325724</v>
      </c>
      <c r="H135" s="462">
        <f t="shared" si="11"/>
        <v>1101820.6194824954</v>
      </c>
      <c r="I135" s="462"/>
      <c r="J135" s="462"/>
      <c r="L135" s="462"/>
    </row>
    <row r="136" spans="1:12" x14ac:dyDescent="0.25">
      <c r="A136" s="497">
        <v>46966</v>
      </c>
      <c r="B136" s="462">
        <f t="shared" si="12"/>
        <v>1395793.2188889033</v>
      </c>
      <c r="C136" s="462">
        <f t="shared" si="7"/>
        <v>-38660.87777777778</v>
      </c>
      <c r="D136" s="498">
        <f t="shared" si="9"/>
        <v>1357132.3411111254</v>
      </c>
      <c r="E136" s="462">
        <f t="shared" si="13"/>
        <v>-293972.60273972631</v>
      </c>
      <c r="F136" s="462">
        <f t="shared" si="8"/>
        <v>7945.2054794520545</v>
      </c>
      <c r="G136" s="499">
        <f t="shared" si="10"/>
        <v>-30715.672298325724</v>
      </c>
      <c r="H136" s="462">
        <f t="shared" si="11"/>
        <v>1071104.9471841697</v>
      </c>
      <c r="I136" s="462"/>
      <c r="J136" s="462"/>
      <c r="L136" s="462"/>
    </row>
    <row r="137" spans="1:12" x14ac:dyDescent="0.25">
      <c r="A137" s="501">
        <v>46997</v>
      </c>
      <c r="B137" s="462">
        <f t="shared" si="12"/>
        <v>1357132.3411111254</v>
      </c>
      <c r="C137" s="462">
        <f t="shared" si="7"/>
        <v>-38660.87777777778</v>
      </c>
      <c r="D137" s="498">
        <f t="shared" si="9"/>
        <v>1318471.4633333476</v>
      </c>
      <c r="E137" s="462">
        <f t="shared" si="13"/>
        <v>-286027.39726027427</v>
      </c>
      <c r="F137" s="462">
        <f t="shared" si="8"/>
        <v>7945.2054794520545</v>
      </c>
      <c r="G137" s="499">
        <f t="shared" si="10"/>
        <v>-30715.672298325724</v>
      </c>
      <c r="H137" s="462">
        <f t="shared" si="11"/>
        <v>1040389.274885844</v>
      </c>
      <c r="I137" s="462"/>
      <c r="J137" s="462"/>
      <c r="L137" s="462"/>
    </row>
    <row r="138" spans="1:12" x14ac:dyDescent="0.25">
      <c r="A138" s="501">
        <v>47027</v>
      </c>
      <c r="B138" s="462">
        <f t="shared" si="12"/>
        <v>1318471.4633333476</v>
      </c>
      <c r="C138" s="462">
        <f t="shared" si="7"/>
        <v>-38660.87777777778</v>
      </c>
      <c r="D138" s="498">
        <f t="shared" si="9"/>
        <v>1279810.5855555697</v>
      </c>
      <c r="E138" s="462">
        <f t="shared" si="13"/>
        <v>-278082.19178082224</v>
      </c>
      <c r="F138" s="462">
        <f t="shared" si="8"/>
        <v>7945.2054794520545</v>
      </c>
      <c r="G138" s="499">
        <f t="shared" si="10"/>
        <v>-30715.672298325724</v>
      </c>
      <c r="H138" s="462">
        <f t="shared" si="11"/>
        <v>1009673.6025875183</v>
      </c>
      <c r="I138" s="462"/>
      <c r="J138" s="462"/>
      <c r="L138" s="462"/>
    </row>
    <row r="139" spans="1:12" x14ac:dyDescent="0.25">
      <c r="A139" s="501">
        <v>47058</v>
      </c>
      <c r="B139" s="462">
        <f t="shared" si="12"/>
        <v>1279810.5855555697</v>
      </c>
      <c r="C139" s="462">
        <f t="shared" si="7"/>
        <v>-38660.87777777778</v>
      </c>
      <c r="D139" s="498">
        <f t="shared" si="9"/>
        <v>1241149.7077777919</v>
      </c>
      <c r="E139" s="462">
        <f t="shared" si="13"/>
        <v>-270136.9863013702</v>
      </c>
      <c r="F139" s="462">
        <f t="shared" si="8"/>
        <v>7945.2054794520545</v>
      </c>
      <c r="G139" s="499">
        <f t="shared" si="10"/>
        <v>-30715.672298325724</v>
      </c>
      <c r="H139" s="462">
        <f t="shared" si="11"/>
        <v>978957.93028919259</v>
      </c>
      <c r="I139" s="462"/>
      <c r="J139" s="462"/>
      <c r="L139" s="462"/>
    </row>
    <row r="140" spans="1:12" x14ac:dyDescent="0.25">
      <c r="A140" s="501">
        <v>47088</v>
      </c>
      <c r="B140" s="462">
        <f t="shared" si="12"/>
        <v>1241149.7077777919</v>
      </c>
      <c r="C140" s="462">
        <f t="shared" si="7"/>
        <v>-38660.87777777778</v>
      </c>
      <c r="D140" s="498">
        <f t="shared" si="9"/>
        <v>1202488.830000014</v>
      </c>
      <c r="E140" s="462">
        <f t="shared" si="13"/>
        <v>-262191.78082191816</v>
      </c>
      <c r="F140" s="462">
        <f t="shared" si="8"/>
        <v>7945.2054794520545</v>
      </c>
      <c r="G140" s="499">
        <f t="shared" si="10"/>
        <v>-30715.672298325724</v>
      </c>
      <c r="H140" s="462">
        <f t="shared" si="11"/>
        <v>948242.2579908669</v>
      </c>
      <c r="I140" s="462"/>
      <c r="J140" s="462"/>
      <c r="L140" s="462"/>
    </row>
    <row r="141" spans="1:12" x14ac:dyDescent="0.25">
      <c r="A141" s="501">
        <v>47119</v>
      </c>
      <c r="B141" s="462">
        <f t="shared" si="12"/>
        <v>1202488.830000014</v>
      </c>
      <c r="C141" s="462">
        <f t="shared" si="7"/>
        <v>-38660.87777777778</v>
      </c>
      <c r="D141" s="498">
        <f t="shared" si="9"/>
        <v>1163827.9522222362</v>
      </c>
      <c r="E141" s="462">
        <f t="shared" si="13"/>
        <v>-254246.57534246609</v>
      </c>
      <c r="F141" s="462">
        <f t="shared" si="8"/>
        <v>7945.2054794520545</v>
      </c>
      <c r="G141" s="499">
        <f t="shared" si="10"/>
        <v>-30715.672298325724</v>
      </c>
      <c r="H141" s="462">
        <f t="shared" si="11"/>
        <v>917526.58569254121</v>
      </c>
      <c r="I141" s="462"/>
      <c r="J141" s="462"/>
      <c r="L141" s="462"/>
    </row>
    <row r="142" spans="1:12" x14ac:dyDescent="0.25">
      <c r="A142" s="501">
        <v>47150</v>
      </c>
      <c r="B142" s="462">
        <f t="shared" si="12"/>
        <v>1163827.9522222362</v>
      </c>
      <c r="C142" s="462">
        <f t="shared" si="7"/>
        <v>-38660.87777777778</v>
      </c>
      <c r="D142" s="498">
        <f t="shared" si="9"/>
        <v>1125167.0744444584</v>
      </c>
      <c r="E142" s="462">
        <f t="shared" si="13"/>
        <v>-246301.36986301403</v>
      </c>
      <c r="F142" s="462">
        <f t="shared" si="8"/>
        <v>7945.2054794520545</v>
      </c>
      <c r="G142" s="499">
        <f t="shared" si="10"/>
        <v>-30715.672298325724</v>
      </c>
      <c r="H142" s="462">
        <f t="shared" si="11"/>
        <v>886810.91339421552</v>
      </c>
      <c r="I142" s="462"/>
      <c r="J142" s="462"/>
      <c r="L142" s="462"/>
    </row>
    <row r="143" spans="1:12" x14ac:dyDescent="0.25">
      <c r="A143" s="501">
        <v>47178</v>
      </c>
      <c r="B143" s="462">
        <f t="shared" si="12"/>
        <v>1125167.0744444584</v>
      </c>
      <c r="C143" s="462">
        <f t="shared" si="7"/>
        <v>-38660.87777777778</v>
      </c>
      <c r="D143" s="498">
        <f t="shared" si="9"/>
        <v>1086506.1966666805</v>
      </c>
      <c r="E143" s="462">
        <f t="shared" si="13"/>
        <v>-238356.16438356196</v>
      </c>
      <c r="F143" s="462">
        <f t="shared" si="8"/>
        <v>7945.2054794520545</v>
      </c>
      <c r="G143" s="499">
        <f t="shared" si="10"/>
        <v>-30715.672298325724</v>
      </c>
      <c r="H143" s="462">
        <f t="shared" si="11"/>
        <v>856095.24109588983</v>
      </c>
      <c r="I143" s="462"/>
      <c r="J143" s="462"/>
      <c r="L143" s="462"/>
    </row>
    <row r="144" spans="1:12" x14ac:dyDescent="0.25">
      <c r="A144" s="501">
        <v>47209</v>
      </c>
      <c r="B144" s="462">
        <f t="shared" si="12"/>
        <v>1086506.1966666805</v>
      </c>
      <c r="C144" s="462">
        <f t="shared" si="7"/>
        <v>-38660.87777777778</v>
      </c>
      <c r="D144" s="498">
        <f t="shared" si="9"/>
        <v>1047845.3188889028</v>
      </c>
      <c r="E144" s="462">
        <f t="shared" si="13"/>
        <v>-230410.9589041099</v>
      </c>
      <c r="F144" s="462">
        <f t="shared" si="8"/>
        <v>7945.2054794520545</v>
      </c>
      <c r="G144" s="499">
        <f t="shared" si="10"/>
        <v>-30715.672298325724</v>
      </c>
      <c r="H144" s="462">
        <f t="shared" si="11"/>
        <v>825379.56879756413</v>
      </c>
      <c r="I144" s="462"/>
      <c r="J144" s="462"/>
      <c r="L144" s="462"/>
    </row>
    <row r="145" spans="1:12" x14ac:dyDescent="0.25">
      <c r="A145" s="501">
        <v>47239</v>
      </c>
      <c r="B145" s="462">
        <f t="shared" si="12"/>
        <v>1047845.3188889028</v>
      </c>
      <c r="C145" s="462">
        <f t="shared" si="7"/>
        <v>-38660.87777777778</v>
      </c>
      <c r="D145" s="498">
        <f t="shared" si="9"/>
        <v>1009184.4411111251</v>
      </c>
      <c r="E145" s="462">
        <f t="shared" si="13"/>
        <v>-222465.75342465783</v>
      </c>
      <c r="F145" s="462">
        <f t="shared" si="8"/>
        <v>7945.2054794520545</v>
      </c>
      <c r="G145" s="499">
        <f t="shared" si="10"/>
        <v>-30715.672298325724</v>
      </c>
      <c r="H145" s="462">
        <f t="shared" si="11"/>
        <v>794663.89649923844</v>
      </c>
      <c r="I145" s="462"/>
      <c r="J145" s="462"/>
      <c r="L145" s="462"/>
    </row>
    <row r="146" spans="1:12" x14ac:dyDescent="0.25">
      <c r="A146" s="501">
        <v>47270</v>
      </c>
      <c r="B146" s="462">
        <f t="shared" si="12"/>
        <v>1009184.4411111251</v>
      </c>
      <c r="C146" s="462">
        <f t="shared" si="7"/>
        <v>-38660.87777777778</v>
      </c>
      <c r="D146" s="498">
        <f t="shared" si="9"/>
        <v>970523.56333334732</v>
      </c>
      <c r="E146" s="462">
        <f t="shared" si="13"/>
        <v>-214520.54794520576</v>
      </c>
      <c r="F146" s="462">
        <f t="shared" si="8"/>
        <v>7945.2054794520545</v>
      </c>
      <c r="G146" s="499">
        <f t="shared" si="10"/>
        <v>-30715.672298325724</v>
      </c>
      <c r="H146" s="462">
        <f t="shared" si="11"/>
        <v>763948.22420091275</v>
      </c>
      <c r="I146" s="462"/>
      <c r="J146" s="462"/>
      <c r="L146" s="462"/>
    </row>
    <row r="147" spans="1:12" x14ac:dyDescent="0.25">
      <c r="A147" s="501">
        <v>47300</v>
      </c>
      <c r="B147" s="462">
        <f t="shared" si="12"/>
        <v>970523.56333334732</v>
      </c>
      <c r="C147" s="462">
        <f t="shared" si="7"/>
        <v>-38660.87777777778</v>
      </c>
      <c r="D147" s="498">
        <f t="shared" si="9"/>
        <v>931862.68555556959</v>
      </c>
      <c r="E147" s="462">
        <f t="shared" si="13"/>
        <v>-206575.3424657537</v>
      </c>
      <c r="F147" s="462">
        <f t="shared" si="8"/>
        <v>7945.2054794520545</v>
      </c>
      <c r="G147" s="499">
        <f t="shared" si="10"/>
        <v>-30715.672298325724</v>
      </c>
      <c r="H147" s="462">
        <f t="shared" si="11"/>
        <v>733232.55190258706</v>
      </c>
      <c r="I147" s="462"/>
      <c r="J147" s="462"/>
      <c r="L147" s="462"/>
    </row>
    <row r="148" spans="1:12" x14ac:dyDescent="0.25">
      <c r="A148" s="501">
        <v>47331</v>
      </c>
      <c r="B148" s="462">
        <f t="shared" si="12"/>
        <v>931862.68555556959</v>
      </c>
      <c r="C148" s="462">
        <f t="shared" si="7"/>
        <v>-38660.87777777778</v>
      </c>
      <c r="D148" s="498">
        <f t="shared" si="9"/>
        <v>893201.80777779187</v>
      </c>
      <c r="E148" s="462">
        <f t="shared" si="13"/>
        <v>-198630.13698630163</v>
      </c>
      <c r="F148" s="462">
        <f t="shared" si="8"/>
        <v>7945.2054794520545</v>
      </c>
      <c r="G148" s="499">
        <f t="shared" si="10"/>
        <v>-30715.672298325724</v>
      </c>
      <c r="H148" s="462">
        <f t="shared" si="11"/>
        <v>702516.87960426137</v>
      </c>
      <c r="I148" s="462"/>
      <c r="J148" s="462"/>
      <c r="L148" s="462"/>
    </row>
    <row r="149" spans="1:12" x14ac:dyDescent="0.25">
      <c r="A149" s="501">
        <v>47362</v>
      </c>
      <c r="B149" s="462">
        <f t="shared" si="12"/>
        <v>893201.80777779187</v>
      </c>
      <c r="C149" s="462">
        <f t="shared" si="7"/>
        <v>-38660.87777777778</v>
      </c>
      <c r="D149" s="498">
        <f t="shared" si="9"/>
        <v>854540.93000001414</v>
      </c>
      <c r="E149" s="462">
        <f t="shared" si="13"/>
        <v>-190684.93150684956</v>
      </c>
      <c r="F149" s="462">
        <f t="shared" si="8"/>
        <v>7945.2054794520545</v>
      </c>
      <c r="G149" s="499">
        <f t="shared" si="10"/>
        <v>-30715.672298325724</v>
      </c>
      <c r="H149" s="462">
        <f t="shared" si="11"/>
        <v>671801.20730593568</v>
      </c>
      <c r="I149" s="462"/>
      <c r="J149" s="462"/>
      <c r="L149" s="462"/>
    </row>
    <row r="150" spans="1:12" x14ac:dyDescent="0.25">
      <c r="A150" s="501">
        <v>47392</v>
      </c>
      <c r="B150" s="462">
        <f t="shared" si="12"/>
        <v>854540.93000001414</v>
      </c>
      <c r="C150" s="462">
        <f t="shared" si="7"/>
        <v>-38660.87777777778</v>
      </c>
      <c r="D150" s="498">
        <f t="shared" si="9"/>
        <v>815880.05222223641</v>
      </c>
      <c r="E150" s="462">
        <f t="shared" si="13"/>
        <v>-182739.7260273975</v>
      </c>
      <c r="F150" s="462">
        <f t="shared" si="8"/>
        <v>7945.2054794520545</v>
      </c>
      <c r="G150" s="499">
        <f t="shared" si="10"/>
        <v>-30715.672298325724</v>
      </c>
      <c r="H150" s="462">
        <f t="shared" si="11"/>
        <v>641085.53500760999</v>
      </c>
      <c r="I150" s="462"/>
      <c r="J150" s="462"/>
      <c r="L150" s="462"/>
    </row>
    <row r="151" spans="1:12" x14ac:dyDescent="0.25">
      <c r="A151" s="501">
        <v>47423</v>
      </c>
      <c r="B151" s="462">
        <f t="shared" si="12"/>
        <v>815880.05222223641</v>
      </c>
      <c r="C151" s="462">
        <f t="shared" si="7"/>
        <v>-38660.87777777778</v>
      </c>
      <c r="D151" s="498">
        <f t="shared" si="9"/>
        <v>777219.17444445868</v>
      </c>
      <c r="E151" s="462">
        <f t="shared" si="13"/>
        <v>-174794.52054794543</v>
      </c>
      <c r="F151" s="462">
        <f t="shared" si="8"/>
        <v>7945.2054794520545</v>
      </c>
      <c r="G151" s="499">
        <f t="shared" si="10"/>
        <v>-30715.672298325724</v>
      </c>
      <c r="H151" s="462">
        <f t="shared" si="11"/>
        <v>610369.86270928429</v>
      </c>
      <c r="I151" s="462"/>
      <c r="J151" s="462"/>
      <c r="L151" s="462"/>
    </row>
    <row r="152" spans="1:12" x14ac:dyDescent="0.25">
      <c r="A152" s="501">
        <v>47453</v>
      </c>
      <c r="B152" s="462">
        <f t="shared" si="12"/>
        <v>777219.17444445868</v>
      </c>
      <c r="C152" s="462">
        <f t="shared" si="7"/>
        <v>-38660.87777777778</v>
      </c>
      <c r="D152" s="498">
        <f t="shared" si="9"/>
        <v>738558.29666668095</v>
      </c>
      <c r="E152" s="462">
        <f t="shared" si="13"/>
        <v>-166849.31506849336</v>
      </c>
      <c r="F152" s="462">
        <f t="shared" si="8"/>
        <v>7945.2054794520545</v>
      </c>
      <c r="G152" s="499">
        <f t="shared" si="10"/>
        <v>-30715.672298325724</v>
      </c>
      <c r="H152" s="462">
        <f t="shared" si="11"/>
        <v>579654.1904109586</v>
      </c>
      <c r="I152" s="462"/>
      <c r="J152" s="462"/>
      <c r="L152" s="462"/>
    </row>
    <row r="153" spans="1:12" x14ac:dyDescent="0.25">
      <c r="A153" s="501">
        <v>47484</v>
      </c>
      <c r="B153" s="462">
        <f t="shared" si="12"/>
        <v>738558.29666668095</v>
      </c>
      <c r="C153" s="462">
        <f t="shared" si="7"/>
        <v>-38660.87777777778</v>
      </c>
      <c r="D153" s="498">
        <f t="shared" si="9"/>
        <v>699897.41888890322</v>
      </c>
      <c r="E153" s="462">
        <f t="shared" si="13"/>
        <v>-158904.1095890413</v>
      </c>
      <c r="F153" s="462">
        <f t="shared" si="8"/>
        <v>7945.2054794520545</v>
      </c>
      <c r="G153" s="499">
        <f t="shared" si="10"/>
        <v>-30715.672298325724</v>
      </c>
      <c r="H153" s="462">
        <f t="shared" si="11"/>
        <v>548938.51811263291</v>
      </c>
      <c r="I153" s="462"/>
      <c r="J153" s="462"/>
      <c r="L153" s="462"/>
    </row>
    <row r="154" spans="1:12" x14ac:dyDescent="0.25">
      <c r="A154" s="501">
        <v>47515</v>
      </c>
      <c r="B154" s="462">
        <f t="shared" si="12"/>
        <v>699897.41888890322</v>
      </c>
      <c r="C154" s="462">
        <f t="shared" si="7"/>
        <v>-38660.87777777778</v>
      </c>
      <c r="D154" s="498">
        <f t="shared" si="9"/>
        <v>661236.54111112549</v>
      </c>
      <c r="E154" s="462">
        <f t="shared" si="13"/>
        <v>-150958.90410958923</v>
      </c>
      <c r="F154" s="462">
        <f t="shared" si="8"/>
        <v>7945.2054794520545</v>
      </c>
      <c r="G154" s="499">
        <f t="shared" si="10"/>
        <v>-30715.672298325724</v>
      </c>
      <c r="H154" s="462">
        <f t="shared" si="11"/>
        <v>518222.84581430716</v>
      </c>
      <c r="I154" s="462"/>
      <c r="J154" s="462"/>
      <c r="L154" s="462"/>
    </row>
    <row r="155" spans="1:12" x14ac:dyDescent="0.25">
      <c r="A155" s="501">
        <v>47543</v>
      </c>
      <c r="B155" s="462">
        <f t="shared" si="12"/>
        <v>661236.54111112549</v>
      </c>
      <c r="C155" s="462">
        <f t="shared" ref="C155:C171" si="14">-$D$18</f>
        <v>-38660.87777777778</v>
      </c>
      <c r="D155" s="498">
        <f t="shared" si="9"/>
        <v>622575.66333334777</v>
      </c>
      <c r="E155" s="462">
        <f t="shared" si="13"/>
        <v>-143013.69863013717</v>
      </c>
      <c r="F155" s="462">
        <f t="shared" ref="F155:F172" si="15">$D$12</f>
        <v>7945.2054794520545</v>
      </c>
      <c r="G155" s="499">
        <f t="shared" si="10"/>
        <v>-30715.672298325724</v>
      </c>
      <c r="H155" s="462">
        <f t="shared" si="11"/>
        <v>487507.17351598141</v>
      </c>
      <c r="I155" s="462"/>
      <c r="J155" s="462"/>
      <c r="L155" s="462"/>
    </row>
    <row r="156" spans="1:12" x14ac:dyDescent="0.25">
      <c r="A156" s="501">
        <v>47574</v>
      </c>
      <c r="B156" s="462">
        <f t="shared" si="12"/>
        <v>622575.66333334777</v>
      </c>
      <c r="C156" s="462">
        <f t="shared" si="14"/>
        <v>-38660.87777777778</v>
      </c>
      <c r="D156" s="498">
        <f t="shared" ref="D156:D172" si="16">B156+C156</f>
        <v>583914.78555557004</v>
      </c>
      <c r="E156" s="462">
        <f t="shared" si="13"/>
        <v>-135068.4931506851</v>
      </c>
      <c r="F156" s="462">
        <f t="shared" si="15"/>
        <v>7945.2054794520545</v>
      </c>
      <c r="G156" s="499">
        <f t="shared" ref="G156:G171" si="17">C156+F156</f>
        <v>-30715.672298325724</v>
      </c>
      <c r="H156" s="462">
        <f t="shared" ref="H156:H172" si="18">H155+G156</f>
        <v>456791.50121765566</v>
      </c>
      <c r="I156" s="462"/>
      <c r="J156" s="462"/>
      <c r="L156" s="462"/>
    </row>
    <row r="157" spans="1:12" x14ac:dyDescent="0.25">
      <c r="A157" s="501">
        <v>47604</v>
      </c>
      <c r="B157" s="462">
        <f t="shared" ref="B157:B172" si="19">D156</f>
        <v>583914.78555557004</v>
      </c>
      <c r="C157" s="462">
        <f t="shared" si="14"/>
        <v>-38660.87777777778</v>
      </c>
      <c r="D157" s="498">
        <f t="shared" si="16"/>
        <v>545253.90777779231</v>
      </c>
      <c r="E157" s="462">
        <f t="shared" ref="E157:E172" si="20">E156+F156</f>
        <v>-127123.28767123305</v>
      </c>
      <c r="F157" s="462">
        <f t="shared" si="15"/>
        <v>7945.2054794520545</v>
      </c>
      <c r="G157" s="499">
        <f t="shared" si="17"/>
        <v>-30715.672298325724</v>
      </c>
      <c r="H157" s="462">
        <f t="shared" si="18"/>
        <v>426075.82891932991</v>
      </c>
      <c r="I157" s="462"/>
      <c r="J157" s="462"/>
      <c r="L157" s="462"/>
    </row>
    <row r="158" spans="1:12" x14ac:dyDescent="0.25">
      <c r="A158" s="501">
        <v>47635</v>
      </c>
      <c r="B158" s="462">
        <f t="shared" si="19"/>
        <v>545253.90777779231</v>
      </c>
      <c r="C158" s="462">
        <f t="shared" si="14"/>
        <v>-38660.87777777778</v>
      </c>
      <c r="D158" s="498">
        <f t="shared" si="16"/>
        <v>506593.03000001452</v>
      </c>
      <c r="E158" s="462">
        <f t="shared" si="20"/>
        <v>-119178.082191781</v>
      </c>
      <c r="F158" s="462">
        <f t="shared" si="15"/>
        <v>7945.2054794520545</v>
      </c>
      <c r="G158" s="499">
        <f t="shared" si="17"/>
        <v>-30715.672298325724</v>
      </c>
      <c r="H158" s="462">
        <f t="shared" si="18"/>
        <v>395360.15662100416</v>
      </c>
      <c r="I158" s="462"/>
      <c r="J158" s="462"/>
      <c r="L158" s="462"/>
    </row>
    <row r="159" spans="1:12" x14ac:dyDescent="0.25">
      <c r="A159" s="501">
        <v>47665</v>
      </c>
      <c r="B159" s="462">
        <f t="shared" si="19"/>
        <v>506593.03000001452</v>
      </c>
      <c r="C159" s="462">
        <f t="shared" si="14"/>
        <v>-38660.87777777778</v>
      </c>
      <c r="D159" s="498">
        <f t="shared" si="16"/>
        <v>467932.15222223673</v>
      </c>
      <c r="E159" s="462">
        <f t="shared" si="20"/>
        <v>-111232.87671232894</v>
      </c>
      <c r="F159" s="462">
        <f t="shared" si="15"/>
        <v>7945.2054794520545</v>
      </c>
      <c r="G159" s="499">
        <f t="shared" si="17"/>
        <v>-30715.672298325724</v>
      </c>
      <c r="H159" s="462">
        <f t="shared" si="18"/>
        <v>364644.48432267841</v>
      </c>
      <c r="I159" s="462"/>
      <c r="J159" s="462"/>
      <c r="L159" s="462"/>
    </row>
    <row r="160" spans="1:12" x14ac:dyDescent="0.25">
      <c r="A160" s="501">
        <v>47696</v>
      </c>
      <c r="B160" s="462">
        <f t="shared" si="19"/>
        <v>467932.15222223673</v>
      </c>
      <c r="C160" s="462">
        <f t="shared" si="14"/>
        <v>-38660.87777777778</v>
      </c>
      <c r="D160" s="498">
        <f t="shared" si="16"/>
        <v>429271.27444445895</v>
      </c>
      <c r="E160" s="462">
        <f t="shared" si="20"/>
        <v>-103287.67123287689</v>
      </c>
      <c r="F160" s="462">
        <f t="shared" si="15"/>
        <v>7945.2054794520545</v>
      </c>
      <c r="G160" s="499">
        <f t="shared" si="17"/>
        <v>-30715.672298325724</v>
      </c>
      <c r="H160" s="462">
        <f t="shared" si="18"/>
        <v>333928.81202435266</v>
      </c>
      <c r="I160" s="462"/>
      <c r="J160" s="462"/>
      <c r="L160" s="462"/>
    </row>
    <row r="161" spans="1:12" x14ac:dyDescent="0.25">
      <c r="A161" s="501">
        <v>47727</v>
      </c>
      <c r="B161" s="462">
        <f t="shared" si="19"/>
        <v>429271.27444445895</v>
      </c>
      <c r="C161" s="462">
        <f t="shared" si="14"/>
        <v>-38660.87777777778</v>
      </c>
      <c r="D161" s="498">
        <f t="shared" si="16"/>
        <v>390610.39666668116</v>
      </c>
      <c r="E161" s="462">
        <f t="shared" si="20"/>
        <v>-95342.46575342484</v>
      </c>
      <c r="F161" s="462">
        <f t="shared" si="15"/>
        <v>7945.2054794520545</v>
      </c>
      <c r="G161" s="499">
        <f t="shared" si="17"/>
        <v>-30715.672298325724</v>
      </c>
      <c r="H161" s="462">
        <f t="shared" si="18"/>
        <v>303213.13972602692</v>
      </c>
      <c r="I161" s="462"/>
      <c r="J161" s="462"/>
      <c r="L161" s="462"/>
    </row>
    <row r="162" spans="1:12" x14ac:dyDescent="0.25">
      <c r="A162" s="501">
        <v>47757</v>
      </c>
      <c r="B162" s="462">
        <f t="shared" si="19"/>
        <v>390610.39666668116</v>
      </c>
      <c r="C162" s="462">
        <f t="shared" si="14"/>
        <v>-38660.87777777778</v>
      </c>
      <c r="D162" s="498">
        <f t="shared" si="16"/>
        <v>351949.51888890337</v>
      </c>
      <c r="E162" s="462">
        <f t="shared" si="20"/>
        <v>-87397.260273972788</v>
      </c>
      <c r="F162" s="462">
        <f t="shared" si="15"/>
        <v>7945.2054794520545</v>
      </c>
      <c r="G162" s="499">
        <f t="shared" si="17"/>
        <v>-30715.672298325724</v>
      </c>
      <c r="H162" s="462">
        <f t="shared" si="18"/>
        <v>272497.46742770117</v>
      </c>
      <c r="I162" s="462"/>
      <c r="J162" s="462"/>
      <c r="L162" s="462"/>
    </row>
    <row r="163" spans="1:12" x14ac:dyDescent="0.25">
      <c r="A163" s="501">
        <v>47788</v>
      </c>
      <c r="B163" s="462">
        <f t="shared" si="19"/>
        <v>351949.51888890337</v>
      </c>
      <c r="C163" s="462">
        <f t="shared" si="14"/>
        <v>-38660.87777777778</v>
      </c>
      <c r="D163" s="498">
        <f t="shared" si="16"/>
        <v>313288.64111112559</v>
      </c>
      <c r="E163" s="462">
        <f t="shared" si="20"/>
        <v>-79452.054794520736</v>
      </c>
      <c r="F163" s="462">
        <f t="shared" si="15"/>
        <v>7945.2054794520545</v>
      </c>
      <c r="G163" s="499">
        <f t="shared" si="17"/>
        <v>-30715.672298325724</v>
      </c>
      <c r="H163" s="462">
        <f t="shared" si="18"/>
        <v>241781.79512937544</v>
      </c>
      <c r="I163" s="462"/>
      <c r="J163" s="462"/>
      <c r="L163" s="462"/>
    </row>
    <row r="164" spans="1:12" x14ac:dyDescent="0.25">
      <c r="A164" s="501">
        <v>47818</v>
      </c>
      <c r="B164" s="462">
        <f t="shared" si="19"/>
        <v>313288.64111112559</v>
      </c>
      <c r="C164" s="462">
        <f t="shared" si="14"/>
        <v>-38660.87777777778</v>
      </c>
      <c r="D164" s="498">
        <f t="shared" si="16"/>
        <v>274627.7633333478</v>
      </c>
      <c r="E164" s="462">
        <f t="shared" si="20"/>
        <v>-71506.849315068685</v>
      </c>
      <c r="F164" s="462">
        <f t="shared" si="15"/>
        <v>7945.2054794520545</v>
      </c>
      <c r="G164" s="499">
        <f t="shared" si="17"/>
        <v>-30715.672298325724</v>
      </c>
      <c r="H164" s="462">
        <f t="shared" si="18"/>
        <v>211066.12283104972</v>
      </c>
      <c r="I164" s="462"/>
      <c r="J164" s="462"/>
      <c r="L164" s="462"/>
    </row>
    <row r="165" spans="1:12" x14ac:dyDescent="0.25">
      <c r="A165" s="501">
        <v>47849</v>
      </c>
      <c r="B165" s="462">
        <f t="shared" si="19"/>
        <v>274627.7633333478</v>
      </c>
      <c r="C165" s="462">
        <f t="shared" si="14"/>
        <v>-38660.87777777778</v>
      </c>
      <c r="D165" s="498">
        <f t="shared" si="16"/>
        <v>235966.88555557001</v>
      </c>
      <c r="E165" s="462">
        <f t="shared" si="20"/>
        <v>-63561.643835616633</v>
      </c>
      <c r="F165" s="462">
        <f t="shared" si="15"/>
        <v>7945.2054794520545</v>
      </c>
      <c r="G165" s="499">
        <f t="shared" si="17"/>
        <v>-30715.672298325724</v>
      </c>
      <c r="H165" s="462">
        <f t="shared" si="18"/>
        <v>180350.450532724</v>
      </c>
      <c r="I165" s="462"/>
      <c r="J165" s="462"/>
      <c r="L165" s="462"/>
    </row>
    <row r="166" spans="1:12" x14ac:dyDescent="0.25">
      <c r="A166" s="501">
        <v>47880</v>
      </c>
      <c r="B166" s="462">
        <f t="shared" si="19"/>
        <v>235966.88555557001</v>
      </c>
      <c r="C166" s="462">
        <f t="shared" si="14"/>
        <v>-38660.87777777778</v>
      </c>
      <c r="D166" s="498">
        <f t="shared" si="16"/>
        <v>197306.00777779223</v>
      </c>
      <c r="E166" s="462">
        <f t="shared" si="20"/>
        <v>-55616.438356164581</v>
      </c>
      <c r="F166" s="462">
        <f t="shared" si="15"/>
        <v>7945.2054794520545</v>
      </c>
      <c r="G166" s="499">
        <f t="shared" si="17"/>
        <v>-30715.672298325724</v>
      </c>
      <c r="H166" s="462">
        <f t="shared" si="18"/>
        <v>149634.77823439828</v>
      </c>
      <c r="I166" s="462"/>
      <c r="J166" s="462"/>
      <c r="L166" s="462"/>
    </row>
    <row r="167" spans="1:12" x14ac:dyDescent="0.25">
      <c r="A167" s="501">
        <v>47908</v>
      </c>
      <c r="B167" s="462">
        <f t="shared" si="19"/>
        <v>197306.00777779223</v>
      </c>
      <c r="C167" s="462">
        <f t="shared" si="14"/>
        <v>-38660.87777777778</v>
      </c>
      <c r="D167" s="498">
        <f t="shared" si="16"/>
        <v>158645.13000001444</v>
      </c>
      <c r="E167" s="462">
        <f t="shared" si="20"/>
        <v>-47671.232876712529</v>
      </c>
      <c r="F167" s="462">
        <f t="shared" si="15"/>
        <v>7945.2054794520545</v>
      </c>
      <c r="G167" s="499">
        <f t="shared" si="17"/>
        <v>-30715.672298325724</v>
      </c>
      <c r="H167" s="462">
        <f t="shared" si="18"/>
        <v>118919.10593607256</v>
      </c>
      <c r="I167" s="462"/>
      <c r="J167" s="462"/>
      <c r="L167" s="462"/>
    </row>
    <row r="168" spans="1:12" x14ac:dyDescent="0.25">
      <c r="A168" s="501">
        <v>47939</v>
      </c>
      <c r="B168" s="462">
        <f t="shared" si="19"/>
        <v>158645.13000001444</v>
      </c>
      <c r="C168" s="462">
        <f t="shared" si="14"/>
        <v>-38660.87777777778</v>
      </c>
      <c r="D168" s="498">
        <f t="shared" si="16"/>
        <v>119984.25222223665</v>
      </c>
      <c r="E168" s="462">
        <f t="shared" si="20"/>
        <v>-39726.027397260477</v>
      </c>
      <c r="F168" s="462">
        <f t="shared" si="15"/>
        <v>7945.2054794520545</v>
      </c>
      <c r="G168" s="499">
        <f t="shared" si="17"/>
        <v>-30715.672298325724</v>
      </c>
      <c r="H168" s="462">
        <f t="shared" si="18"/>
        <v>88203.433637746843</v>
      </c>
      <c r="I168" s="462"/>
      <c r="J168" s="462"/>
      <c r="L168" s="462"/>
    </row>
    <row r="169" spans="1:12" x14ac:dyDescent="0.25">
      <c r="A169" s="501">
        <v>47969</v>
      </c>
      <c r="B169" s="462">
        <f t="shared" si="19"/>
        <v>119984.25222223665</v>
      </c>
      <c r="C169" s="462">
        <f t="shared" si="14"/>
        <v>-38660.87777777778</v>
      </c>
      <c r="D169" s="498">
        <f t="shared" si="16"/>
        <v>81323.374444458866</v>
      </c>
      <c r="E169" s="462">
        <f t="shared" si="20"/>
        <v>-31780.821917808422</v>
      </c>
      <c r="F169" s="462">
        <f t="shared" si="15"/>
        <v>7945.2054794520545</v>
      </c>
      <c r="G169" s="499">
        <f t="shared" si="17"/>
        <v>-30715.672298325724</v>
      </c>
      <c r="H169" s="462">
        <f t="shared" si="18"/>
        <v>57487.761339421122</v>
      </c>
      <c r="I169" s="462"/>
      <c r="J169" s="462"/>
      <c r="L169" s="462"/>
    </row>
    <row r="170" spans="1:12" x14ac:dyDescent="0.25">
      <c r="A170" s="501">
        <v>48000</v>
      </c>
      <c r="B170" s="462">
        <f t="shared" si="19"/>
        <v>81323.374444458866</v>
      </c>
      <c r="C170" s="462">
        <f t="shared" si="14"/>
        <v>-38660.87777777778</v>
      </c>
      <c r="D170" s="498">
        <f t="shared" si="16"/>
        <v>42662.496666681087</v>
      </c>
      <c r="E170" s="462">
        <f t="shared" si="20"/>
        <v>-23835.616438356366</v>
      </c>
      <c r="F170" s="462">
        <f t="shared" si="15"/>
        <v>7945.2054794520545</v>
      </c>
      <c r="G170" s="499">
        <f t="shared" si="17"/>
        <v>-30715.672298325724</v>
      </c>
      <c r="H170" s="462">
        <f t="shared" si="18"/>
        <v>26772.089041095398</v>
      </c>
      <c r="I170" s="462"/>
      <c r="J170" s="462"/>
      <c r="L170" s="462"/>
    </row>
    <row r="171" spans="1:12" x14ac:dyDescent="0.25">
      <c r="A171" s="501">
        <v>48030</v>
      </c>
      <c r="B171" s="462">
        <f t="shared" si="19"/>
        <v>42662.496666681087</v>
      </c>
      <c r="C171" s="462">
        <f t="shared" si="14"/>
        <v>-38660.87777777778</v>
      </c>
      <c r="D171" s="498">
        <f t="shared" si="16"/>
        <v>4001.6188889033074</v>
      </c>
      <c r="E171" s="462">
        <f t="shared" si="20"/>
        <v>-15890.410958904311</v>
      </c>
      <c r="F171" s="462">
        <f t="shared" si="15"/>
        <v>7945.2054794520545</v>
      </c>
      <c r="G171" s="499">
        <f t="shared" si="17"/>
        <v>-30715.672298325724</v>
      </c>
      <c r="H171" s="462">
        <f t="shared" si="18"/>
        <v>-3943.5832572303261</v>
      </c>
      <c r="I171" s="462"/>
      <c r="J171" s="462"/>
      <c r="L171" s="462"/>
    </row>
    <row r="172" spans="1:12" x14ac:dyDescent="0.25">
      <c r="A172" s="501">
        <v>48061</v>
      </c>
      <c r="B172" s="462">
        <f t="shared" si="19"/>
        <v>4001.6188889033074</v>
      </c>
      <c r="C172" s="462">
        <f>-D171</f>
        <v>-4001.6188889033074</v>
      </c>
      <c r="D172" s="498">
        <f t="shared" si="16"/>
        <v>0</v>
      </c>
      <c r="E172" s="462">
        <f t="shared" si="20"/>
        <v>-7945.2054794522564</v>
      </c>
      <c r="F172" s="462">
        <f t="shared" si="15"/>
        <v>7945.2054794520545</v>
      </c>
      <c r="G172" s="499">
        <f>C172+F172</f>
        <v>3943.5865905487472</v>
      </c>
      <c r="H172" s="462">
        <f t="shared" si="18"/>
        <v>3.3333184210277977E-3</v>
      </c>
      <c r="I172" s="462"/>
      <c r="J172" s="462"/>
      <c r="L172" s="462"/>
    </row>
    <row r="173" spans="1:12" ht="14.25" x14ac:dyDescent="0.2">
      <c r="B173" s="450"/>
      <c r="C173" s="450"/>
      <c r="D173" s="450"/>
      <c r="E173" s="450"/>
      <c r="F173" s="450"/>
      <c r="G173" s="450"/>
      <c r="H173" s="450"/>
      <c r="I173" s="450"/>
      <c r="J173" s="450"/>
    </row>
    <row r="186" spans="1:12" x14ac:dyDescent="0.25">
      <c r="A186" s="497"/>
      <c r="G186" s="462"/>
      <c r="H186" s="502"/>
      <c r="I186" s="502"/>
      <c r="K186" s="462"/>
      <c r="L186" s="462"/>
    </row>
    <row r="187" spans="1:12" x14ac:dyDescent="0.25">
      <c r="A187" s="497"/>
      <c r="G187" s="462"/>
      <c r="H187" s="502"/>
      <c r="I187" s="502"/>
      <c r="K187" s="462"/>
      <c r="L187" s="462"/>
    </row>
    <row r="188" spans="1:12" x14ac:dyDescent="0.25">
      <c r="A188" s="497"/>
      <c r="G188" s="462"/>
      <c r="H188" s="502"/>
      <c r="I188" s="502"/>
      <c r="K188" s="462"/>
      <c r="L188" s="462"/>
    </row>
    <row r="189" spans="1:12" x14ac:dyDescent="0.25">
      <c r="A189" s="497"/>
      <c r="G189" s="462"/>
      <c r="H189" s="502"/>
      <c r="I189" s="502"/>
      <c r="K189" s="462"/>
      <c r="L189" s="462"/>
    </row>
    <row r="190" spans="1:12" x14ac:dyDescent="0.25">
      <c r="A190" s="497"/>
      <c r="G190" s="462"/>
      <c r="H190" s="502"/>
      <c r="I190" s="502"/>
      <c r="K190" s="462"/>
      <c r="L190" s="462"/>
    </row>
    <row r="191" spans="1:12" x14ac:dyDescent="0.25">
      <c r="A191" s="497"/>
      <c r="G191" s="462"/>
      <c r="H191" s="502"/>
      <c r="I191" s="502"/>
      <c r="K191" s="462"/>
      <c r="L191" s="462"/>
    </row>
    <row r="192" spans="1:12" x14ac:dyDescent="0.25">
      <c r="A192" s="497"/>
      <c r="G192" s="462"/>
      <c r="H192" s="502"/>
      <c r="I192" s="502"/>
      <c r="K192" s="462"/>
      <c r="L192" s="462"/>
    </row>
    <row r="193" spans="1:12" x14ac:dyDescent="0.25">
      <c r="A193" s="497"/>
      <c r="G193" s="462"/>
      <c r="H193" s="502"/>
      <c r="I193" s="502"/>
      <c r="K193" s="462"/>
      <c r="L193" s="462"/>
    </row>
    <row r="194" spans="1:12" x14ac:dyDescent="0.25">
      <c r="A194" s="497"/>
      <c r="G194" s="462"/>
      <c r="H194" s="502"/>
      <c r="I194" s="502"/>
      <c r="K194" s="462"/>
      <c r="L194" s="462"/>
    </row>
    <row r="195" spans="1:12" x14ac:dyDescent="0.25">
      <c r="A195" s="497"/>
      <c r="G195" s="462"/>
      <c r="H195" s="502"/>
      <c r="I195" s="502"/>
      <c r="K195" s="462"/>
      <c r="L195" s="462"/>
    </row>
    <row r="196" spans="1:12" x14ac:dyDescent="0.25">
      <c r="A196" s="497"/>
      <c r="G196" s="462"/>
      <c r="H196" s="502"/>
      <c r="I196" s="502"/>
      <c r="K196" s="462"/>
      <c r="L196" s="462"/>
    </row>
    <row r="197" spans="1:12" x14ac:dyDescent="0.25">
      <c r="A197" s="497"/>
      <c r="G197" s="462"/>
      <c r="H197" s="502"/>
      <c r="I197" s="502"/>
      <c r="K197" s="462"/>
      <c r="L197" s="462"/>
    </row>
    <row r="198" spans="1:12" x14ac:dyDescent="0.25">
      <c r="A198" s="497"/>
      <c r="G198" s="462"/>
      <c r="H198" s="502"/>
      <c r="I198" s="502"/>
      <c r="K198" s="462"/>
      <c r="L198" s="462"/>
    </row>
    <row r="199" spans="1:12" x14ac:dyDescent="0.25">
      <c r="A199" s="497"/>
      <c r="G199" s="462"/>
      <c r="H199" s="502"/>
      <c r="I199" s="502"/>
      <c r="K199" s="462"/>
      <c r="L199" s="462"/>
    </row>
    <row r="200" spans="1:12" x14ac:dyDescent="0.25">
      <c r="A200" s="497"/>
      <c r="G200" s="462"/>
      <c r="H200" s="502"/>
      <c r="I200" s="502"/>
      <c r="K200" s="462"/>
      <c r="L200" s="462"/>
    </row>
    <row r="201" spans="1:12" x14ac:dyDescent="0.25">
      <c r="A201" s="497"/>
      <c r="G201" s="462"/>
      <c r="H201" s="502"/>
      <c r="I201" s="502"/>
      <c r="K201" s="462"/>
      <c r="L201" s="462"/>
    </row>
    <row r="202" spans="1:12" x14ac:dyDescent="0.25">
      <c r="A202" s="497"/>
      <c r="G202" s="462"/>
      <c r="H202" s="502"/>
      <c r="I202" s="502"/>
      <c r="K202" s="462"/>
      <c r="L202" s="462"/>
    </row>
  </sheetData>
  <mergeCells count="2">
    <mergeCell ref="A3:J5"/>
    <mergeCell ref="J11:L11"/>
  </mergeCells>
  <pageMargins left="0.7" right="0.7" top="0.75" bottom="0.75" header="0.3" footer="0.3"/>
  <pageSetup scale="54" fitToHeight="0"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0"/>
  <sheetViews>
    <sheetView view="pageLayout" zoomScaleNormal="100" workbookViewId="0">
      <selection activeCell="E9" sqref="E9"/>
    </sheetView>
  </sheetViews>
  <sheetFormatPr defaultRowHeight="12.75" x14ac:dyDescent="0.2"/>
  <cols>
    <col min="1" max="1" width="9.5703125" style="298" customWidth="1"/>
    <col min="2" max="2" width="9.140625" style="298"/>
    <col min="3" max="3" width="11.5703125" style="298" customWidth="1"/>
    <col min="4" max="4" width="9.28515625" style="298" customWidth="1"/>
    <col min="5" max="5" width="15.7109375" style="298" bestFit="1" customWidth="1"/>
    <col min="6" max="6" width="26.42578125" style="298" customWidth="1"/>
    <col min="7" max="7" width="5.7109375" style="298" customWidth="1"/>
    <col min="8" max="8" width="13.85546875" style="298" bestFit="1" customWidth="1"/>
    <col min="9" max="9" width="9.140625" style="298"/>
    <col min="10" max="10" width="12.28515625" style="298" bestFit="1" customWidth="1"/>
    <col min="11" max="256" width="9.140625" style="298"/>
    <col min="257" max="257" width="9.5703125" style="298" customWidth="1"/>
    <col min="258" max="258" width="9.140625" style="298"/>
    <col min="259" max="259" width="11.5703125" style="298" customWidth="1"/>
    <col min="260" max="260" width="9.28515625" style="298" customWidth="1"/>
    <col min="261" max="261" width="15.7109375" style="298" bestFit="1" customWidth="1"/>
    <col min="262" max="262" width="26.42578125" style="298" customWidth="1"/>
    <col min="263" max="263" width="5.7109375" style="298" customWidth="1"/>
    <col min="264" max="264" width="13.85546875" style="298" bestFit="1" customWidth="1"/>
    <col min="265" max="265" width="9.140625" style="298"/>
    <col min="266" max="266" width="12.28515625" style="298" bestFit="1" customWidth="1"/>
    <col min="267" max="512" width="9.140625" style="298"/>
    <col min="513" max="513" width="9.5703125" style="298" customWidth="1"/>
    <col min="514" max="514" width="9.140625" style="298"/>
    <col min="515" max="515" width="11.5703125" style="298" customWidth="1"/>
    <col min="516" max="516" width="9.28515625" style="298" customWidth="1"/>
    <col min="517" max="517" width="15.7109375" style="298" bestFit="1" customWidth="1"/>
    <col min="518" max="518" width="26.42578125" style="298" customWidth="1"/>
    <col min="519" max="519" width="5.7109375" style="298" customWidth="1"/>
    <col min="520" max="520" width="13.85546875" style="298" bestFit="1" customWidth="1"/>
    <col min="521" max="521" width="9.140625" style="298"/>
    <col min="522" max="522" width="12.28515625" style="298" bestFit="1" customWidth="1"/>
    <col min="523" max="768" width="9.140625" style="298"/>
    <col min="769" max="769" width="9.5703125" style="298" customWidth="1"/>
    <col min="770" max="770" width="9.140625" style="298"/>
    <col min="771" max="771" width="11.5703125" style="298" customWidth="1"/>
    <col min="772" max="772" width="9.28515625" style="298" customWidth="1"/>
    <col min="773" max="773" width="15.7109375" style="298" bestFit="1" customWidth="1"/>
    <col min="774" max="774" width="26.42578125" style="298" customWidth="1"/>
    <col min="775" max="775" width="5.7109375" style="298" customWidth="1"/>
    <col min="776" max="776" width="13.85546875" style="298" bestFit="1" customWidth="1"/>
    <col min="777" max="777" width="9.140625" style="298"/>
    <col min="778" max="778" width="12.28515625" style="298" bestFit="1" customWidth="1"/>
    <col min="779" max="1024" width="9.140625" style="298"/>
    <col min="1025" max="1025" width="9.5703125" style="298" customWidth="1"/>
    <col min="1026" max="1026" width="9.140625" style="298"/>
    <col min="1027" max="1027" width="11.5703125" style="298" customWidth="1"/>
    <col min="1028" max="1028" width="9.28515625" style="298" customWidth="1"/>
    <col min="1029" max="1029" width="15.7109375" style="298" bestFit="1" customWidth="1"/>
    <col min="1030" max="1030" width="26.42578125" style="298" customWidth="1"/>
    <col min="1031" max="1031" width="5.7109375" style="298" customWidth="1"/>
    <col min="1032" max="1032" width="13.85546875" style="298" bestFit="1" customWidth="1"/>
    <col min="1033" max="1033" width="9.140625" style="298"/>
    <col min="1034" max="1034" width="12.28515625" style="298" bestFit="1" customWidth="1"/>
    <col min="1035" max="1280" width="9.140625" style="298"/>
    <col min="1281" max="1281" width="9.5703125" style="298" customWidth="1"/>
    <col min="1282" max="1282" width="9.140625" style="298"/>
    <col min="1283" max="1283" width="11.5703125" style="298" customWidth="1"/>
    <col min="1284" max="1284" width="9.28515625" style="298" customWidth="1"/>
    <col min="1285" max="1285" width="15.7109375" style="298" bestFit="1" customWidth="1"/>
    <col min="1286" max="1286" width="26.42578125" style="298" customWidth="1"/>
    <col min="1287" max="1287" width="5.7109375" style="298" customWidth="1"/>
    <col min="1288" max="1288" width="13.85546875" style="298" bestFit="1" customWidth="1"/>
    <col min="1289" max="1289" width="9.140625" style="298"/>
    <col min="1290" max="1290" width="12.28515625" style="298" bestFit="1" customWidth="1"/>
    <col min="1291" max="1536" width="9.140625" style="298"/>
    <col min="1537" max="1537" width="9.5703125" style="298" customWidth="1"/>
    <col min="1538" max="1538" width="9.140625" style="298"/>
    <col min="1539" max="1539" width="11.5703125" style="298" customWidth="1"/>
    <col min="1540" max="1540" width="9.28515625" style="298" customWidth="1"/>
    <col min="1541" max="1541" width="15.7109375" style="298" bestFit="1" customWidth="1"/>
    <col min="1542" max="1542" width="26.42578125" style="298" customWidth="1"/>
    <col min="1543" max="1543" width="5.7109375" style="298" customWidth="1"/>
    <col min="1544" max="1544" width="13.85546875" style="298" bestFit="1" customWidth="1"/>
    <col min="1545" max="1545" width="9.140625" style="298"/>
    <col min="1546" max="1546" width="12.28515625" style="298" bestFit="1" customWidth="1"/>
    <col min="1547" max="1792" width="9.140625" style="298"/>
    <col min="1793" max="1793" width="9.5703125" style="298" customWidth="1"/>
    <col min="1794" max="1794" width="9.140625" style="298"/>
    <col min="1795" max="1795" width="11.5703125" style="298" customWidth="1"/>
    <col min="1796" max="1796" width="9.28515625" style="298" customWidth="1"/>
    <col min="1797" max="1797" width="15.7109375" style="298" bestFit="1" customWidth="1"/>
    <col min="1798" max="1798" width="26.42578125" style="298" customWidth="1"/>
    <col min="1799" max="1799" width="5.7109375" style="298" customWidth="1"/>
    <col min="1800" max="1800" width="13.85546875" style="298" bestFit="1" customWidth="1"/>
    <col min="1801" max="1801" width="9.140625" style="298"/>
    <col min="1802" max="1802" width="12.28515625" style="298" bestFit="1" customWidth="1"/>
    <col min="1803" max="2048" width="9.140625" style="298"/>
    <col min="2049" max="2049" width="9.5703125" style="298" customWidth="1"/>
    <col min="2050" max="2050" width="9.140625" style="298"/>
    <col min="2051" max="2051" width="11.5703125" style="298" customWidth="1"/>
    <col min="2052" max="2052" width="9.28515625" style="298" customWidth="1"/>
    <col min="2053" max="2053" width="15.7109375" style="298" bestFit="1" customWidth="1"/>
    <col min="2054" max="2054" width="26.42578125" style="298" customWidth="1"/>
    <col min="2055" max="2055" width="5.7109375" style="298" customWidth="1"/>
    <col min="2056" max="2056" width="13.85546875" style="298" bestFit="1" customWidth="1"/>
    <col min="2057" max="2057" width="9.140625" style="298"/>
    <col min="2058" max="2058" width="12.28515625" style="298" bestFit="1" customWidth="1"/>
    <col min="2059" max="2304" width="9.140625" style="298"/>
    <col min="2305" max="2305" width="9.5703125" style="298" customWidth="1"/>
    <col min="2306" max="2306" width="9.140625" style="298"/>
    <col min="2307" max="2307" width="11.5703125" style="298" customWidth="1"/>
    <col min="2308" max="2308" width="9.28515625" style="298" customWidth="1"/>
    <col min="2309" max="2309" width="15.7109375" style="298" bestFit="1" customWidth="1"/>
    <col min="2310" max="2310" width="26.42578125" style="298" customWidth="1"/>
    <col min="2311" max="2311" width="5.7109375" style="298" customWidth="1"/>
    <col min="2312" max="2312" width="13.85546875" style="298" bestFit="1" customWidth="1"/>
    <col min="2313" max="2313" width="9.140625" style="298"/>
    <col min="2314" max="2314" width="12.28515625" style="298" bestFit="1" customWidth="1"/>
    <col min="2315" max="2560" width="9.140625" style="298"/>
    <col min="2561" max="2561" width="9.5703125" style="298" customWidth="1"/>
    <col min="2562" max="2562" width="9.140625" style="298"/>
    <col min="2563" max="2563" width="11.5703125" style="298" customWidth="1"/>
    <col min="2564" max="2564" width="9.28515625" style="298" customWidth="1"/>
    <col min="2565" max="2565" width="15.7109375" style="298" bestFit="1" customWidth="1"/>
    <col min="2566" max="2566" width="26.42578125" style="298" customWidth="1"/>
    <col min="2567" max="2567" width="5.7109375" style="298" customWidth="1"/>
    <col min="2568" max="2568" width="13.85546875" style="298" bestFit="1" customWidth="1"/>
    <col min="2569" max="2569" width="9.140625" style="298"/>
    <col min="2570" max="2570" width="12.28515625" style="298" bestFit="1" customWidth="1"/>
    <col min="2571" max="2816" width="9.140625" style="298"/>
    <col min="2817" max="2817" width="9.5703125" style="298" customWidth="1"/>
    <col min="2818" max="2818" width="9.140625" style="298"/>
    <col min="2819" max="2819" width="11.5703125" style="298" customWidth="1"/>
    <col min="2820" max="2820" width="9.28515625" style="298" customWidth="1"/>
    <col min="2821" max="2821" width="15.7109375" style="298" bestFit="1" customWidth="1"/>
    <col min="2822" max="2822" width="26.42578125" style="298" customWidth="1"/>
    <col min="2823" max="2823" width="5.7109375" style="298" customWidth="1"/>
    <col min="2824" max="2824" width="13.85546875" style="298" bestFit="1" customWidth="1"/>
    <col min="2825" max="2825" width="9.140625" style="298"/>
    <col min="2826" max="2826" width="12.28515625" style="298" bestFit="1" customWidth="1"/>
    <col min="2827" max="3072" width="9.140625" style="298"/>
    <col min="3073" max="3073" width="9.5703125" style="298" customWidth="1"/>
    <col min="3074" max="3074" width="9.140625" style="298"/>
    <col min="3075" max="3075" width="11.5703125" style="298" customWidth="1"/>
    <col min="3076" max="3076" width="9.28515625" style="298" customWidth="1"/>
    <col min="3077" max="3077" width="15.7109375" style="298" bestFit="1" customWidth="1"/>
    <col min="3078" max="3078" width="26.42578125" style="298" customWidth="1"/>
    <col min="3079" max="3079" width="5.7109375" style="298" customWidth="1"/>
    <col min="3080" max="3080" width="13.85546875" style="298" bestFit="1" customWidth="1"/>
    <col min="3081" max="3081" width="9.140625" style="298"/>
    <col min="3082" max="3082" width="12.28515625" style="298" bestFit="1" customWidth="1"/>
    <col min="3083" max="3328" width="9.140625" style="298"/>
    <col min="3329" max="3329" width="9.5703125" style="298" customWidth="1"/>
    <col min="3330" max="3330" width="9.140625" style="298"/>
    <col min="3331" max="3331" width="11.5703125" style="298" customWidth="1"/>
    <col min="3332" max="3332" width="9.28515625" style="298" customWidth="1"/>
    <col min="3333" max="3333" width="15.7109375" style="298" bestFit="1" customWidth="1"/>
    <col min="3334" max="3334" width="26.42578125" style="298" customWidth="1"/>
    <col min="3335" max="3335" width="5.7109375" style="298" customWidth="1"/>
    <col min="3336" max="3336" width="13.85546875" style="298" bestFit="1" customWidth="1"/>
    <col min="3337" max="3337" width="9.140625" style="298"/>
    <col min="3338" max="3338" width="12.28515625" style="298" bestFit="1" customWidth="1"/>
    <col min="3339" max="3584" width="9.140625" style="298"/>
    <col min="3585" max="3585" width="9.5703125" style="298" customWidth="1"/>
    <col min="3586" max="3586" width="9.140625" style="298"/>
    <col min="3587" max="3587" width="11.5703125" style="298" customWidth="1"/>
    <col min="3588" max="3588" width="9.28515625" style="298" customWidth="1"/>
    <col min="3589" max="3589" width="15.7109375" style="298" bestFit="1" customWidth="1"/>
    <col min="3590" max="3590" width="26.42578125" style="298" customWidth="1"/>
    <col min="3591" max="3591" width="5.7109375" style="298" customWidth="1"/>
    <col min="3592" max="3592" width="13.85546875" style="298" bestFit="1" customWidth="1"/>
    <col min="3593" max="3593" width="9.140625" style="298"/>
    <col min="3594" max="3594" width="12.28515625" style="298" bestFit="1" customWidth="1"/>
    <col min="3595" max="3840" width="9.140625" style="298"/>
    <col min="3841" max="3841" width="9.5703125" style="298" customWidth="1"/>
    <col min="3842" max="3842" width="9.140625" style="298"/>
    <col min="3843" max="3843" width="11.5703125" style="298" customWidth="1"/>
    <col min="3844" max="3844" width="9.28515625" style="298" customWidth="1"/>
    <col min="3845" max="3845" width="15.7109375" style="298" bestFit="1" customWidth="1"/>
    <col min="3846" max="3846" width="26.42578125" style="298" customWidth="1"/>
    <col min="3847" max="3847" width="5.7109375" style="298" customWidth="1"/>
    <col min="3848" max="3848" width="13.85546875" style="298" bestFit="1" customWidth="1"/>
    <col min="3849" max="3849" width="9.140625" style="298"/>
    <col min="3850" max="3850" width="12.28515625" style="298" bestFit="1" customWidth="1"/>
    <col min="3851" max="4096" width="9.140625" style="298"/>
    <col min="4097" max="4097" width="9.5703125" style="298" customWidth="1"/>
    <col min="4098" max="4098" width="9.140625" style="298"/>
    <col min="4099" max="4099" width="11.5703125" style="298" customWidth="1"/>
    <col min="4100" max="4100" width="9.28515625" style="298" customWidth="1"/>
    <col min="4101" max="4101" width="15.7109375" style="298" bestFit="1" customWidth="1"/>
    <col min="4102" max="4102" width="26.42578125" style="298" customWidth="1"/>
    <col min="4103" max="4103" width="5.7109375" style="298" customWidth="1"/>
    <col min="4104" max="4104" width="13.85546875" style="298" bestFit="1" customWidth="1"/>
    <col min="4105" max="4105" width="9.140625" style="298"/>
    <col min="4106" max="4106" width="12.28515625" style="298" bestFit="1" customWidth="1"/>
    <col min="4107" max="4352" width="9.140625" style="298"/>
    <col min="4353" max="4353" width="9.5703125" style="298" customWidth="1"/>
    <col min="4354" max="4354" width="9.140625" style="298"/>
    <col min="4355" max="4355" width="11.5703125" style="298" customWidth="1"/>
    <col min="4356" max="4356" width="9.28515625" style="298" customWidth="1"/>
    <col min="4357" max="4357" width="15.7109375" style="298" bestFit="1" customWidth="1"/>
    <col min="4358" max="4358" width="26.42578125" style="298" customWidth="1"/>
    <col min="4359" max="4359" width="5.7109375" style="298" customWidth="1"/>
    <col min="4360" max="4360" width="13.85546875" style="298" bestFit="1" customWidth="1"/>
    <col min="4361" max="4361" width="9.140625" style="298"/>
    <col min="4362" max="4362" width="12.28515625" style="298" bestFit="1" customWidth="1"/>
    <col min="4363" max="4608" width="9.140625" style="298"/>
    <col min="4609" max="4609" width="9.5703125" style="298" customWidth="1"/>
    <col min="4610" max="4610" width="9.140625" style="298"/>
    <col min="4611" max="4611" width="11.5703125" style="298" customWidth="1"/>
    <col min="4612" max="4612" width="9.28515625" style="298" customWidth="1"/>
    <col min="4613" max="4613" width="15.7109375" style="298" bestFit="1" customWidth="1"/>
    <col min="4614" max="4614" width="26.42578125" style="298" customWidth="1"/>
    <col min="4615" max="4615" width="5.7109375" style="298" customWidth="1"/>
    <col min="4616" max="4616" width="13.85546875" style="298" bestFit="1" customWidth="1"/>
    <col min="4617" max="4617" width="9.140625" style="298"/>
    <col min="4618" max="4618" width="12.28515625" style="298" bestFit="1" customWidth="1"/>
    <col min="4619" max="4864" width="9.140625" style="298"/>
    <col min="4865" max="4865" width="9.5703125" style="298" customWidth="1"/>
    <col min="4866" max="4866" width="9.140625" style="298"/>
    <col min="4867" max="4867" width="11.5703125" style="298" customWidth="1"/>
    <col min="4868" max="4868" width="9.28515625" style="298" customWidth="1"/>
    <col min="4869" max="4869" width="15.7109375" style="298" bestFit="1" customWidth="1"/>
    <col min="4870" max="4870" width="26.42578125" style="298" customWidth="1"/>
    <col min="4871" max="4871" width="5.7109375" style="298" customWidth="1"/>
    <col min="4872" max="4872" width="13.85546875" style="298" bestFit="1" customWidth="1"/>
    <col min="4873" max="4873" width="9.140625" style="298"/>
    <col min="4874" max="4874" width="12.28515625" style="298" bestFit="1" customWidth="1"/>
    <col min="4875" max="5120" width="9.140625" style="298"/>
    <col min="5121" max="5121" width="9.5703125" style="298" customWidth="1"/>
    <col min="5122" max="5122" width="9.140625" style="298"/>
    <col min="5123" max="5123" width="11.5703125" style="298" customWidth="1"/>
    <col min="5124" max="5124" width="9.28515625" style="298" customWidth="1"/>
    <col min="5125" max="5125" width="15.7109375" style="298" bestFit="1" customWidth="1"/>
    <col min="5126" max="5126" width="26.42578125" style="298" customWidth="1"/>
    <col min="5127" max="5127" width="5.7109375" style="298" customWidth="1"/>
    <col min="5128" max="5128" width="13.85546875" style="298" bestFit="1" customWidth="1"/>
    <col min="5129" max="5129" width="9.140625" style="298"/>
    <col min="5130" max="5130" width="12.28515625" style="298" bestFit="1" customWidth="1"/>
    <col min="5131" max="5376" width="9.140625" style="298"/>
    <col min="5377" max="5377" width="9.5703125" style="298" customWidth="1"/>
    <col min="5378" max="5378" width="9.140625" style="298"/>
    <col min="5379" max="5379" width="11.5703125" style="298" customWidth="1"/>
    <col min="5380" max="5380" width="9.28515625" style="298" customWidth="1"/>
    <col min="5381" max="5381" width="15.7109375" style="298" bestFit="1" customWidth="1"/>
    <col min="5382" max="5382" width="26.42578125" style="298" customWidth="1"/>
    <col min="5383" max="5383" width="5.7109375" style="298" customWidth="1"/>
    <col min="5384" max="5384" width="13.85546875" style="298" bestFit="1" customWidth="1"/>
    <col min="5385" max="5385" width="9.140625" style="298"/>
    <col min="5386" max="5386" width="12.28515625" style="298" bestFit="1" customWidth="1"/>
    <col min="5387" max="5632" width="9.140625" style="298"/>
    <col min="5633" max="5633" width="9.5703125" style="298" customWidth="1"/>
    <col min="5634" max="5634" width="9.140625" style="298"/>
    <col min="5635" max="5635" width="11.5703125" style="298" customWidth="1"/>
    <col min="5636" max="5636" width="9.28515625" style="298" customWidth="1"/>
    <col min="5637" max="5637" width="15.7109375" style="298" bestFit="1" customWidth="1"/>
    <col min="5638" max="5638" width="26.42578125" style="298" customWidth="1"/>
    <col min="5639" max="5639" width="5.7109375" style="298" customWidth="1"/>
    <col min="5640" max="5640" width="13.85546875" style="298" bestFit="1" customWidth="1"/>
    <col min="5641" max="5641" width="9.140625" style="298"/>
    <col min="5642" max="5642" width="12.28515625" style="298" bestFit="1" customWidth="1"/>
    <col min="5643" max="5888" width="9.140625" style="298"/>
    <col min="5889" max="5889" width="9.5703125" style="298" customWidth="1"/>
    <col min="5890" max="5890" width="9.140625" style="298"/>
    <col min="5891" max="5891" width="11.5703125" style="298" customWidth="1"/>
    <col min="5892" max="5892" width="9.28515625" style="298" customWidth="1"/>
    <col min="5893" max="5893" width="15.7109375" style="298" bestFit="1" customWidth="1"/>
    <col min="5894" max="5894" width="26.42578125" style="298" customWidth="1"/>
    <col min="5895" max="5895" width="5.7109375" style="298" customWidth="1"/>
    <col min="5896" max="5896" width="13.85546875" style="298" bestFit="1" customWidth="1"/>
    <col min="5897" max="5897" width="9.140625" style="298"/>
    <col min="5898" max="5898" width="12.28515625" style="298" bestFit="1" customWidth="1"/>
    <col min="5899" max="6144" width="9.140625" style="298"/>
    <col min="6145" max="6145" width="9.5703125" style="298" customWidth="1"/>
    <col min="6146" max="6146" width="9.140625" style="298"/>
    <col min="6147" max="6147" width="11.5703125" style="298" customWidth="1"/>
    <col min="6148" max="6148" width="9.28515625" style="298" customWidth="1"/>
    <col min="6149" max="6149" width="15.7109375" style="298" bestFit="1" customWidth="1"/>
    <col min="6150" max="6150" width="26.42578125" style="298" customWidth="1"/>
    <col min="6151" max="6151" width="5.7109375" style="298" customWidth="1"/>
    <col min="6152" max="6152" width="13.85546875" style="298" bestFit="1" customWidth="1"/>
    <col min="6153" max="6153" width="9.140625" style="298"/>
    <col min="6154" max="6154" width="12.28515625" style="298" bestFit="1" customWidth="1"/>
    <col min="6155" max="6400" width="9.140625" style="298"/>
    <col min="6401" max="6401" width="9.5703125" style="298" customWidth="1"/>
    <col min="6402" max="6402" width="9.140625" style="298"/>
    <col min="6403" max="6403" width="11.5703125" style="298" customWidth="1"/>
    <col min="6404" max="6404" width="9.28515625" style="298" customWidth="1"/>
    <col min="6405" max="6405" width="15.7109375" style="298" bestFit="1" customWidth="1"/>
    <col min="6406" max="6406" width="26.42578125" style="298" customWidth="1"/>
    <col min="6407" max="6407" width="5.7109375" style="298" customWidth="1"/>
    <col min="6408" max="6408" width="13.85546875" style="298" bestFit="1" customWidth="1"/>
    <col min="6409" max="6409" width="9.140625" style="298"/>
    <col min="6410" max="6410" width="12.28515625" style="298" bestFit="1" customWidth="1"/>
    <col min="6411" max="6656" width="9.140625" style="298"/>
    <col min="6657" max="6657" width="9.5703125" style="298" customWidth="1"/>
    <col min="6658" max="6658" width="9.140625" style="298"/>
    <col min="6659" max="6659" width="11.5703125" style="298" customWidth="1"/>
    <col min="6660" max="6660" width="9.28515625" style="298" customWidth="1"/>
    <col min="6661" max="6661" width="15.7109375" style="298" bestFit="1" customWidth="1"/>
    <col min="6662" max="6662" width="26.42578125" style="298" customWidth="1"/>
    <col min="6663" max="6663" width="5.7109375" style="298" customWidth="1"/>
    <col min="6664" max="6664" width="13.85546875" style="298" bestFit="1" customWidth="1"/>
    <col min="6665" max="6665" width="9.140625" style="298"/>
    <col min="6666" max="6666" width="12.28515625" style="298" bestFit="1" customWidth="1"/>
    <col min="6667" max="6912" width="9.140625" style="298"/>
    <col min="6913" max="6913" width="9.5703125" style="298" customWidth="1"/>
    <col min="6914" max="6914" width="9.140625" style="298"/>
    <col min="6915" max="6915" width="11.5703125" style="298" customWidth="1"/>
    <col min="6916" max="6916" width="9.28515625" style="298" customWidth="1"/>
    <col min="6917" max="6917" width="15.7109375" style="298" bestFit="1" customWidth="1"/>
    <col min="6918" max="6918" width="26.42578125" style="298" customWidth="1"/>
    <col min="6919" max="6919" width="5.7109375" style="298" customWidth="1"/>
    <col min="6920" max="6920" width="13.85546875" style="298" bestFit="1" customWidth="1"/>
    <col min="6921" max="6921" width="9.140625" style="298"/>
    <col min="6922" max="6922" width="12.28515625" style="298" bestFit="1" customWidth="1"/>
    <col min="6923" max="7168" width="9.140625" style="298"/>
    <col min="7169" max="7169" width="9.5703125" style="298" customWidth="1"/>
    <col min="7170" max="7170" width="9.140625" style="298"/>
    <col min="7171" max="7171" width="11.5703125" style="298" customWidth="1"/>
    <col min="7172" max="7172" width="9.28515625" style="298" customWidth="1"/>
    <col min="7173" max="7173" width="15.7109375" style="298" bestFit="1" customWidth="1"/>
    <col min="7174" max="7174" width="26.42578125" style="298" customWidth="1"/>
    <col min="7175" max="7175" width="5.7109375" style="298" customWidth="1"/>
    <col min="7176" max="7176" width="13.85546875" style="298" bestFit="1" customWidth="1"/>
    <col min="7177" max="7177" width="9.140625" style="298"/>
    <col min="7178" max="7178" width="12.28515625" style="298" bestFit="1" customWidth="1"/>
    <col min="7179" max="7424" width="9.140625" style="298"/>
    <col min="7425" max="7425" width="9.5703125" style="298" customWidth="1"/>
    <col min="7426" max="7426" width="9.140625" style="298"/>
    <col min="7427" max="7427" width="11.5703125" style="298" customWidth="1"/>
    <col min="7428" max="7428" width="9.28515625" style="298" customWidth="1"/>
    <col min="7429" max="7429" width="15.7109375" style="298" bestFit="1" customWidth="1"/>
    <col min="7430" max="7430" width="26.42578125" style="298" customWidth="1"/>
    <col min="7431" max="7431" width="5.7109375" style="298" customWidth="1"/>
    <col min="7432" max="7432" width="13.85546875" style="298" bestFit="1" customWidth="1"/>
    <col min="7433" max="7433" width="9.140625" style="298"/>
    <col min="7434" max="7434" width="12.28515625" style="298" bestFit="1" customWidth="1"/>
    <col min="7435" max="7680" width="9.140625" style="298"/>
    <col min="7681" max="7681" width="9.5703125" style="298" customWidth="1"/>
    <col min="7682" max="7682" width="9.140625" style="298"/>
    <col min="7683" max="7683" width="11.5703125" style="298" customWidth="1"/>
    <col min="7684" max="7684" width="9.28515625" style="298" customWidth="1"/>
    <col min="7685" max="7685" width="15.7109375" style="298" bestFit="1" customWidth="1"/>
    <col min="7686" max="7686" width="26.42578125" style="298" customWidth="1"/>
    <col min="7687" max="7687" width="5.7109375" style="298" customWidth="1"/>
    <col min="7688" max="7688" width="13.85546875" style="298" bestFit="1" customWidth="1"/>
    <col min="7689" max="7689" width="9.140625" style="298"/>
    <col min="7690" max="7690" width="12.28515625" style="298" bestFit="1" customWidth="1"/>
    <col min="7691" max="7936" width="9.140625" style="298"/>
    <col min="7937" max="7937" width="9.5703125" style="298" customWidth="1"/>
    <col min="7938" max="7938" width="9.140625" style="298"/>
    <col min="7939" max="7939" width="11.5703125" style="298" customWidth="1"/>
    <col min="7940" max="7940" width="9.28515625" style="298" customWidth="1"/>
    <col min="7941" max="7941" width="15.7109375" style="298" bestFit="1" customWidth="1"/>
    <col min="7942" max="7942" width="26.42578125" style="298" customWidth="1"/>
    <col min="7943" max="7943" width="5.7109375" style="298" customWidth="1"/>
    <col min="7944" max="7944" width="13.85546875" style="298" bestFit="1" customWidth="1"/>
    <col min="7945" max="7945" width="9.140625" style="298"/>
    <col min="7946" max="7946" width="12.28515625" style="298" bestFit="1" customWidth="1"/>
    <col min="7947" max="8192" width="9.140625" style="298"/>
    <col min="8193" max="8193" width="9.5703125" style="298" customWidth="1"/>
    <col min="8194" max="8194" width="9.140625" style="298"/>
    <col min="8195" max="8195" width="11.5703125" style="298" customWidth="1"/>
    <col min="8196" max="8196" width="9.28515625" style="298" customWidth="1"/>
    <col min="8197" max="8197" width="15.7109375" style="298" bestFit="1" customWidth="1"/>
    <col min="8198" max="8198" width="26.42578125" style="298" customWidth="1"/>
    <col min="8199" max="8199" width="5.7109375" style="298" customWidth="1"/>
    <col min="8200" max="8200" width="13.85546875" style="298" bestFit="1" customWidth="1"/>
    <col min="8201" max="8201" width="9.140625" style="298"/>
    <col min="8202" max="8202" width="12.28515625" style="298" bestFit="1" customWidth="1"/>
    <col min="8203" max="8448" width="9.140625" style="298"/>
    <col min="8449" max="8449" width="9.5703125" style="298" customWidth="1"/>
    <col min="8450" max="8450" width="9.140625" style="298"/>
    <col min="8451" max="8451" width="11.5703125" style="298" customWidth="1"/>
    <col min="8452" max="8452" width="9.28515625" style="298" customWidth="1"/>
    <col min="8453" max="8453" width="15.7109375" style="298" bestFit="1" customWidth="1"/>
    <col min="8454" max="8454" width="26.42578125" style="298" customWidth="1"/>
    <col min="8455" max="8455" width="5.7109375" style="298" customWidth="1"/>
    <col min="8456" max="8456" width="13.85546875" style="298" bestFit="1" customWidth="1"/>
    <col min="8457" max="8457" width="9.140625" style="298"/>
    <col min="8458" max="8458" width="12.28515625" style="298" bestFit="1" customWidth="1"/>
    <col min="8459" max="8704" width="9.140625" style="298"/>
    <col min="8705" max="8705" width="9.5703125" style="298" customWidth="1"/>
    <col min="8706" max="8706" width="9.140625" style="298"/>
    <col min="8707" max="8707" width="11.5703125" style="298" customWidth="1"/>
    <col min="8708" max="8708" width="9.28515625" style="298" customWidth="1"/>
    <col min="8709" max="8709" width="15.7109375" style="298" bestFit="1" customWidth="1"/>
    <col min="8710" max="8710" width="26.42578125" style="298" customWidth="1"/>
    <col min="8711" max="8711" width="5.7109375" style="298" customWidth="1"/>
    <col min="8712" max="8712" width="13.85546875" style="298" bestFit="1" customWidth="1"/>
    <col min="8713" max="8713" width="9.140625" style="298"/>
    <col min="8714" max="8714" width="12.28515625" style="298" bestFit="1" customWidth="1"/>
    <col min="8715" max="8960" width="9.140625" style="298"/>
    <col min="8961" max="8961" width="9.5703125" style="298" customWidth="1"/>
    <col min="8962" max="8962" width="9.140625" style="298"/>
    <col min="8963" max="8963" width="11.5703125" style="298" customWidth="1"/>
    <col min="8964" max="8964" width="9.28515625" style="298" customWidth="1"/>
    <col min="8965" max="8965" width="15.7109375" style="298" bestFit="1" customWidth="1"/>
    <col min="8966" max="8966" width="26.42578125" style="298" customWidth="1"/>
    <col min="8967" max="8967" width="5.7109375" style="298" customWidth="1"/>
    <col min="8968" max="8968" width="13.85546875" style="298" bestFit="1" customWidth="1"/>
    <col min="8969" max="8969" width="9.140625" style="298"/>
    <col min="8970" max="8970" width="12.28515625" style="298" bestFit="1" customWidth="1"/>
    <col min="8971" max="9216" width="9.140625" style="298"/>
    <col min="9217" max="9217" width="9.5703125" style="298" customWidth="1"/>
    <col min="9218" max="9218" width="9.140625" style="298"/>
    <col min="9219" max="9219" width="11.5703125" style="298" customWidth="1"/>
    <col min="9220" max="9220" width="9.28515625" style="298" customWidth="1"/>
    <col min="9221" max="9221" width="15.7109375" style="298" bestFit="1" customWidth="1"/>
    <col min="9222" max="9222" width="26.42578125" style="298" customWidth="1"/>
    <col min="9223" max="9223" width="5.7109375" style="298" customWidth="1"/>
    <col min="9224" max="9224" width="13.85546875" style="298" bestFit="1" customWidth="1"/>
    <col min="9225" max="9225" width="9.140625" style="298"/>
    <col min="9226" max="9226" width="12.28515625" style="298" bestFit="1" customWidth="1"/>
    <col min="9227" max="9472" width="9.140625" style="298"/>
    <col min="9473" max="9473" width="9.5703125" style="298" customWidth="1"/>
    <col min="9474" max="9474" width="9.140625" style="298"/>
    <col min="9475" max="9475" width="11.5703125" style="298" customWidth="1"/>
    <col min="9476" max="9476" width="9.28515625" style="298" customWidth="1"/>
    <col min="9477" max="9477" width="15.7109375" style="298" bestFit="1" customWidth="1"/>
    <col min="9478" max="9478" width="26.42578125" style="298" customWidth="1"/>
    <col min="9479" max="9479" width="5.7109375" style="298" customWidth="1"/>
    <col min="9480" max="9480" width="13.85546875" style="298" bestFit="1" customWidth="1"/>
    <col min="9481" max="9481" width="9.140625" style="298"/>
    <col min="9482" max="9482" width="12.28515625" style="298" bestFit="1" customWidth="1"/>
    <col min="9483" max="9728" width="9.140625" style="298"/>
    <col min="9729" max="9729" width="9.5703125" style="298" customWidth="1"/>
    <col min="9730" max="9730" width="9.140625" style="298"/>
    <col min="9731" max="9731" width="11.5703125" style="298" customWidth="1"/>
    <col min="9732" max="9732" width="9.28515625" style="298" customWidth="1"/>
    <col min="9733" max="9733" width="15.7109375" style="298" bestFit="1" customWidth="1"/>
    <col min="9734" max="9734" width="26.42578125" style="298" customWidth="1"/>
    <col min="9735" max="9735" width="5.7109375" style="298" customWidth="1"/>
    <col min="9736" max="9736" width="13.85546875" style="298" bestFit="1" customWidth="1"/>
    <col min="9737" max="9737" width="9.140625" style="298"/>
    <col min="9738" max="9738" width="12.28515625" style="298" bestFit="1" customWidth="1"/>
    <col min="9739" max="9984" width="9.140625" style="298"/>
    <col min="9985" max="9985" width="9.5703125" style="298" customWidth="1"/>
    <col min="9986" max="9986" width="9.140625" style="298"/>
    <col min="9987" max="9987" width="11.5703125" style="298" customWidth="1"/>
    <col min="9988" max="9988" width="9.28515625" style="298" customWidth="1"/>
    <col min="9989" max="9989" width="15.7109375" style="298" bestFit="1" customWidth="1"/>
    <col min="9990" max="9990" width="26.42578125" style="298" customWidth="1"/>
    <col min="9991" max="9991" width="5.7109375" style="298" customWidth="1"/>
    <col min="9992" max="9992" width="13.85546875" style="298" bestFit="1" customWidth="1"/>
    <col min="9993" max="9993" width="9.140625" style="298"/>
    <col min="9994" max="9994" width="12.28515625" style="298" bestFit="1" customWidth="1"/>
    <col min="9995" max="10240" width="9.140625" style="298"/>
    <col min="10241" max="10241" width="9.5703125" style="298" customWidth="1"/>
    <col min="10242" max="10242" width="9.140625" style="298"/>
    <col min="10243" max="10243" width="11.5703125" style="298" customWidth="1"/>
    <col min="10244" max="10244" width="9.28515625" style="298" customWidth="1"/>
    <col min="10245" max="10245" width="15.7109375" style="298" bestFit="1" customWidth="1"/>
    <col min="10246" max="10246" width="26.42578125" style="298" customWidth="1"/>
    <col min="10247" max="10247" width="5.7109375" style="298" customWidth="1"/>
    <col min="10248" max="10248" width="13.85546875" style="298" bestFit="1" customWidth="1"/>
    <col min="10249" max="10249" width="9.140625" style="298"/>
    <col min="10250" max="10250" width="12.28515625" style="298" bestFit="1" customWidth="1"/>
    <col min="10251" max="10496" width="9.140625" style="298"/>
    <col min="10497" max="10497" width="9.5703125" style="298" customWidth="1"/>
    <col min="10498" max="10498" width="9.140625" style="298"/>
    <col min="10499" max="10499" width="11.5703125" style="298" customWidth="1"/>
    <col min="10500" max="10500" width="9.28515625" style="298" customWidth="1"/>
    <col min="10501" max="10501" width="15.7109375" style="298" bestFit="1" customWidth="1"/>
    <col min="10502" max="10502" width="26.42578125" style="298" customWidth="1"/>
    <col min="10503" max="10503" width="5.7109375" style="298" customWidth="1"/>
    <col min="10504" max="10504" width="13.85546875" style="298" bestFit="1" customWidth="1"/>
    <col min="10505" max="10505" width="9.140625" style="298"/>
    <col min="10506" max="10506" width="12.28515625" style="298" bestFit="1" customWidth="1"/>
    <col min="10507" max="10752" width="9.140625" style="298"/>
    <col min="10753" max="10753" width="9.5703125" style="298" customWidth="1"/>
    <col min="10754" max="10754" width="9.140625" style="298"/>
    <col min="10755" max="10755" width="11.5703125" style="298" customWidth="1"/>
    <col min="10756" max="10756" width="9.28515625" style="298" customWidth="1"/>
    <col min="10757" max="10757" width="15.7109375" style="298" bestFit="1" customWidth="1"/>
    <col min="10758" max="10758" width="26.42578125" style="298" customWidth="1"/>
    <col min="10759" max="10759" width="5.7109375" style="298" customWidth="1"/>
    <col min="10760" max="10760" width="13.85546875" style="298" bestFit="1" customWidth="1"/>
    <col min="10761" max="10761" width="9.140625" style="298"/>
    <col min="10762" max="10762" width="12.28515625" style="298" bestFit="1" customWidth="1"/>
    <col min="10763" max="11008" width="9.140625" style="298"/>
    <col min="11009" max="11009" width="9.5703125" style="298" customWidth="1"/>
    <col min="11010" max="11010" width="9.140625" style="298"/>
    <col min="11011" max="11011" width="11.5703125" style="298" customWidth="1"/>
    <col min="11012" max="11012" width="9.28515625" style="298" customWidth="1"/>
    <col min="11013" max="11013" width="15.7109375" style="298" bestFit="1" customWidth="1"/>
    <col min="11014" max="11014" width="26.42578125" style="298" customWidth="1"/>
    <col min="11015" max="11015" width="5.7109375" style="298" customWidth="1"/>
    <col min="11016" max="11016" width="13.85546875" style="298" bestFit="1" customWidth="1"/>
    <col min="11017" max="11017" width="9.140625" style="298"/>
    <col min="11018" max="11018" width="12.28515625" style="298" bestFit="1" customWidth="1"/>
    <col min="11019" max="11264" width="9.140625" style="298"/>
    <col min="11265" max="11265" width="9.5703125" style="298" customWidth="1"/>
    <col min="11266" max="11266" width="9.140625" style="298"/>
    <col min="11267" max="11267" width="11.5703125" style="298" customWidth="1"/>
    <col min="11268" max="11268" width="9.28515625" style="298" customWidth="1"/>
    <col min="11269" max="11269" width="15.7109375" style="298" bestFit="1" customWidth="1"/>
    <col min="11270" max="11270" width="26.42578125" style="298" customWidth="1"/>
    <col min="11271" max="11271" width="5.7109375" style="298" customWidth="1"/>
    <col min="11272" max="11272" width="13.85546875" style="298" bestFit="1" customWidth="1"/>
    <col min="11273" max="11273" width="9.140625" style="298"/>
    <col min="11274" max="11274" width="12.28515625" style="298" bestFit="1" customWidth="1"/>
    <col min="11275" max="11520" width="9.140625" style="298"/>
    <col min="11521" max="11521" width="9.5703125" style="298" customWidth="1"/>
    <col min="11522" max="11522" width="9.140625" style="298"/>
    <col min="11523" max="11523" width="11.5703125" style="298" customWidth="1"/>
    <col min="11524" max="11524" width="9.28515625" style="298" customWidth="1"/>
    <col min="11525" max="11525" width="15.7109375" style="298" bestFit="1" customWidth="1"/>
    <col min="11526" max="11526" width="26.42578125" style="298" customWidth="1"/>
    <col min="11527" max="11527" width="5.7109375" style="298" customWidth="1"/>
    <col min="11528" max="11528" width="13.85546875" style="298" bestFit="1" customWidth="1"/>
    <col min="11529" max="11529" width="9.140625" style="298"/>
    <col min="11530" max="11530" width="12.28515625" style="298" bestFit="1" customWidth="1"/>
    <col min="11531" max="11776" width="9.140625" style="298"/>
    <col min="11777" max="11777" width="9.5703125" style="298" customWidth="1"/>
    <col min="11778" max="11778" width="9.140625" style="298"/>
    <col min="11779" max="11779" width="11.5703125" style="298" customWidth="1"/>
    <col min="11780" max="11780" width="9.28515625" style="298" customWidth="1"/>
    <col min="11781" max="11781" width="15.7109375" style="298" bestFit="1" customWidth="1"/>
    <col min="11782" max="11782" width="26.42578125" style="298" customWidth="1"/>
    <col min="11783" max="11783" width="5.7109375" style="298" customWidth="1"/>
    <col min="11784" max="11784" width="13.85546875" style="298" bestFit="1" customWidth="1"/>
    <col min="11785" max="11785" width="9.140625" style="298"/>
    <col min="11786" max="11786" width="12.28515625" style="298" bestFit="1" customWidth="1"/>
    <col min="11787" max="12032" width="9.140625" style="298"/>
    <col min="12033" max="12033" width="9.5703125" style="298" customWidth="1"/>
    <col min="12034" max="12034" width="9.140625" style="298"/>
    <col min="12035" max="12035" width="11.5703125" style="298" customWidth="1"/>
    <col min="12036" max="12036" width="9.28515625" style="298" customWidth="1"/>
    <col min="12037" max="12037" width="15.7109375" style="298" bestFit="1" customWidth="1"/>
    <col min="12038" max="12038" width="26.42578125" style="298" customWidth="1"/>
    <col min="12039" max="12039" width="5.7109375" style="298" customWidth="1"/>
    <col min="12040" max="12040" width="13.85546875" style="298" bestFit="1" customWidth="1"/>
    <col min="12041" max="12041" width="9.140625" style="298"/>
    <col min="12042" max="12042" width="12.28515625" style="298" bestFit="1" customWidth="1"/>
    <col min="12043" max="12288" width="9.140625" style="298"/>
    <col min="12289" max="12289" width="9.5703125" style="298" customWidth="1"/>
    <col min="12290" max="12290" width="9.140625" style="298"/>
    <col min="12291" max="12291" width="11.5703125" style="298" customWidth="1"/>
    <col min="12292" max="12292" width="9.28515625" style="298" customWidth="1"/>
    <col min="12293" max="12293" width="15.7109375" style="298" bestFit="1" customWidth="1"/>
    <col min="12294" max="12294" width="26.42578125" style="298" customWidth="1"/>
    <col min="12295" max="12295" width="5.7109375" style="298" customWidth="1"/>
    <col min="12296" max="12296" width="13.85546875" style="298" bestFit="1" customWidth="1"/>
    <col min="12297" max="12297" width="9.140625" style="298"/>
    <col min="12298" max="12298" width="12.28515625" style="298" bestFit="1" customWidth="1"/>
    <col min="12299" max="12544" width="9.140625" style="298"/>
    <col min="12545" max="12545" width="9.5703125" style="298" customWidth="1"/>
    <col min="12546" max="12546" width="9.140625" style="298"/>
    <col min="12547" max="12547" width="11.5703125" style="298" customWidth="1"/>
    <col min="12548" max="12548" width="9.28515625" style="298" customWidth="1"/>
    <col min="12549" max="12549" width="15.7109375" style="298" bestFit="1" customWidth="1"/>
    <col min="12550" max="12550" width="26.42578125" style="298" customWidth="1"/>
    <col min="12551" max="12551" width="5.7109375" style="298" customWidth="1"/>
    <col min="12552" max="12552" width="13.85546875" style="298" bestFit="1" customWidth="1"/>
    <col min="12553" max="12553" width="9.140625" style="298"/>
    <col min="12554" max="12554" width="12.28515625" style="298" bestFit="1" customWidth="1"/>
    <col min="12555" max="12800" width="9.140625" style="298"/>
    <col min="12801" max="12801" width="9.5703125" style="298" customWidth="1"/>
    <col min="12802" max="12802" width="9.140625" style="298"/>
    <col min="12803" max="12803" width="11.5703125" style="298" customWidth="1"/>
    <col min="12804" max="12804" width="9.28515625" style="298" customWidth="1"/>
    <col min="12805" max="12805" width="15.7109375" style="298" bestFit="1" customWidth="1"/>
    <col min="12806" max="12806" width="26.42578125" style="298" customWidth="1"/>
    <col min="12807" max="12807" width="5.7109375" style="298" customWidth="1"/>
    <col min="12808" max="12808" width="13.85546875" style="298" bestFit="1" customWidth="1"/>
    <col min="12809" max="12809" width="9.140625" style="298"/>
    <col min="12810" max="12810" width="12.28515625" style="298" bestFit="1" customWidth="1"/>
    <col min="12811" max="13056" width="9.140625" style="298"/>
    <col min="13057" max="13057" width="9.5703125" style="298" customWidth="1"/>
    <col min="13058" max="13058" width="9.140625" style="298"/>
    <col min="13059" max="13059" width="11.5703125" style="298" customWidth="1"/>
    <col min="13060" max="13060" width="9.28515625" style="298" customWidth="1"/>
    <col min="13061" max="13061" width="15.7109375" style="298" bestFit="1" customWidth="1"/>
    <col min="13062" max="13062" width="26.42578125" style="298" customWidth="1"/>
    <col min="13063" max="13063" width="5.7109375" style="298" customWidth="1"/>
    <col min="13064" max="13064" width="13.85546875" style="298" bestFit="1" customWidth="1"/>
    <col min="13065" max="13065" width="9.140625" style="298"/>
    <col min="13066" max="13066" width="12.28515625" style="298" bestFit="1" customWidth="1"/>
    <col min="13067" max="13312" width="9.140625" style="298"/>
    <col min="13313" max="13313" width="9.5703125" style="298" customWidth="1"/>
    <col min="13314" max="13314" width="9.140625" style="298"/>
    <col min="13315" max="13315" width="11.5703125" style="298" customWidth="1"/>
    <col min="13316" max="13316" width="9.28515625" style="298" customWidth="1"/>
    <col min="13317" max="13317" width="15.7109375" style="298" bestFit="1" customWidth="1"/>
    <col min="13318" max="13318" width="26.42578125" style="298" customWidth="1"/>
    <col min="13319" max="13319" width="5.7109375" style="298" customWidth="1"/>
    <col min="13320" max="13320" width="13.85546875" style="298" bestFit="1" customWidth="1"/>
    <col min="13321" max="13321" width="9.140625" style="298"/>
    <col min="13322" max="13322" width="12.28515625" style="298" bestFit="1" customWidth="1"/>
    <col min="13323" max="13568" width="9.140625" style="298"/>
    <col min="13569" max="13569" width="9.5703125" style="298" customWidth="1"/>
    <col min="13570" max="13570" width="9.140625" style="298"/>
    <col min="13571" max="13571" width="11.5703125" style="298" customWidth="1"/>
    <col min="13572" max="13572" width="9.28515625" style="298" customWidth="1"/>
    <col min="13573" max="13573" width="15.7109375" style="298" bestFit="1" customWidth="1"/>
    <col min="13574" max="13574" width="26.42578125" style="298" customWidth="1"/>
    <col min="13575" max="13575" width="5.7109375" style="298" customWidth="1"/>
    <col min="13576" max="13576" width="13.85546875" style="298" bestFit="1" customWidth="1"/>
    <col min="13577" max="13577" width="9.140625" style="298"/>
    <col min="13578" max="13578" width="12.28515625" style="298" bestFit="1" customWidth="1"/>
    <col min="13579" max="13824" width="9.140625" style="298"/>
    <col min="13825" max="13825" width="9.5703125" style="298" customWidth="1"/>
    <col min="13826" max="13826" width="9.140625" style="298"/>
    <col min="13827" max="13827" width="11.5703125" style="298" customWidth="1"/>
    <col min="13828" max="13828" width="9.28515625" style="298" customWidth="1"/>
    <col min="13829" max="13829" width="15.7109375" style="298" bestFit="1" customWidth="1"/>
    <col min="13830" max="13830" width="26.42578125" style="298" customWidth="1"/>
    <col min="13831" max="13831" width="5.7109375" style="298" customWidth="1"/>
    <col min="13832" max="13832" width="13.85546875" style="298" bestFit="1" customWidth="1"/>
    <col min="13833" max="13833" width="9.140625" style="298"/>
    <col min="13834" max="13834" width="12.28515625" style="298" bestFit="1" customWidth="1"/>
    <col min="13835" max="14080" width="9.140625" style="298"/>
    <col min="14081" max="14081" width="9.5703125" style="298" customWidth="1"/>
    <col min="14082" max="14082" width="9.140625" style="298"/>
    <col min="14083" max="14083" width="11.5703125" style="298" customWidth="1"/>
    <col min="14084" max="14084" width="9.28515625" style="298" customWidth="1"/>
    <col min="14085" max="14085" width="15.7109375" style="298" bestFit="1" customWidth="1"/>
    <col min="14086" max="14086" width="26.42578125" style="298" customWidth="1"/>
    <col min="14087" max="14087" width="5.7109375" style="298" customWidth="1"/>
    <col min="14088" max="14088" width="13.85546875" style="298" bestFit="1" customWidth="1"/>
    <col min="14089" max="14089" width="9.140625" style="298"/>
    <col min="14090" max="14090" width="12.28515625" style="298" bestFit="1" customWidth="1"/>
    <col min="14091" max="14336" width="9.140625" style="298"/>
    <col min="14337" max="14337" width="9.5703125" style="298" customWidth="1"/>
    <col min="14338" max="14338" width="9.140625" style="298"/>
    <col min="14339" max="14339" width="11.5703125" style="298" customWidth="1"/>
    <col min="14340" max="14340" width="9.28515625" style="298" customWidth="1"/>
    <col min="14341" max="14341" width="15.7109375" style="298" bestFit="1" customWidth="1"/>
    <col min="14342" max="14342" width="26.42578125" style="298" customWidth="1"/>
    <col min="14343" max="14343" width="5.7109375" style="298" customWidth="1"/>
    <col min="14344" max="14344" width="13.85546875" style="298" bestFit="1" customWidth="1"/>
    <col min="14345" max="14345" width="9.140625" style="298"/>
    <col min="14346" max="14346" width="12.28515625" style="298" bestFit="1" customWidth="1"/>
    <col min="14347" max="14592" width="9.140625" style="298"/>
    <col min="14593" max="14593" width="9.5703125" style="298" customWidth="1"/>
    <col min="14594" max="14594" width="9.140625" style="298"/>
    <col min="14595" max="14595" width="11.5703125" style="298" customWidth="1"/>
    <col min="14596" max="14596" width="9.28515625" style="298" customWidth="1"/>
    <col min="14597" max="14597" width="15.7109375" style="298" bestFit="1" customWidth="1"/>
    <col min="14598" max="14598" width="26.42578125" style="298" customWidth="1"/>
    <col min="14599" max="14599" width="5.7109375" style="298" customWidth="1"/>
    <col min="14600" max="14600" width="13.85546875" style="298" bestFit="1" customWidth="1"/>
    <col min="14601" max="14601" width="9.140625" style="298"/>
    <col min="14602" max="14602" width="12.28515625" style="298" bestFit="1" customWidth="1"/>
    <col min="14603" max="14848" width="9.140625" style="298"/>
    <col min="14849" max="14849" width="9.5703125" style="298" customWidth="1"/>
    <col min="14850" max="14850" width="9.140625" style="298"/>
    <col min="14851" max="14851" width="11.5703125" style="298" customWidth="1"/>
    <col min="14852" max="14852" width="9.28515625" style="298" customWidth="1"/>
    <col min="14853" max="14853" width="15.7109375" style="298" bestFit="1" customWidth="1"/>
    <col min="14854" max="14854" width="26.42578125" style="298" customWidth="1"/>
    <col min="14855" max="14855" width="5.7109375" style="298" customWidth="1"/>
    <col min="14856" max="14856" width="13.85546875" style="298" bestFit="1" customWidth="1"/>
    <col min="14857" max="14857" width="9.140625" style="298"/>
    <col min="14858" max="14858" width="12.28515625" style="298" bestFit="1" customWidth="1"/>
    <col min="14859" max="15104" width="9.140625" style="298"/>
    <col min="15105" max="15105" width="9.5703125" style="298" customWidth="1"/>
    <col min="15106" max="15106" width="9.140625" style="298"/>
    <col min="15107" max="15107" width="11.5703125" style="298" customWidth="1"/>
    <col min="15108" max="15108" width="9.28515625" style="298" customWidth="1"/>
    <col min="15109" max="15109" width="15.7109375" style="298" bestFit="1" customWidth="1"/>
    <col min="15110" max="15110" width="26.42578125" style="298" customWidth="1"/>
    <col min="15111" max="15111" width="5.7109375" style="298" customWidth="1"/>
    <col min="15112" max="15112" width="13.85546875" style="298" bestFit="1" customWidth="1"/>
    <col min="15113" max="15113" width="9.140625" style="298"/>
    <col min="15114" max="15114" width="12.28515625" style="298" bestFit="1" customWidth="1"/>
    <col min="15115" max="15360" width="9.140625" style="298"/>
    <col min="15361" max="15361" width="9.5703125" style="298" customWidth="1"/>
    <col min="15362" max="15362" width="9.140625" style="298"/>
    <col min="15363" max="15363" width="11.5703125" style="298" customWidth="1"/>
    <col min="15364" max="15364" width="9.28515625" style="298" customWidth="1"/>
    <col min="15365" max="15365" width="15.7109375" style="298" bestFit="1" customWidth="1"/>
    <col min="15366" max="15366" width="26.42578125" style="298" customWidth="1"/>
    <col min="15367" max="15367" width="5.7109375" style="298" customWidth="1"/>
    <col min="15368" max="15368" width="13.85546875" style="298" bestFit="1" customWidth="1"/>
    <col min="15369" max="15369" width="9.140625" style="298"/>
    <col min="15370" max="15370" width="12.28515625" style="298" bestFit="1" customWidth="1"/>
    <col min="15371" max="15616" width="9.140625" style="298"/>
    <col min="15617" max="15617" width="9.5703125" style="298" customWidth="1"/>
    <col min="15618" max="15618" width="9.140625" style="298"/>
    <col min="15619" max="15619" width="11.5703125" style="298" customWidth="1"/>
    <col min="15620" max="15620" width="9.28515625" style="298" customWidth="1"/>
    <col min="15621" max="15621" width="15.7109375" style="298" bestFit="1" customWidth="1"/>
    <col min="15622" max="15622" width="26.42578125" style="298" customWidth="1"/>
    <col min="15623" max="15623" width="5.7109375" style="298" customWidth="1"/>
    <col min="15624" max="15624" width="13.85546875" style="298" bestFit="1" customWidth="1"/>
    <col min="15625" max="15625" width="9.140625" style="298"/>
    <col min="15626" max="15626" width="12.28515625" style="298" bestFit="1" customWidth="1"/>
    <col min="15627" max="15872" width="9.140625" style="298"/>
    <col min="15873" max="15873" width="9.5703125" style="298" customWidth="1"/>
    <col min="15874" max="15874" width="9.140625" style="298"/>
    <col min="15875" max="15875" width="11.5703125" style="298" customWidth="1"/>
    <col min="15876" max="15876" width="9.28515625" style="298" customWidth="1"/>
    <col min="15877" max="15877" width="15.7109375" style="298" bestFit="1" customWidth="1"/>
    <col min="15878" max="15878" width="26.42578125" style="298" customWidth="1"/>
    <col min="15879" max="15879" width="5.7109375" style="298" customWidth="1"/>
    <col min="15880" max="15880" width="13.85546875" style="298" bestFit="1" customWidth="1"/>
    <col min="15881" max="15881" width="9.140625" style="298"/>
    <col min="15882" max="15882" width="12.28515625" style="298" bestFit="1" customWidth="1"/>
    <col min="15883" max="16128" width="9.140625" style="298"/>
    <col min="16129" max="16129" width="9.5703125" style="298" customWidth="1"/>
    <col min="16130" max="16130" width="9.140625" style="298"/>
    <col min="16131" max="16131" width="11.5703125" style="298" customWidth="1"/>
    <col min="16132" max="16132" width="9.28515625" style="298" customWidth="1"/>
    <col min="16133" max="16133" width="15.7109375" style="298" bestFit="1" customWidth="1"/>
    <col min="16134" max="16134" width="26.42578125" style="298" customWidth="1"/>
    <col min="16135" max="16135" width="5.7109375" style="298" customWidth="1"/>
    <col min="16136" max="16136" width="13.85546875" style="298" bestFit="1" customWidth="1"/>
    <col min="16137" max="16137" width="9.140625" style="298"/>
    <col min="16138" max="16138" width="12.28515625" style="298" bestFit="1" customWidth="1"/>
    <col min="16139" max="16384" width="9.140625" style="298"/>
  </cols>
  <sheetData>
    <row r="1" spans="1:18" ht="15" x14ac:dyDescent="0.25">
      <c r="A1" s="580" t="s">
        <v>379</v>
      </c>
      <c r="B1" s="580"/>
      <c r="C1" s="580"/>
      <c r="D1" s="580"/>
      <c r="E1" s="580"/>
      <c r="F1" s="580"/>
      <c r="G1" s="580"/>
      <c r="H1" s="580"/>
    </row>
    <row r="2" spans="1:18" ht="15" x14ac:dyDescent="0.25">
      <c r="A2" s="390" t="s">
        <v>380</v>
      </c>
      <c r="B2" s="390"/>
      <c r="C2" s="313"/>
      <c r="D2" s="313"/>
      <c r="E2" s="313"/>
      <c r="F2" s="313"/>
      <c r="G2" s="313"/>
      <c r="H2" s="313"/>
    </row>
    <row r="3" spans="1:18" ht="15" x14ac:dyDescent="0.25">
      <c r="A3" s="581" t="s">
        <v>317</v>
      </c>
      <c r="B3" s="581"/>
      <c r="C3" s="581"/>
      <c r="D3" s="581"/>
      <c r="E3" s="581"/>
      <c r="F3" s="581"/>
      <c r="G3" s="581"/>
      <c r="H3" s="581"/>
    </row>
    <row r="5" spans="1:18" x14ac:dyDescent="0.2">
      <c r="A5" s="298" t="s">
        <v>318</v>
      </c>
      <c r="E5" s="392">
        <v>263029</v>
      </c>
    </row>
    <row r="6" spans="1:18" ht="13.5" thickBot="1" x14ac:dyDescent="0.25">
      <c r="A6" s="298" t="s">
        <v>320</v>
      </c>
      <c r="E6" s="393">
        <v>157210.51</v>
      </c>
      <c r="F6" s="298" t="s">
        <v>381</v>
      </c>
    </row>
    <row r="7" spans="1:18" ht="13.5" thickTop="1" x14ac:dyDescent="0.2"/>
    <row r="8" spans="1:18" x14ac:dyDescent="0.2">
      <c r="E8" s="394"/>
    </row>
    <row r="9" spans="1:18" x14ac:dyDescent="0.2">
      <c r="A9" s="299" t="s">
        <v>382</v>
      </c>
      <c r="B9" s="299"/>
      <c r="C9" s="299"/>
      <c r="D9" s="299"/>
      <c r="E9" s="410">
        <f>(+E6/60)-0.18</f>
        <v>2619.995166666667</v>
      </c>
      <c r="F9" s="299" t="s">
        <v>383</v>
      </c>
    </row>
    <row r="10" spans="1:18" x14ac:dyDescent="0.2">
      <c r="A10" s="299"/>
      <c r="B10" s="299"/>
      <c r="C10" s="299"/>
      <c r="D10" s="299"/>
      <c r="E10" s="410"/>
      <c r="F10" s="299"/>
      <c r="R10" s="395"/>
    </row>
    <row r="11" spans="1:18" x14ac:dyDescent="0.2">
      <c r="A11" s="299" t="s">
        <v>329</v>
      </c>
      <c r="B11" s="299"/>
      <c r="C11" s="299"/>
      <c r="D11" s="299"/>
      <c r="E11" s="410"/>
      <c r="F11" s="299"/>
    </row>
    <row r="12" spans="1:18" x14ac:dyDescent="0.2">
      <c r="A12" s="415" t="s">
        <v>339</v>
      </c>
      <c r="B12" s="506"/>
      <c r="C12" s="507"/>
      <c r="D12" s="507"/>
      <c r="E12" s="508"/>
      <c r="F12" s="507"/>
      <c r="G12" s="399"/>
    </row>
    <row r="13" spans="1:18" x14ac:dyDescent="0.2">
      <c r="A13" s="418" t="s">
        <v>331</v>
      </c>
      <c r="B13" s="401" t="s">
        <v>384</v>
      </c>
      <c r="C13" s="401" t="s">
        <v>332</v>
      </c>
      <c r="D13" s="401" t="s">
        <v>310</v>
      </c>
      <c r="E13" s="401" t="s">
        <v>333</v>
      </c>
      <c r="F13" s="401" t="s">
        <v>334</v>
      </c>
      <c r="G13" s="400"/>
    </row>
    <row r="14" spans="1:18" x14ac:dyDescent="0.2">
      <c r="A14" s="418">
        <v>75085</v>
      </c>
      <c r="B14" s="401" t="s">
        <v>385</v>
      </c>
      <c r="C14" s="401">
        <v>9928</v>
      </c>
      <c r="D14" s="509" t="s">
        <v>335</v>
      </c>
      <c r="E14" s="423">
        <f>+E9</f>
        <v>2619.995166666667</v>
      </c>
      <c r="F14" s="423"/>
      <c r="G14" s="400"/>
      <c r="H14" s="298" t="s">
        <v>336</v>
      </c>
    </row>
    <row r="15" spans="1:18" x14ac:dyDescent="0.2">
      <c r="A15" s="418">
        <v>75085</v>
      </c>
      <c r="B15" s="401" t="s">
        <v>385</v>
      </c>
      <c r="C15" s="401">
        <v>9928</v>
      </c>
      <c r="D15" s="509" t="s">
        <v>299</v>
      </c>
      <c r="E15" s="423"/>
      <c r="F15" s="423">
        <f>+E14</f>
        <v>2619.995166666667</v>
      </c>
      <c r="G15" s="400"/>
    </row>
    <row r="16" spans="1:18" x14ac:dyDescent="0.2">
      <c r="A16" s="418">
        <v>75085</v>
      </c>
      <c r="B16" s="401" t="s">
        <v>385</v>
      </c>
      <c r="C16" s="401">
        <v>9928</v>
      </c>
      <c r="D16" s="509" t="s">
        <v>335</v>
      </c>
      <c r="E16" s="423">
        <v>10.8</v>
      </c>
      <c r="F16" s="423"/>
      <c r="G16" s="400"/>
      <c r="H16" s="298" t="s">
        <v>337</v>
      </c>
    </row>
    <row r="17" spans="1:8" x14ac:dyDescent="0.2">
      <c r="A17" s="510">
        <v>75085</v>
      </c>
      <c r="B17" s="511" t="s">
        <v>385</v>
      </c>
      <c r="C17" s="511">
        <v>9928</v>
      </c>
      <c r="D17" s="512" t="s">
        <v>299</v>
      </c>
      <c r="E17" s="427"/>
      <c r="F17" s="427">
        <f>+E16</f>
        <v>10.8</v>
      </c>
      <c r="G17" s="402"/>
    </row>
    <row r="18" spans="1:8" x14ac:dyDescent="0.2">
      <c r="A18" s="308"/>
      <c r="B18" s="308"/>
      <c r="C18" s="308"/>
      <c r="D18" s="308"/>
      <c r="E18" s="410"/>
      <c r="F18" s="299"/>
    </row>
    <row r="19" spans="1:8" x14ac:dyDescent="0.2">
      <c r="A19" s="308" t="s">
        <v>386</v>
      </c>
      <c r="B19" s="308"/>
      <c r="C19" s="308"/>
      <c r="D19" s="308"/>
      <c r="E19" s="410"/>
      <c r="F19" s="299"/>
    </row>
    <row r="20" spans="1:8" x14ac:dyDescent="0.2">
      <c r="A20" s="513" t="s">
        <v>339</v>
      </c>
      <c r="B20" s="514"/>
      <c r="C20" s="515"/>
      <c r="D20" s="515"/>
      <c r="E20" s="508"/>
      <c r="F20" s="507"/>
      <c r="G20" s="399"/>
    </row>
    <row r="21" spans="1:8" x14ac:dyDescent="0.2">
      <c r="A21" s="418" t="s">
        <v>331</v>
      </c>
      <c r="B21" s="401" t="s">
        <v>384</v>
      </c>
      <c r="C21" s="401" t="s">
        <v>332</v>
      </c>
      <c r="D21" s="401" t="s">
        <v>310</v>
      </c>
      <c r="E21" s="516" t="s">
        <v>333</v>
      </c>
      <c r="F21" s="516" t="s">
        <v>334</v>
      </c>
      <c r="G21" s="403"/>
    </row>
    <row r="22" spans="1:8" x14ac:dyDescent="0.2">
      <c r="A22" s="418">
        <v>75085</v>
      </c>
      <c r="B22" s="401" t="s">
        <v>385</v>
      </c>
      <c r="C22" s="401">
        <v>9928</v>
      </c>
      <c r="D22" s="509" t="s">
        <v>335</v>
      </c>
      <c r="E22" s="517">
        <f>F23</f>
        <v>2619.995166666667</v>
      </c>
      <c r="F22" s="301"/>
      <c r="G22" s="404"/>
    </row>
    <row r="23" spans="1:8" x14ac:dyDescent="0.2">
      <c r="A23" s="510">
        <v>75085</v>
      </c>
      <c r="B23" s="511" t="s">
        <v>385</v>
      </c>
      <c r="C23" s="511">
        <v>9928</v>
      </c>
      <c r="D23" s="512" t="s">
        <v>299</v>
      </c>
      <c r="E23" s="518"/>
      <c r="F23" s="519">
        <f>E9</f>
        <v>2619.995166666667</v>
      </c>
      <c r="G23" s="405"/>
    </row>
    <row r="24" spans="1:8" x14ac:dyDescent="0.2">
      <c r="A24" s="308"/>
      <c r="B24" s="308"/>
      <c r="C24" s="303"/>
      <c r="D24" s="520"/>
      <c r="E24" s="299"/>
      <c r="F24" s="350"/>
    </row>
    <row r="25" spans="1:8" x14ac:dyDescent="0.2">
      <c r="A25" s="299"/>
      <c r="B25" s="299"/>
      <c r="C25" s="299"/>
      <c r="D25" s="299"/>
      <c r="E25" s="350"/>
      <c r="F25" s="299"/>
    </row>
    <row r="26" spans="1:8" x14ac:dyDescent="0.2">
      <c r="A26" s="307"/>
      <c r="B26" s="307"/>
      <c r="C26" s="342"/>
      <c r="F26" s="343" t="s">
        <v>340</v>
      </c>
      <c r="H26" s="344" t="s">
        <v>341</v>
      </c>
    </row>
    <row r="27" spans="1:8" x14ac:dyDescent="0.2">
      <c r="A27" s="345" t="s">
        <v>342</v>
      </c>
      <c r="B27" s="345"/>
      <c r="C27" s="342"/>
      <c r="F27" s="346" t="s">
        <v>387</v>
      </c>
      <c r="H27" s="347" t="s">
        <v>344</v>
      </c>
    </row>
    <row r="28" spans="1:8" x14ac:dyDescent="0.2">
      <c r="A28" s="307"/>
      <c r="B28" s="307"/>
      <c r="C28" s="342" t="s">
        <v>345</v>
      </c>
      <c r="E28" s="341" t="s">
        <v>346</v>
      </c>
      <c r="F28" s="341"/>
      <c r="H28" s="348">
        <f>+E6</f>
        <v>157210.51</v>
      </c>
    </row>
    <row r="29" spans="1:8" x14ac:dyDescent="0.2">
      <c r="A29" s="342">
        <v>1</v>
      </c>
      <c r="B29" s="342"/>
      <c r="C29" s="349">
        <v>43222</v>
      </c>
      <c r="E29" s="406">
        <f>+E14+E16</f>
        <v>2630.7951666666672</v>
      </c>
      <c r="F29" s="350">
        <f>F28-E29</f>
        <v>-2630.7951666666672</v>
      </c>
      <c r="G29" s="407"/>
      <c r="H29" s="356">
        <f>+H28-E29</f>
        <v>154579.71483333333</v>
      </c>
    </row>
    <row r="30" spans="1:8" x14ac:dyDescent="0.2">
      <c r="A30" s="342">
        <v>2</v>
      </c>
      <c r="B30" s="342"/>
      <c r="C30" s="349">
        <v>43253</v>
      </c>
      <c r="E30" s="350">
        <f t="shared" ref="E30:E88" si="0">E$9</f>
        <v>2619.995166666667</v>
      </c>
      <c r="F30" s="341">
        <f t="shared" ref="F30:F88" si="1">F29-E30</f>
        <v>-5250.7903333333343</v>
      </c>
      <c r="H30" s="356">
        <f t="shared" ref="H30:H88" si="2">+H29-E30</f>
        <v>151959.71966666667</v>
      </c>
    </row>
    <row r="31" spans="1:8" x14ac:dyDescent="0.2">
      <c r="A31" s="342">
        <v>3</v>
      </c>
      <c r="B31" s="342"/>
      <c r="C31" s="349">
        <v>43283</v>
      </c>
      <c r="E31" s="341">
        <f t="shared" si="0"/>
        <v>2619.995166666667</v>
      </c>
      <c r="F31" s="341">
        <f t="shared" si="1"/>
        <v>-7870.7855000000018</v>
      </c>
      <c r="H31" s="356">
        <f t="shared" si="2"/>
        <v>149339.72450000001</v>
      </c>
    </row>
    <row r="32" spans="1:8" x14ac:dyDescent="0.2">
      <c r="A32" s="342">
        <v>4</v>
      </c>
      <c r="B32" s="342"/>
      <c r="C32" s="355">
        <v>43314</v>
      </c>
      <c r="E32" s="341">
        <f t="shared" si="0"/>
        <v>2619.995166666667</v>
      </c>
      <c r="F32" s="341">
        <f t="shared" si="1"/>
        <v>-10490.780666666669</v>
      </c>
      <c r="H32" s="356">
        <f t="shared" si="2"/>
        <v>146719.72933333335</v>
      </c>
    </row>
    <row r="33" spans="1:9" x14ac:dyDescent="0.2">
      <c r="A33" s="342">
        <v>5</v>
      </c>
      <c r="B33" s="342"/>
      <c r="C33" s="349">
        <v>43345</v>
      </c>
      <c r="E33" s="341">
        <f t="shared" si="0"/>
        <v>2619.995166666667</v>
      </c>
      <c r="F33" s="341">
        <f t="shared" si="1"/>
        <v>-13110.775833333337</v>
      </c>
      <c r="H33" s="356">
        <f t="shared" si="2"/>
        <v>144099.73416666669</v>
      </c>
    </row>
    <row r="34" spans="1:9" x14ac:dyDescent="0.2">
      <c r="A34" s="342">
        <v>6</v>
      </c>
      <c r="B34" s="342"/>
      <c r="C34" s="349">
        <v>43375</v>
      </c>
      <c r="E34" s="341">
        <f t="shared" si="0"/>
        <v>2619.995166666667</v>
      </c>
      <c r="F34" s="341">
        <f t="shared" si="1"/>
        <v>-15730.771000000004</v>
      </c>
      <c r="H34" s="356">
        <f t="shared" si="2"/>
        <v>141479.73900000003</v>
      </c>
      <c r="I34" s="305"/>
    </row>
    <row r="35" spans="1:9" x14ac:dyDescent="0.2">
      <c r="A35" s="342">
        <v>7</v>
      </c>
      <c r="B35" s="342"/>
      <c r="C35" s="355">
        <v>43406</v>
      </c>
      <c r="D35" s="299"/>
      <c r="E35" s="350">
        <f t="shared" si="0"/>
        <v>2619.995166666667</v>
      </c>
      <c r="F35" s="350">
        <f t="shared" si="1"/>
        <v>-18350.766166666672</v>
      </c>
      <c r="G35" s="299"/>
      <c r="H35" s="356">
        <f t="shared" si="2"/>
        <v>138859.74383333337</v>
      </c>
    </row>
    <row r="36" spans="1:9" x14ac:dyDescent="0.2">
      <c r="A36" s="342">
        <v>8</v>
      </c>
      <c r="B36" s="342"/>
      <c r="C36" s="355">
        <v>43436</v>
      </c>
      <c r="D36" s="299"/>
      <c r="E36" s="350">
        <f t="shared" si="0"/>
        <v>2619.995166666667</v>
      </c>
      <c r="F36" s="350">
        <f t="shared" si="1"/>
        <v>-20970.761333333339</v>
      </c>
      <c r="G36" s="299"/>
      <c r="H36" s="356">
        <f t="shared" si="2"/>
        <v>136239.74866666671</v>
      </c>
    </row>
    <row r="37" spans="1:9" x14ac:dyDescent="0.2">
      <c r="A37" s="342">
        <v>9</v>
      </c>
      <c r="B37" s="342"/>
      <c r="C37" s="355">
        <v>43467</v>
      </c>
      <c r="D37" s="299"/>
      <c r="E37" s="350">
        <f t="shared" si="0"/>
        <v>2619.995166666667</v>
      </c>
      <c r="F37" s="350">
        <f t="shared" si="1"/>
        <v>-23590.756500000007</v>
      </c>
      <c r="G37" s="299"/>
      <c r="H37" s="356">
        <f t="shared" si="2"/>
        <v>133619.75350000005</v>
      </c>
    </row>
    <row r="38" spans="1:9" x14ac:dyDescent="0.2">
      <c r="A38" s="342">
        <v>10</v>
      </c>
      <c r="B38" s="342"/>
      <c r="C38" s="355">
        <v>43498</v>
      </c>
      <c r="D38" s="299"/>
      <c r="E38" s="350">
        <f t="shared" si="0"/>
        <v>2619.995166666667</v>
      </c>
      <c r="F38" s="350">
        <f t="shared" si="1"/>
        <v>-26210.751666666674</v>
      </c>
      <c r="G38" s="299"/>
      <c r="H38" s="356">
        <f t="shared" si="2"/>
        <v>130999.75833333339</v>
      </c>
    </row>
    <row r="39" spans="1:9" x14ac:dyDescent="0.2">
      <c r="A39" s="342">
        <v>11</v>
      </c>
      <c r="B39" s="342"/>
      <c r="C39" s="355">
        <v>43526</v>
      </c>
      <c r="D39" s="299"/>
      <c r="E39" s="350">
        <f t="shared" si="0"/>
        <v>2619.995166666667</v>
      </c>
      <c r="F39" s="350">
        <f t="shared" si="1"/>
        <v>-28830.746833333342</v>
      </c>
      <c r="G39" s="299"/>
      <c r="H39" s="356">
        <f t="shared" si="2"/>
        <v>128379.76316666673</v>
      </c>
    </row>
    <row r="40" spans="1:9" x14ac:dyDescent="0.2">
      <c r="A40" s="342">
        <v>12</v>
      </c>
      <c r="B40" s="342"/>
      <c r="C40" s="355">
        <v>43557</v>
      </c>
      <c r="D40" s="299"/>
      <c r="E40" s="350">
        <f t="shared" si="0"/>
        <v>2619.995166666667</v>
      </c>
      <c r="F40" s="350">
        <f t="shared" si="1"/>
        <v>-31450.742000000009</v>
      </c>
      <c r="G40" s="299"/>
      <c r="H40" s="356">
        <f t="shared" si="2"/>
        <v>125759.76800000007</v>
      </c>
    </row>
    <row r="41" spans="1:9" x14ac:dyDescent="0.2">
      <c r="A41" s="342">
        <v>13</v>
      </c>
      <c r="B41" s="342"/>
      <c r="C41" s="355">
        <v>43587</v>
      </c>
      <c r="D41" s="299"/>
      <c r="E41" s="350">
        <f t="shared" si="0"/>
        <v>2619.995166666667</v>
      </c>
      <c r="F41" s="350">
        <f t="shared" si="1"/>
        <v>-34070.737166666673</v>
      </c>
      <c r="G41" s="299"/>
      <c r="H41" s="356">
        <f t="shared" si="2"/>
        <v>123139.77283333341</v>
      </c>
    </row>
    <row r="42" spans="1:9" x14ac:dyDescent="0.2">
      <c r="A42" s="342">
        <v>14</v>
      </c>
      <c r="B42" s="342"/>
      <c r="C42" s="355">
        <v>43618</v>
      </c>
      <c r="D42" s="299"/>
      <c r="E42" s="350">
        <f t="shared" si="0"/>
        <v>2619.995166666667</v>
      </c>
      <c r="F42" s="350">
        <f t="shared" si="1"/>
        <v>-36690.732333333341</v>
      </c>
      <c r="G42" s="299"/>
      <c r="H42" s="356">
        <f t="shared" si="2"/>
        <v>120519.77766666675</v>
      </c>
    </row>
    <row r="43" spans="1:9" x14ac:dyDescent="0.2">
      <c r="A43" s="342">
        <v>15</v>
      </c>
      <c r="B43" s="342"/>
      <c r="C43" s="355">
        <v>43648</v>
      </c>
      <c r="D43" s="299"/>
      <c r="E43" s="350">
        <f t="shared" si="0"/>
        <v>2619.995166666667</v>
      </c>
      <c r="F43" s="350">
        <f t="shared" si="1"/>
        <v>-39310.727500000008</v>
      </c>
      <c r="G43" s="299"/>
      <c r="H43" s="356">
        <f t="shared" si="2"/>
        <v>117899.78250000009</v>
      </c>
    </row>
    <row r="44" spans="1:9" x14ac:dyDescent="0.2">
      <c r="A44" s="342">
        <v>16</v>
      </c>
      <c r="B44" s="342"/>
      <c r="C44" s="355">
        <v>43679</v>
      </c>
      <c r="D44" s="299"/>
      <c r="E44" s="350">
        <f t="shared" si="0"/>
        <v>2619.995166666667</v>
      </c>
      <c r="F44" s="350">
        <f t="shared" si="1"/>
        <v>-41930.722666666676</v>
      </c>
      <c r="G44" s="299"/>
      <c r="H44" s="356">
        <f>+H43-E44</f>
        <v>115279.78733333343</v>
      </c>
    </row>
    <row r="45" spans="1:9" x14ac:dyDescent="0.2">
      <c r="A45" s="342">
        <v>17</v>
      </c>
      <c r="B45" s="342"/>
      <c r="C45" s="355">
        <v>43710</v>
      </c>
      <c r="D45" s="299"/>
      <c r="E45" s="350">
        <f t="shared" si="0"/>
        <v>2619.995166666667</v>
      </c>
      <c r="F45" s="350">
        <f t="shared" si="1"/>
        <v>-44550.717833333343</v>
      </c>
      <c r="G45" s="299"/>
      <c r="H45" s="356">
        <f t="shared" si="2"/>
        <v>112659.79216666677</v>
      </c>
    </row>
    <row r="46" spans="1:9" x14ac:dyDescent="0.2">
      <c r="A46" s="342">
        <v>18</v>
      </c>
      <c r="B46" s="342"/>
      <c r="C46" s="355">
        <v>43740</v>
      </c>
      <c r="D46" s="299"/>
      <c r="E46" s="350">
        <f t="shared" si="0"/>
        <v>2619.995166666667</v>
      </c>
      <c r="F46" s="350">
        <f t="shared" si="1"/>
        <v>-47170.713000000011</v>
      </c>
      <c r="G46" s="299"/>
      <c r="H46" s="356">
        <f t="shared" si="2"/>
        <v>110039.79700000011</v>
      </c>
    </row>
    <row r="47" spans="1:9" x14ac:dyDescent="0.2">
      <c r="A47" s="342">
        <v>19</v>
      </c>
      <c r="B47" s="342"/>
      <c r="C47" s="355">
        <v>43771</v>
      </c>
      <c r="D47" s="299"/>
      <c r="E47" s="350">
        <f t="shared" si="0"/>
        <v>2619.995166666667</v>
      </c>
      <c r="F47" s="350">
        <f t="shared" si="1"/>
        <v>-49790.708166666678</v>
      </c>
      <c r="G47" s="299"/>
      <c r="H47" s="356">
        <f t="shared" si="2"/>
        <v>107419.80183333345</v>
      </c>
    </row>
    <row r="48" spans="1:9" x14ac:dyDescent="0.2">
      <c r="A48" s="342">
        <v>20</v>
      </c>
      <c r="B48" s="342"/>
      <c r="C48" s="355">
        <v>43801</v>
      </c>
      <c r="D48" s="299"/>
      <c r="E48" s="350">
        <f t="shared" si="0"/>
        <v>2619.995166666667</v>
      </c>
      <c r="F48" s="350">
        <f t="shared" si="1"/>
        <v>-52410.703333333346</v>
      </c>
      <c r="G48" s="299"/>
      <c r="H48" s="356">
        <f t="shared" si="2"/>
        <v>104799.80666666679</v>
      </c>
    </row>
    <row r="49" spans="1:8" x14ac:dyDescent="0.2">
      <c r="A49" s="342">
        <v>21</v>
      </c>
      <c r="B49" s="342"/>
      <c r="C49" s="355">
        <v>43832</v>
      </c>
      <c r="D49" s="299"/>
      <c r="E49" s="350">
        <f t="shared" si="0"/>
        <v>2619.995166666667</v>
      </c>
      <c r="F49" s="350">
        <f t="shared" si="1"/>
        <v>-55030.698500000013</v>
      </c>
      <c r="G49" s="299"/>
      <c r="H49" s="356">
        <f t="shared" si="2"/>
        <v>102179.81150000013</v>
      </c>
    </row>
    <row r="50" spans="1:8" x14ac:dyDescent="0.2">
      <c r="A50" s="342">
        <v>22</v>
      </c>
      <c r="B50" s="342"/>
      <c r="C50" s="355">
        <v>43863</v>
      </c>
      <c r="D50" s="299"/>
      <c r="E50" s="350">
        <f t="shared" si="0"/>
        <v>2619.995166666667</v>
      </c>
      <c r="F50" s="350">
        <f t="shared" si="1"/>
        <v>-57650.693666666681</v>
      </c>
      <c r="G50" s="299"/>
      <c r="H50" s="356">
        <f t="shared" si="2"/>
        <v>99559.816333333467</v>
      </c>
    </row>
    <row r="51" spans="1:8" x14ac:dyDescent="0.2">
      <c r="A51" s="342">
        <v>23</v>
      </c>
      <c r="B51" s="342"/>
      <c r="C51" s="355">
        <v>43892</v>
      </c>
      <c r="D51" s="299"/>
      <c r="E51" s="350">
        <f t="shared" si="0"/>
        <v>2619.995166666667</v>
      </c>
      <c r="F51" s="350">
        <f t="shared" si="1"/>
        <v>-60270.688833333348</v>
      </c>
      <c r="G51" s="299"/>
      <c r="H51" s="356">
        <f t="shared" si="2"/>
        <v>96939.821166666807</v>
      </c>
    </row>
    <row r="52" spans="1:8" x14ac:dyDescent="0.2">
      <c r="A52" s="342">
        <v>24</v>
      </c>
      <c r="B52" s="342"/>
      <c r="C52" s="355">
        <v>43923</v>
      </c>
      <c r="D52" s="299"/>
      <c r="E52" s="350">
        <f t="shared" si="0"/>
        <v>2619.995166666667</v>
      </c>
      <c r="F52" s="350">
        <f t="shared" si="1"/>
        <v>-62890.684000000016</v>
      </c>
      <c r="G52" s="299"/>
      <c r="H52" s="356">
        <f t="shared" si="2"/>
        <v>94319.826000000146</v>
      </c>
    </row>
    <row r="53" spans="1:8" x14ac:dyDescent="0.2">
      <c r="A53" s="342">
        <v>25</v>
      </c>
      <c r="B53" s="342"/>
      <c r="C53" s="355">
        <v>43953</v>
      </c>
      <c r="D53" s="299"/>
      <c r="E53" s="350">
        <f t="shared" si="0"/>
        <v>2619.995166666667</v>
      </c>
      <c r="F53" s="350">
        <f t="shared" si="1"/>
        <v>-65510.679166666683</v>
      </c>
      <c r="G53" s="299"/>
      <c r="H53" s="356">
        <f t="shared" si="2"/>
        <v>91699.830833333486</v>
      </c>
    </row>
    <row r="54" spans="1:8" x14ac:dyDescent="0.2">
      <c r="A54" s="342">
        <v>26</v>
      </c>
      <c r="B54" s="342"/>
      <c r="C54" s="355">
        <v>43984</v>
      </c>
      <c r="D54" s="299"/>
      <c r="E54" s="350">
        <f t="shared" si="0"/>
        <v>2619.995166666667</v>
      </c>
      <c r="F54" s="350">
        <f t="shared" si="1"/>
        <v>-68130.674333333343</v>
      </c>
      <c r="G54" s="299"/>
      <c r="H54" s="356">
        <f t="shared" si="2"/>
        <v>89079.835666666826</v>
      </c>
    </row>
    <row r="55" spans="1:8" x14ac:dyDescent="0.2">
      <c r="A55" s="342">
        <v>27</v>
      </c>
      <c r="B55" s="342"/>
      <c r="C55" s="355">
        <v>44014</v>
      </c>
      <c r="D55" s="299"/>
      <c r="E55" s="350">
        <f t="shared" si="0"/>
        <v>2619.995166666667</v>
      </c>
      <c r="F55" s="350">
        <f t="shared" si="1"/>
        <v>-70750.669500000004</v>
      </c>
      <c r="G55" s="299"/>
      <c r="H55" s="356">
        <f t="shared" si="2"/>
        <v>86459.840500000166</v>
      </c>
    </row>
    <row r="56" spans="1:8" x14ac:dyDescent="0.2">
      <c r="A56" s="342">
        <v>28</v>
      </c>
      <c r="B56" s="342"/>
      <c r="C56" s="355">
        <v>44045</v>
      </c>
      <c r="D56" s="299"/>
      <c r="E56" s="350">
        <f t="shared" si="0"/>
        <v>2619.995166666667</v>
      </c>
      <c r="F56" s="350">
        <f t="shared" si="1"/>
        <v>-73370.664666666664</v>
      </c>
      <c r="G56" s="299"/>
      <c r="H56" s="356">
        <f t="shared" si="2"/>
        <v>83839.845333333506</v>
      </c>
    </row>
    <row r="57" spans="1:8" x14ac:dyDescent="0.2">
      <c r="A57" s="342">
        <v>29</v>
      </c>
      <c r="B57" s="342"/>
      <c r="C57" s="355">
        <v>44076</v>
      </c>
      <c r="D57" s="299"/>
      <c r="E57" s="350">
        <f t="shared" si="0"/>
        <v>2619.995166666667</v>
      </c>
      <c r="F57" s="350">
        <f t="shared" si="1"/>
        <v>-75990.659833333324</v>
      </c>
      <c r="G57" s="299"/>
      <c r="H57" s="356">
        <f t="shared" si="2"/>
        <v>81219.850166666845</v>
      </c>
    </row>
    <row r="58" spans="1:8" x14ac:dyDescent="0.2">
      <c r="A58" s="342">
        <v>30</v>
      </c>
      <c r="B58" s="342"/>
      <c r="C58" s="355">
        <v>44106</v>
      </c>
      <c r="D58" s="299"/>
      <c r="E58" s="350">
        <f t="shared" si="0"/>
        <v>2619.995166666667</v>
      </c>
      <c r="F58" s="350">
        <f t="shared" si="1"/>
        <v>-78610.654999999984</v>
      </c>
      <c r="G58" s="299"/>
      <c r="H58" s="356">
        <f t="shared" si="2"/>
        <v>78599.855000000185</v>
      </c>
    </row>
    <row r="59" spans="1:8" x14ac:dyDescent="0.2">
      <c r="A59" s="342">
        <v>31</v>
      </c>
      <c r="B59" s="342"/>
      <c r="C59" s="355">
        <v>44137</v>
      </c>
      <c r="D59" s="299"/>
      <c r="E59" s="350">
        <f t="shared" si="0"/>
        <v>2619.995166666667</v>
      </c>
      <c r="F59" s="350">
        <f t="shared" si="1"/>
        <v>-81230.650166666645</v>
      </c>
      <c r="G59" s="299"/>
      <c r="H59" s="356">
        <f t="shared" si="2"/>
        <v>75979.859833333525</v>
      </c>
    </row>
    <row r="60" spans="1:8" x14ac:dyDescent="0.2">
      <c r="A60" s="342">
        <v>32</v>
      </c>
      <c r="B60" s="342"/>
      <c r="C60" s="355">
        <v>44167</v>
      </c>
      <c r="D60" s="299"/>
      <c r="E60" s="350">
        <f t="shared" si="0"/>
        <v>2619.995166666667</v>
      </c>
      <c r="F60" s="350">
        <f t="shared" si="1"/>
        <v>-83850.645333333305</v>
      </c>
      <c r="G60" s="299"/>
      <c r="H60" s="356">
        <f t="shared" si="2"/>
        <v>73359.864666666865</v>
      </c>
    </row>
    <row r="61" spans="1:8" x14ac:dyDescent="0.2">
      <c r="A61" s="342">
        <v>33</v>
      </c>
      <c r="B61" s="342"/>
      <c r="C61" s="355">
        <v>44198</v>
      </c>
      <c r="D61" s="299"/>
      <c r="E61" s="350">
        <f t="shared" si="0"/>
        <v>2619.995166666667</v>
      </c>
      <c r="F61" s="350">
        <f t="shared" si="1"/>
        <v>-86470.640499999965</v>
      </c>
      <c r="G61" s="299"/>
      <c r="H61" s="356">
        <f t="shared" si="2"/>
        <v>70739.869500000204</v>
      </c>
    </row>
    <row r="62" spans="1:8" x14ac:dyDescent="0.2">
      <c r="A62" s="342">
        <v>34</v>
      </c>
      <c r="B62" s="342"/>
      <c r="C62" s="355">
        <v>44229</v>
      </c>
      <c r="D62" s="299"/>
      <c r="E62" s="350">
        <f t="shared" si="0"/>
        <v>2619.995166666667</v>
      </c>
      <c r="F62" s="350">
        <f t="shared" si="1"/>
        <v>-89090.635666666625</v>
      </c>
      <c r="G62" s="299"/>
      <c r="H62" s="356">
        <f t="shared" si="2"/>
        <v>68119.874333333544</v>
      </c>
    </row>
    <row r="63" spans="1:8" x14ac:dyDescent="0.2">
      <c r="A63" s="342">
        <v>35</v>
      </c>
      <c r="B63" s="342"/>
      <c r="C63" s="355">
        <v>44257</v>
      </c>
      <c r="D63" s="299"/>
      <c r="E63" s="350">
        <f t="shared" si="0"/>
        <v>2619.995166666667</v>
      </c>
      <c r="F63" s="350">
        <f t="shared" si="1"/>
        <v>-91710.630833333285</v>
      </c>
      <c r="G63" s="299"/>
      <c r="H63" s="356">
        <f t="shared" si="2"/>
        <v>65499.879166666877</v>
      </c>
    </row>
    <row r="64" spans="1:8" x14ac:dyDescent="0.2">
      <c r="A64" s="342">
        <v>36</v>
      </c>
      <c r="B64" s="342"/>
      <c r="C64" s="355">
        <v>44288</v>
      </c>
      <c r="D64" s="299"/>
      <c r="E64" s="350">
        <f t="shared" si="0"/>
        <v>2619.995166666667</v>
      </c>
      <c r="F64" s="350">
        <f t="shared" si="1"/>
        <v>-94330.625999999946</v>
      </c>
      <c r="G64" s="299"/>
      <c r="H64" s="356">
        <f t="shared" si="2"/>
        <v>62879.884000000209</v>
      </c>
    </row>
    <row r="65" spans="1:8" x14ac:dyDescent="0.2">
      <c r="A65" s="342">
        <v>37</v>
      </c>
      <c r="B65" s="342"/>
      <c r="C65" s="355">
        <v>44318</v>
      </c>
      <c r="D65" s="299"/>
      <c r="E65" s="350">
        <f t="shared" si="0"/>
        <v>2619.995166666667</v>
      </c>
      <c r="F65" s="350">
        <f t="shared" si="1"/>
        <v>-96950.621166666606</v>
      </c>
      <c r="G65" s="299"/>
      <c r="H65" s="356">
        <f t="shared" si="2"/>
        <v>60259.888833333542</v>
      </c>
    </row>
    <row r="66" spans="1:8" x14ac:dyDescent="0.2">
      <c r="A66" s="342">
        <v>38</v>
      </c>
      <c r="B66" s="342"/>
      <c r="C66" s="355">
        <v>44349</v>
      </c>
      <c r="D66" s="299"/>
      <c r="E66" s="350">
        <f t="shared" si="0"/>
        <v>2619.995166666667</v>
      </c>
      <c r="F66" s="350">
        <f t="shared" si="1"/>
        <v>-99570.616333333266</v>
      </c>
      <c r="G66" s="299"/>
      <c r="H66" s="356">
        <f t="shared" si="2"/>
        <v>57639.893666666874</v>
      </c>
    </row>
    <row r="67" spans="1:8" x14ac:dyDescent="0.2">
      <c r="A67" s="342">
        <v>39</v>
      </c>
      <c r="B67" s="342"/>
      <c r="C67" s="355">
        <v>44379</v>
      </c>
      <c r="D67" s="299"/>
      <c r="E67" s="350">
        <f t="shared" si="0"/>
        <v>2619.995166666667</v>
      </c>
      <c r="F67" s="350">
        <f t="shared" si="1"/>
        <v>-102190.61149999993</v>
      </c>
      <c r="G67" s="299"/>
      <c r="H67" s="356">
        <f t="shared" si="2"/>
        <v>55019.898500000207</v>
      </c>
    </row>
    <row r="68" spans="1:8" x14ac:dyDescent="0.2">
      <c r="A68" s="342">
        <v>40</v>
      </c>
      <c r="B68" s="342"/>
      <c r="C68" s="355">
        <v>44410</v>
      </c>
      <c r="D68" s="299"/>
      <c r="E68" s="350">
        <f t="shared" si="0"/>
        <v>2619.995166666667</v>
      </c>
      <c r="F68" s="350">
        <f t="shared" si="1"/>
        <v>-104810.60666666659</v>
      </c>
      <c r="G68" s="299"/>
      <c r="H68" s="356">
        <f t="shared" si="2"/>
        <v>52399.903333333539</v>
      </c>
    </row>
    <row r="69" spans="1:8" x14ac:dyDescent="0.2">
      <c r="A69" s="342">
        <v>41</v>
      </c>
      <c r="B69" s="342"/>
      <c r="C69" s="355">
        <v>44441</v>
      </c>
      <c r="D69" s="299"/>
      <c r="E69" s="350">
        <f t="shared" si="0"/>
        <v>2619.995166666667</v>
      </c>
      <c r="F69" s="350">
        <f t="shared" si="1"/>
        <v>-107430.60183333325</v>
      </c>
      <c r="G69" s="299"/>
      <c r="H69" s="356">
        <f t="shared" si="2"/>
        <v>49779.908166666872</v>
      </c>
    </row>
    <row r="70" spans="1:8" x14ac:dyDescent="0.2">
      <c r="A70" s="342">
        <v>42</v>
      </c>
      <c r="B70" s="342"/>
      <c r="C70" s="355">
        <v>44471</v>
      </c>
      <c r="D70" s="299"/>
      <c r="E70" s="350">
        <f t="shared" si="0"/>
        <v>2619.995166666667</v>
      </c>
      <c r="F70" s="350">
        <f t="shared" si="1"/>
        <v>-110050.59699999991</v>
      </c>
      <c r="G70" s="299"/>
      <c r="H70" s="356">
        <f t="shared" si="2"/>
        <v>47159.913000000204</v>
      </c>
    </row>
    <row r="71" spans="1:8" x14ac:dyDescent="0.2">
      <c r="A71" s="342">
        <v>43</v>
      </c>
      <c r="B71" s="342"/>
      <c r="C71" s="355">
        <v>44502</v>
      </c>
      <c r="D71" s="299"/>
      <c r="E71" s="350">
        <f t="shared" si="0"/>
        <v>2619.995166666667</v>
      </c>
      <c r="F71" s="350">
        <f t="shared" si="1"/>
        <v>-112670.59216666657</v>
      </c>
      <c r="G71" s="299"/>
      <c r="H71" s="356">
        <f t="shared" si="2"/>
        <v>44539.917833333537</v>
      </c>
    </row>
    <row r="72" spans="1:8" x14ac:dyDescent="0.2">
      <c r="A72" s="342">
        <v>44</v>
      </c>
      <c r="B72" s="342"/>
      <c r="C72" s="355">
        <v>44532</v>
      </c>
      <c r="D72" s="299"/>
      <c r="E72" s="350">
        <f t="shared" si="0"/>
        <v>2619.995166666667</v>
      </c>
      <c r="F72" s="350">
        <f t="shared" si="1"/>
        <v>-115290.58733333323</v>
      </c>
      <c r="G72" s="299"/>
      <c r="H72" s="356">
        <f t="shared" si="2"/>
        <v>41919.922666666869</v>
      </c>
    </row>
    <row r="73" spans="1:8" x14ac:dyDescent="0.2">
      <c r="A73" s="342">
        <v>45</v>
      </c>
      <c r="B73" s="342"/>
      <c r="C73" s="355">
        <v>44563</v>
      </c>
      <c r="D73" s="299"/>
      <c r="E73" s="350">
        <f t="shared" si="0"/>
        <v>2619.995166666667</v>
      </c>
      <c r="F73" s="350">
        <f t="shared" si="1"/>
        <v>-117910.58249999989</v>
      </c>
      <c r="G73" s="299"/>
      <c r="H73" s="356">
        <f t="shared" si="2"/>
        <v>39299.927500000202</v>
      </c>
    </row>
    <row r="74" spans="1:8" x14ac:dyDescent="0.2">
      <c r="A74" s="342">
        <v>46</v>
      </c>
      <c r="B74" s="342"/>
      <c r="C74" s="355">
        <v>44594</v>
      </c>
      <c r="D74" s="299"/>
      <c r="E74" s="350">
        <f t="shared" si="0"/>
        <v>2619.995166666667</v>
      </c>
      <c r="F74" s="350">
        <f t="shared" si="1"/>
        <v>-120530.57766666655</v>
      </c>
      <c r="G74" s="299"/>
      <c r="H74" s="356">
        <f t="shared" si="2"/>
        <v>36679.932333333534</v>
      </c>
    </row>
    <row r="75" spans="1:8" x14ac:dyDescent="0.2">
      <c r="A75" s="342">
        <v>47</v>
      </c>
      <c r="B75" s="342"/>
      <c r="C75" s="355">
        <v>44622</v>
      </c>
      <c r="D75" s="299"/>
      <c r="E75" s="350">
        <f t="shared" si="0"/>
        <v>2619.995166666667</v>
      </c>
      <c r="F75" s="350">
        <f t="shared" si="1"/>
        <v>-123150.57283333321</v>
      </c>
      <c r="G75" s="299"/>
      <c r="H75" s="356">
        <f t="shared" si="2"/>
        <v>34059.937166666867</v>
      </c>
    </row>
    <row r="76" spans="1:8" x14ac:dyDescent="0.2">
      <c r="A76" s="342">
        <v>48</v>
      </c>
      <c r="B76" s="342"/>
      <c r="C76" s="355">
        <v>44653</v>
      </c>
      <c r="D76" s="299"/>
      <c r="E76" s="350">
        <f t="shared" si="0"/>
        <v>2619.995166666667</v>
      </c>
      <c r="F76" s="350">
        <f t="shared" si="1"/>
        <v>-125770.56799999987</v>
      </c>
      <c r="G76" s="299"/>
      <c r="H76" s="356">
        <f t="shared" si="2"/>
        <v>31439.942000000199</v>
      </c>
    </row>
    <row r="77" spans="1:8" x14ac:dyDescent="0.2">
      <c r="A77" s="342">
        <v>49</v>
      </c>
      <c r="B77" s="342"/>
      <c r="C77" s="355">
        <v>44683</v>
      </c>
      <c r="D77" s="299"/>
      <c r="E77" s="350">
        <f t="shared" si="0"/>
        <v>2619.995166666667</v>
      </c>
      <c r="F77" s="350">
        <f t="shared" si="1"/>
        <v>-128390.56316666653</v>
      </c>
      <c r="G77" s="299"/>
      <c r="H77" s="356">
        <f t="shared" si="2"/>
        <v>28819.946833333532</v>
      </c>
    </row>
    <row r="78" spans="1:8" x14ac:dyDescent="0.2">
      <c r="A78" s="342">
        <v>50</v>
      </c>
      <c r="B78" s="342"/>
      <c r="C78" s="355">
        <v>44714</v>
      </c>
      <c r="D78" s="299"/>
      <c r="E78" s="350">
        <f t="shared" si="0"/>
        <v>2619.995166666667</v>
      </c>
      <c r="F78" s="350">
        <f t="shared" si="1"/>
        <v>-131010.55833333319</v>
      </c>
      <c r="G78" s="299"/>
      <c r="H78" s="356">
        <f t="shared" si="2"/>
        <v>26199.951666666864</v>
      </c>
    </row>
    <row r="79" spans="1:8" x14ac:dyDescent="0.2">
      <c r="A79" s="342">
        <v>51</v>
      </c>
      <c r="B79" s="342"/>
      <c r="C79" s="355">
        <v>44744</v>
      </c>
      <c r="D79" s="299"/>
      <c r="E79" s="350">
        <f t="shared" si="0"/>
        <v>2619.995166666667</v>
      </c>
      <c r="F79" s="350">
        <f t="shared" si="1"/>
        <v>-133630.55349999986</v>
      </c>
      <c r="G79" s="299"/>
      <c r="H79" s="356">
        <f t="shared" si="2"/>
        <v>23579.956500000197</v>
      </c>
    </row>
    <row r="80" spans="1:8" x14ac:dyDescent="0.2">
      <c r="A80" s="342">
        <v>52</v>
      </c>
      <c r="B80" s="342"/>
      <c r="C80" s="355">
        <v>44775</v>
      </c>
      <c r="D80" s="299"/>
      <c r="E80" s="350">
        <f t="shared" si="0"/>
        <v>2619.995166666667</v>
      </c>
      <c r="F80" s="350">
        <f t="shared" si="1"/>
        <v>-136250.54866666652</v>
      </c>
      <c r="G80" s="299"/>
      <c r="H80" s="356">
        <f t="shared" si="2"/>
        <v>20959.961333333529</v>
      </c>
    </row>
    <row r="81" spans="1:8" x14ac:dyDescent="0.2">
      <c r="A81" s="342">
        <v>53</v>
      </c>
      <c r="B81" s="342"/>
      <c r="C81" s="355">
        <v>44806</v>
      </c>
      <c r="D81" s="299"/>
      <c r="E81" s="350">
        <f t="shared" si="0"/>
        <v>2619.995166666667</v>
      </c>
      <c r="F81" s="350">
        <f t="shared" si="1"/>
        <v>-138870.54383333318</v>
      </c>
      <c r="G81" s="299"/>
      <c r="H81" s="356">
        <f t="shared" si="2"/>
        <v>18339.966166666862</v>
      </c>
    </row>
    <row r="82" spans="1:8" x14ac:dyDescent="0.2">
      <c r="A82" s="342">
        <v>54</v>
      </c>
      <c r="B82" s="342"/>
      <c r="C82" s="355">
        <v>44836</v>
      </c>
      <c r="D82" s="299"/>
      <c r="E82" s="350">
        <f t="shared" si="0"/>
        <v>2619.995166666667</v>
      </c>
      <c r="F82" s="350">
        <f t="shared" si="1"/>
        <v>-141490.53899999984</v>
      </c>
      <c r="G82" s="299"/>
      <c r="H82" s="356">
        <f t="shared" si="2"/>
        <v>15719.971000000194</v>
      </c>
    </row>
    <row r="83" spans="1:8" x14ac:dyDescent="0.2">
      <c r="A83" s="342">
        <v>55</v>
      </c>
      <c r="B83" s="342"/>
      <c r="C83" s="355">
        <v>44867</v>
      </c>
      <c r="D83" s="299"/>
      <c r="E83" s="350">
        <f t="shared" si="0"/>
        <v>2619.995166666667</v>
      </c>
      <c r="F83" s="350">
        <f t="shared" si="1"/>
        <v>-144110.5341666665</v>
      </c>
      <c r="G83" s="299"/>
      <c r="H83" s="356">
        <f t="shared" si="2"/>
        <v>13099.975833333527</v>
      </c>
    </row>
    <row r="84" spans="1:8" x14ac:dyDescent="0.2">
      <c r="A84" s="342">
        <v>56</v>
      </c>
      <c r="B84" s="342"/>
      <c r="C84" s="349">
        <v>44897</v>
      </c>
      <c r="E84" s="341">
        <f t="shared" si="0"/>
        <v>2619.995166666667</v>
      </c>
      <c r="F84" s="341">
        <f t="shared" si="1"/>
        <v>-146730.52933333316</v>
      </c>
      <c r="H84" s="348">
        <f t="shared" si="2"/>
        <v>10479.980666666859</v>
      </c>
    </row>
    <row r="85" spans="1:8" x14ac:dyDescent="0.2">
      <c r="A85" s="342">
        <v>57</v>
      </c>
      <c r="B85" s="342"/>
      <c r="C85" s="349">
        <v>44928</v>
      </c>
      <c r="E85" s="341">
        <f t="shared" si="0"/>
        <v>2619.995166666667</v>
      </c>
      <c r="F85" s="341">
        <f t="shared" si="1"/>
        <v>-149350.52449999982</v>
      </c>
      <c r="H85" s="348">
        <f t="shared" si="2"/>
        <v>7859.9855000001917</v>
      </c>
    </row>
    <row r="86" spans="1:8" x14ac:dyDescent="0.2">
      <c r="A86" s="342">
        <v>58</v>
      </c>
      <c r="B86" s="342"/>
      <c r="C86" s="349">
        <v>44959</v>
      </c>
      <c r="E86" s="341">
        <f t="shared" si="0"/>
        <v>2619.995166666667</v>
      </c>
      <c r="F86" s="341">
        <f t="shared" si="1"/>
        <v>-151970.51966666649</v>
      </c>
      <c r="H86" s="348">
        <f t="shared" si="2"/>
        <v>5239.9903333335242</v>
      </c>
    </row>
    <row r="87" spans="1:8" x14ac:dyDescent="0.2">
      <c r="A87" s="342">
        <v>59</v>
      </c>
      <c r="B87" s="342"/>
      <c r="C87" s="349">
        <v>44987</v>
      </c>
      <c r="E87" s="341">
        <f t="shared" si="0"/>
        <v>2619.995166666667</v>
      </c>
      <c r="F87" s="341">
        <f t="shared" si="1"/>
        <v>-154590.51483333315</v>
      </c>
      <c r="H87" s="348">
        <f t="shared" si="2"/>
        <v>2619.9951666668571</v>
      </c>
    </row>
    <row r="88" spans="1:8" x14ac:dyDescent="0.2">
      <c r="A88" s="342">
        <v>60</v>
      </c>
      <c r="B88" s="342"/>
      <c r="C88" s="349">
        <v>45018</v>
      </c>
      <c r="E88" s="341">
        <f t="shared" si="0"/>
        <v>2619.995166666667</v>
      </c>
      <c r="F88" s="341">
        <f t="shared" si="1"/>
        <v>-157210.50999999981</v>
      </c>
      <c r="H88" s="348">
        <f t="shared" si="2"/>
        <v>1.90084392670542E-10</v>
      </c>
    </row>
    <row r="89" spans="1:8" x14ac:dyDescent="0.2">
      <c r="A89" s="342"/>
      <c r="B89" s="342"/>
      <c r="C89" s="349"/>
      <c r="E89" s="341"/>
      <c r="F89" s="341"/>
      <c r="H89" s="348"/>
    </row>
    <row r="90" spans="1:8" x14ac:dyDescent="0.2">
      <c r="A90" s="342"/>
      <c r="B90" s="342"/>
      <c r="C90" s="349"/>
      <c r="E90" s="341"/>
      <c r="F90" s="341"/>
      <c r="H90" s="348"/>
    </row>
    <row r="91" spans="1:8" x14ac:dyDescent="0.2">
      <c r="A91" s="342"/>
      <c r="B91" s="342"/>
      <c r="C91" s="349"/>
      <c r="E91" s="341"/>
      <c r="F91" s="341"/>
      <c r="H91" s="348"/>
    </row>
    <row r="92" spans="1:8" x14ac:dyDescent="0.2">
      <c r="A92" s="342"/>
      <c r="B92" s="342"/>
      <c r="C92" s="349"/>
      <c r="E92" s="341"/>
      <c r="F92" s="341"/>
      <c r="H92" s="348"/>
    </row>
    <row r="93" spans="1:8" x14ac:dyDescent="0.2">
      <c r="A93" s="342"/>
      <c r="B93" s="342"/>
      <c r="C93" s="349"/>
      <c r="E93" s="341"/>
      <c r="F93" s="341"/>
      <c r="H93" s="348"/>
    </row>
    <row r="94" spans="1:8" x14ac:dyDescent="0.2">
      <c r="A94" s="342"/>
      <c r="B94" s="342"/>
      <c r="C94" s="349"/>
      <c r="E94" s="341"/>
      <c r="F94" s="341"/>
      <c r="H94" s="348"/>
    </row>
    <row r="95" spans="1:8" x14ac:dyDescent="0.2">
      <c r="A95" s="342"/>
      <c r="B95" s="342"/>
      <c r="C95" s="349"/>
      <c r="E95" s="341"/>
      <c r="F95" s="341"/>
      <c r="H95" s="348"/>
    </row>
    <row r="96" spans="1:8" x14ac:dyDescent="0.2">
      <c r="A96" s="342"/>
      <c r="B96" s="342"/>
      <c r="C96" s="349"/>
      <c r="E96" s="341"/>
      <c r="F96" s="341"/>
      <c r="H96" s="348"/>
    </row>
    <row r="97" spans="1:8" x14ac:dyDescent="0.2">
      <c r="A97" s="342"/>
      <c r="B97" s="342"/>
      <c r="C97" s="349"/>
      <c r="E97" s="341"/>
      <c r="F97" s="341"/>
      <c r="H97" s="348"/>
    </row>
    <row r="98" spans="1:8" x14ac:dyDescent="0.2">
      <c r="A98" s="342"/>
      <c r="B98" s="342"/>
      <c r="C98" s="349"/>
      <c r="E98" s="341"/>
      <c r="F98" s="341"/>
      <c r="H98" s="348"/>
    </row>
    <row r="99" spans="1:8" x14ac:dyDescent="0.2">
      <c r="A99" s="342"/>
      <c r="B99" s="342"/>
      <c r="C99" s="349"/>
      <c r="E99" s="341"/>
      <c r="F99" s="341"/>
      <c r="H99" s="348"/>
    </row>
    <row r="100" spans="1:8" x14ac:dyDescent="0.2">
      <c r="A100" s="342"/>
      <c r="B100" s="342"/>
      <c r="C100" s="349"/>
      <c r="E100" s="341"/>
      <c r="F100" s="341"/>
      <c r="H100" s="348"/>
    </row>
    <row r="101" spans="1:8" x14ac:dyDescent="0.2">
      <c r="A101" s="342"/>
      <c r="B101" s="342"/>
      <c r="C101" s="349"/>
      <c r="E101" s="341"/>
      <c r="F101" s="341"/>
      <c r="H101" s="348"/>
    </row>
    <row r="102" spans="1:8" x14ac:dyDescent="0.2">
      <c r="A102" s="342"/>
      <c r="B102" s="342"/>
      <c r="C102" s="349"/>
      <c r="E102" s="341"/>
      <c r="F102" s="341"/>
      <c r="H102" s="348"/>
    </row>
    <row r="103" spans="1:8" x14ac:dyDescent="0.2">
      <c r="A103" s="342"/>
      <c r="B103" s="342"/>
      <c r="C103" s="349"/>
      <c r="E103" s="341"/>
      <c r="F103" s="341"/>
      <c r="H103" s="348"/>
    </row>
    <row r="104" spans="1:8" x14ac:dyDescent="0.2">
      <c r="A104" s="342"/>
      <c r="B104" s="342"/>
      <c r="C104" s="349"/>
      <c r="E104" s="341"/>
      <c r="F104" s="341"/>
      <c r="H104" s="348"/>
    </row>
    <row r="105" spans="1:8" x14ac:dyDescent="0.2">
      <c r="A105" s="342"/>
      <c r="B105" s="342"/>
      <c r="C105" s="349"/>
      <c r="E105" s="341"/>
      <c r="F105" s="341"/>
      <c r="H105" s="348"/>
    </row>
    <row r="106" spans="1:8" x14ac:dyDescent="0.2">
      <c r="A106" s="342"/>
      <c r="B106" s="342"/>
      <c r="C106" s="349"/>
      <c r="E106" s="341"/>
      <c r="F106" s="341"/>
      <c r="H106" s="348"/>
    </row>
    <row r="107" spans="1:8" x14ac:dyDescent="0.2">
      <c r="A107" s="342"/>
      <c r="B107" s="342"/>
      <c r="C107" s="349"/>
      <c r="E107" s="341"/>
      <c r="F107" s="341"/>
      <c r="H107" s="348"/>
    </row>
    <row r="108" spans="1:8" x14ac:dyDescent="0.2">
      <c r="A108" s="342"/>
      <c r="B108" s="342"/>
      <c r="C108" s="349"/>
      <c r="E108" s="341"/>
      <c r="F108" s="341"/>
      <c r="H108" s="348"/>
    </row>
    <row r="109" spans="1:8" x14ac:dyDescent="0.2">
      <c r="A109" s="342"/>
      <c r="B109" s="342"/>
      <c r="C109" s="349"/>
      <c r="E109" s="341"/>
      <c r="F109" s="341"/>
      <c r="H109" s="348"/>
    </row>
    <row r="110" spans="1:8" x14ac:dyDescent="0.2">
      <c r="A110" s="342"/>
      <c r="B110" s="342"/>
      <c r="C110" s="349"/>
      <c r="E110" s="341"/>
      <c r="F110" s="341"/>
      <c r="H110" s="348"/>
    </row>
    <row r="111" spans="1:8" x14ac:dyDescent="0.2">
      <c r="A111" s="342"/>
      <c r="B111" s="342"/>
      <c r="C111" s="349"/>
      <c r="E111" s="341"/>
      <c r="F111" s="341"/>
      <c r="H111" s="348"/>
    </row>
    <row r="112" spans="1:8" x14ac:dyDescent="0.2">
      <c r="A112" s="342"/>
      <c r="B112" s="342"/>
      <c r="C112" s="349"/>
      <c r="E112" s="341"/>
      <c r="F112" s="341"/>
      <c r="H112" s="348"/>
    </row>
    <row r="113" spans="1:8" x14ac:dyDescent="0.2">
      <c r="A113" s="342"/>
      <c r="B113" s="342"/>
      <c r="C113" s="349"/>
      <c r="E113" s="341"/>
      <c r="F113" s="341"/>
      <c r="H113" s="348"/>
    </row>
    <row r="114" spans="1:8" x14ac:dyDescent="0.2">
      <c r="A114" s="342"/>
      <c r="B114" s="342"/>
      <c r="C114" s="349"/>
      <c r="E114" s="341"/>
      <c r="F114" s="341"/>
      <c r="H114" s="348"/>
    </row>
    <row r="115" spans="1:8" x14ac:dyDescent="0.2">
      <c r="A115" s="342"/>
      <c r="B115" s="342"/>
      <c r="C115" s="349"/>
      <c r="E115" s="341"/>
      <c r="F115" s="341"/>
      <c r="H115" s="348"/>
    </row>
    <row r="116" spans="1:8" x14ac:dyDescent="0.2">
      <c r="A116" s="342"/>
      <c r="B116" s="342"/>
      <c r="C116" s="349"/>
      <c r="E116" s="341"/>
      <c r="F116" s="341"/>
      <c r="H116" s="348"/>
    </row>
    <row r="117" spans="1:8" x14ac:dyDescent="0.2">
      <c r="A117" s="342"/>
      <c r="B117" s="342"/>
      <c r="C117" s="349"/>
      <c r="E117" s="341"/>
      <c r="F117" s="341"/>
      <c r="H117" s="348"/>
    </row>
    <row r="118" spans="1:8" x14ac:dyDescent="0.2">
      <c r="A118" s="342"/>
      <c r="B118" s="342"/>
      <c r="C118" s="349"/>
      <c r="E118" s="341"/>
      <c r="F118" s="341"/>
      <c r="H118" s="348"/>
    </row>
    <row r="119" spans="1:8" x14ac:dyDescent="0.2">
      <c r="A119" s="342"/>
      <c r="B119" s="342"/>
      <c r="C119" s="349"/>
      <c r="E119" s="341"/>
      <c r="F119" s="341"/>
      <c r="H119" s="348"/>
    </row>
    <row r="120" spans="1:8" x14ac:dyDescent="0.2">
      <c r="A120" s="342"/>
      <c r="B120" s="342"/>
      <c r="C120" s="349"/>
      <c r="E120" s="341"/>
      <c r="F120" s="341"/>
      <c r="H120" s="348"/>
    </row>
    <row r="121" spans="1:8" x14ac:dyDescent="0.2">
      <c r="A121" s="342"/>
      <c r="B121" s="342"/>
      <c r="C121" s="349"/>
      <c r="E121" s="341"/>
      <c r="F121" s="341"/>
      <c r="H121" s="348"/>
    </row>
    <row r="122" spans="1:8" x14ac:dyDescent="0.2">
      <c r="A122" s="342"/>
      <c r="B122" s="342"/>
      <c r="C122" s="349"/>
      <c r="E122" s="341"/>
      <c r="F122" s="341"/>
      <c r="H122" s="348"/>
    </row>
    <row r="123" spans="1:8" x14ac:dyDescent="0.2">
      <c r="A123" s="342"/>
      <c r="B123" s="342"/>
      <c r="C123" s="349"/>
      <c r="E123" s="341"/>
      <c r="F123" s="341"/>
      <c r="H123" s="348"/>
    </row>
    <row r="124" spans="1:8" x14ac:dyDescent="0.2">
      <c r="A124" s="342"/>
      <c r="B124" s="342"/>
      <c r="C124" s="349"/>
      <c r="E124" s="341"/>
      <c r="F124" s="341"/>
      <c r="H124" s="348"/>
    </row>
    <row r="125" spans="1:8" x14ac:dyDescent="0.2">
      <c r="A125" s="342"/>
      <c r="B125" s="342"/>
      <c r="C125" s="349"/>
      <c r="E125" s="341"/>
      <c r="F125" s="341"/>
      <c r="H125" s="348"/>
    </row>
    <row r="126" spans="1:8" x14ac:dyDescent="0.2">
      <c r="A126" s="342"/>
      <c r="B126" s="342"/>
      <c r="C126" s="349"/>
      <c r="E126" s="341"/>
      <c r="F126" s="341"/>
      <c r="H126" s="348"/>
    </row>
    <row r="127" spans="1:8" x14ac:dyDescent="0.2">
      <c r="A127" s="342"/>
      <c r="B127" s="342"/>
      <c r="C127" s="349"/>
      <c r="E127" s="341"/>
      <c r="F127" s="341"/>
      <c r="H127" s="348"/>
    </row>
    <row r="128" spans="1:8" x14ac:dyDescent="0.2">
      <c r="A128" s="342"/>
      <c r="B128" s="342"/>
      <c r="C128" s="349"/>
      <c r="E128" s="341"/>
      <c r="F128" s="341"/>
      <c r="H128" s="348"/>
    </row>
    <row r="129" spans="1:8" x14ac:dyDescent="0.2">
      <c r="A129" s="342"/>
      <c r="B129" s="342"/>
      <c r="C129" s="349"/>
      <c r="E129" s="341"/>
      <c r="F129" s="341"/>
      <c r="H129" s="348"/>
    </row>
    <row r="130" spans="1:8" x14ac:dyDescent="0.2">
      <c r="A130" s="342"/>
      <c r="B130" s="342"/>
      <c r="C130" s="349"/>
      <c r="E130" s="341"/>
      <c r="F130" s="341"/>
      <c r="H130" s="348"/>
    </row>
    <row r="131" spans="1:8" x14ac:dyDescent="0.2">
      <c r="A131" s="342"/>
      <c r="B131" s="342"/>
      <c r="C131" s="349"/>
      <c r="E131" s="341"/>
      <c r="F131" s="341"/>
      <c r="H131" s="348"/>
    </row>
    <row r="132" spans="1:8" x14ac:dyDescent="0.2">
      <c r="A132" s="342"/>
      <c r="B132" s="342"/>
      <c r="C132" s="349"/>
      <c r="E132" s="341"/>
      <c r="F132" s="341"/>
      <c r="H132" s="348"/>
    </row>
    <row r="133" spans="1:8" x14ac:dyDescent="0.2">
      <c r="A133" s="342"/>
      <c r="B133" s="342"/>
      <c r="C133" s="349"/>
      <c r="E133" s="341"/>
      <c r="F133" s="341"/>
      <c r="H133" s="348"/>
    </row>
    <row r="134" spans="1:8" x14ac:dyDescent="0.2">
      <c r="A134" s="342"/>
      <c r="B134" s="342"/>
      <c r="C134" s="349"/>
      <c r="E134" s="341"/>
      <c r="F134" s="341"/>
      <c r="H134" s="348"/>
    </row>
    <row r="135" spans="1:8" x14ac:dyDescent="0.2">
      <c r="A135" s="342"/>
      <c r="B135" s="342"/>
      <c r="C135" s="349"/>
      <c r="E135" s="341"/>
      <c r="F135" s="341"/>
      <c r="H135" s="356"/>
    </row>
    <row r="136" spans="1:8" x14ac:dyDescent="0.2">
      <c r="A136" s="342"/>
      <c r="B136" s="342"/>
      <c r="C136" s="349"/>
      <c r="E136" s="350"/>
      <c r="F136" s="341"/>
      <c r="H136" s="348"/>
    </row>
    <row r="137" spans="1:8" x14ac:dyDescent="0.2">
      <c r="A137" s="342"/>
      <c r="B137" s="342"/>
      <c r="C137" s="349"/>
      <c r="E137" s="341"/>
      <c r="F137" s="341"/>
      <c r="H137" s="348"/>
    </row>
    <row r="138" spans="1:8" x14ac:dyDescent="0.2">
      <c r="A138" s="342"/>
      <c r="B138" s="342"/>
      <c r="C138" s="349"/>
      <c r="E138" s="341"/>
      <c r="F138" s="341"/>
      <c r="H138" s="348"/>
    </row>
    <row r="139" spans="1:8" x14ac:dyDescent="0.2">
      <c r="A139" s="342"/>
      <c r="B139" s="342"/>
      <c r="C139" s="349"/>
      <c r="E139" s="341"/>
      <c r="F139" s="341"/>
      <c r="H139" s="348"/>
    </row>
    <row r="140" spans="1:8" x14ac:dyDescent="0.2">
      <c r="A140" s="342"/>
      <c r="B140" s="342"/>
      <c r="C140" s="349"/>
      <c r="E140" s="341"/>
      <c r="F140" s="341"/>
      <c r="H140" s="348"/>
    </row>
    <row r="141" spans="1:8" x14ac:dyDescent="0.2">
      <c r="A141" s="342"/>
      <c r="B141" s="342"/>
      <c r="C141" s="349"/>
      <c r="E141" s="341"/>
      <c r="F141" s="341"/>
      <c r="H141" s="348"/>
    </row>
    <row r="142" spans="1:8" x14ac:dyDescent="0.2">
      <c r="A142" s="342"/>
      <c r="B142" s="342"/>
      <c r="C142" s="349"/>
      <c r="E142" s="341"/>
      <c r="F142" s="341"/>
      <c r="H142" s="348"/>
    </row>
    <row r="143" spans="1:8" x14ac:dyDescent="0.2">
      <c r="A143" s="342"/>
      <c r="B143" s="342"/>
      <c r="C143" s="349"/>
      <c r="E143" s="341"/>
      <c r="F143" s="341"/>
      <c r="H143" s="348"/>
    </row>
    <row r="144" spans="1:8" x14ac:dyDescent="0.2">
      <c r="A144" s="342"/>
      <c r="B144" s="342"/>
      <c r="C144" s="349"/>
      <c r="E144" s="341"/>
      <c r="F144" s="341"/>
      <c r="H144" s="348"/>
    </row>
    <row r="145" spans="1:8" x14ac:dyDescent="0.2">
      <c r="A145" s="342"/>
      <c r="B145" s="342"/>
      <c r="C145" s="349"/>
      <c r="E145" s="341"/>
      <c r="F145" s="341"/>
      <c r="H145" s="348"/>
    </row>
    <row r="146" spans="1:8" x14ac:dyDescent="0.2">
      <c r="A146" s="342"/>
      <c r="B146" s="342"/>
      <c r="C146" s="349"/>
      <c r="E146" s="341"/>
      <c r="F146" s="341"/>
      <c r="H146" s="348"/>
    </row>
    <row r="147" spans="1:8" x14ac:dyDescent="0.2">
      <c r="A147" s="342"/>
      <c r="B147" s="342"/>
      <c r="C147" s="349"/>
      <c r="E147" s="341"/>
      <c r="F147" s="341"/>
      <c r="H147" s="348"/>
    </row>
    <row r="148" spans="1:8" x14ac:dyDescent="0.2">
      <c r="A148" s="342"/>
      <c r="B148" s="342"/>
      <c r="C148" s="349"/>
      <c r="E148" s="341"/>
      <c r="F148" s="341"/>
      <c r="H148" s="348"/>
    </row>
    <row r="149" spans="1:8" x14ac:dyDescent="0.2">
      <c r="A149" s="342"/>
      <c r="B149" s="342"/>
    </row>
    <row r="150" spans="1:8" x14ac:dyDescent="0.2">
      <c r="A150" s="342"/>
      <c r="B150" s="342"/>
    </row>
    <row r="151" spans="1:8" x14ac:dyDescent="0.2">
      <c r="A151" s="342"/>
      <c r="B151" s="342"/>
    </row>
    <row r="152" spans="1:8" x14ac:dyDescent="0.2">
      <c r="A152" s="342"/>
      <c r="B152" s="342"/>
    </row>
    <row r="153" spans="1:8" x14ac:dyDescent="0.2">
      <c r="A153" s="342"/>
      <c r="B153" s="342"/>
    </row>
    <row r="154" spans="1:8" x14ac:dyDescent="0.2">
      <c r="A154" s="342"/>
      <c r="B154" s="342"/>
    </row>
    <row r="155" spans="1:8" x14ac:dyDescent="0.2">
      <c r="A155" s="342"/>
      <c r="B155" s="342"/>
    </row>
    <row r="156" spans="1:8" x14ac:dyDescent="0.2">
      <c r="A156" s="342"/>
      <c r="B156" s="342"/>
    </row>
    <row r="157" spans="1:8" x14ac:dyDescent="0.2">
      <c r="A157" s="342"/>
      <c r="B157" s="342"/>
    </row>
    <row r="158" spans="1:8" x14ac:dyDescent="0.2">
      <c r="A158" s="342"/>
      <c r="B158" s="342"/>
    </row>
    <row r="159" spans="1:8" x14ac:dyDescent="0.2">
      <c r="A159" s="342"/>
      <c r="B159" s="342"/>
    </row>
    <row r="160" spans="1:8" x14ac:dyDescent="0.2">
      <c r="A160" s="342"/>
      <c r="B160" s="342"/>
    </row>
    <row r="161" spans="1:2" x14ac:dyDescent="0.2">
      <c r="A161" s="342"/>
      <c r="B161" s="342"/>
    </row>
    <row r="162" spans="1:2" x14ac:dyDescent="0.2">
      <c r="A162" s="342"/>
      <c r="B162" s="342"/>
    </row>
    <row r="163" spans="1:2" x14ac:dyDescent="0.2">
      <c r="A163" s="342"/>
      <c r="B163" s="342"/>
    </row>
    <row r="164" spans="1:2" x14ac:dyDescent="0.2">
      <c r="A164" s="342"/>
      <c r="B164" s="342"/>
    </row>
    <row r="165" spans="1:2" x14ac:dyDescent="0.2">
      <c r="A165" s="342"/>
      <c r="B165" s="342"/>
    </row>
    <row r="166" spans="1:2" x14ac:dyDescent="0.2">
      <c r="A166" s="342"/>
      <c r="B166" s="342"/>
    </row>
    <row r="167" spans="1:2" x14ac:dyDescent="0.2">
      <c r="A167" s="342"/>
      <c r="B167" s="342"/>
    </row>
    <row r="168" spans="1:2" x14ac:dyDescent="0.2">
      <c r="A168" s="342"/>
      <c r="B168" s="342"/>
    </row>
    <row r="169" spans="1:2" x14ac:dyDescent="0.2">
      <c r="A169" s="342"/>
      <c r="B169" s="342"/>
    </row>
    <row r="170" spans="1:2" x14ac:dyDescent="0.2">
      <c r="A170" s="342"/>
      <c r="B170" s="342"/>
    </row>
    <row r="171" spans="1:2" x14ac:dyDescent="0.2">
      <c r="A171" s="342"/>
      <c r="B171" s="342"/>
    </row>
    <row r="172" spans="1:2" x14ac:dyDescent="0.2">
      <c r="A172" s="342"/>
      <c r="B172" s="342"/>
    </row>
    <row r="173" spans="1:2" x14ac:dyDescent="0.2">
      <c r="A173" s="342"/>
      <c r="B173" s="342"/>
    </row>
    <row r="174" spans="1:2" x14ac:dyDescent="0.2">
      <c r="A174" s="342"/>
      <c r="B174" s="342"/>
    </row>
    <row r="175" spans="1:2" x14ac:dyDescent="0.2">
      <c r="A175" s="342"/>
      <c r="B175" s="342"/>
    </row>
    <row r="176" spans="1:2"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sheetData>
  <mergeCells count="2">
    <mergeCell ref="A1:H1"/>
    <mergeCell ref="A3:H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9"/>
  <sheetViews>
    <sheetView view="pageLayout" zoomScaleNormal="100" workbookViewId="0">
      <selection activeCell="E9" sqref="E9"/>
    </sheetView>
  </sheetViews>
  <sheetFormatPr defaultRowHeight="12.75" x14ac:dyDescent="0.2"/>
  <cols>
    <col min="1" max="1" width="16.28515625" style="304" customWidth="1"/>
    <col min="2" max="2" width="13.7109375" style="304" customWidth="1"/>
    <col min="3" max="3" width="9.28515625" style="304" customWidth="1"/>
    <col min="4" max="4" width="15.7109375" style="304" bestFit="1" customWidth="1"/>
    <col min="5" max="5" width="26.42578125" style="304" customWidth="1"/>
    <col min="6" max="6" width="5.7109375" style="304" customWidth="1"/>
    <col min="7" max="7" width="13.85546875" style="304" bestFit="1" customWidth="1"/>
    <col min="8" max="8" width="9.140625" style="304"/>
    <col min="9" max="9" width="11.140625" style="304" bestFit="1" customWidth="1"/>
    <col min="10" max="256" width="9.140625" style="304"/>
    <col min="257" max="257" width="16.28515625" style="304" customWidth="1"/>
    <col min="258" max="258" width="13.7109375" style="304" customWidth="1"/>
    <col min="259" max="259" width="9.28515625" style="304" customWidth="1"/>
    <col min="260" max="260" width="15.7109375" style="304" bestFit="1" customWidth="1"/>
    <col min="261" max="261" width="26.42578125" style="304" customWidth="1"/>
    <col min="262" max="262" width="5.7109375" style="304" customWidth="1"/>
    <col min="263" max="263" width="13.85546875" style="304" bestFit="1" customWidth="1"/>
    <col min="264" max="264" width="9.140625" style="304"/>
    <col min="265" max="265" width="11.140625" style="304" bestFit="1" customWidth="1"/>
    <col min="266" max="512" width="9.140625" style="304"/>
    <col min="513" max="513" width="16.28515625" style="304" customWidth="1"/>
    <col min="514" max="514" width="13.7109375" style="304" customWidth="1"/>
    <col min="515" max="515" width="9.28515625" style="304" customWidth="1"/>
    <col min="516" max="516" width="15.7109375" style="304" bestFit="1" customWidth="1"/>
    <col min="517" max="517" width="26.42578125" style="304" customWidth="1"/>
    <col min="518" max="518" width="5.7109375" style="304" customWidth="1"/>
    <col min="519" max="519" width="13.85546875" style="304" bestFit="1" customWidth="1"/>
    <col min="520" max="520" width="9.140625" style="304"/>
    <col min="521" max="521" width="11.140625" style="304" bestFit="1" customWidth="1"/>
    <col min="522" max="768" width="9.140625" style="304"/>
    <col min="769" max="769" width="16.28515625" style="304" customWidth="1"/>
    <col min="770" max="770" width="13.7109375" style="304" customWidth="1"/>
    <col min="771" max="771" width="9.28515625" style="304" customWidth="1"/>
    <col min="772" max="772" width="15.7109375" style="304" bestFit="1" customWidth="1"/>
    <col min="773" max="773" width="26.42578125" style="304" customWidth="1"/>
    <col min="774" max="774" width="5.7109375" style="304" customWidth="1"/>
    <col min="775" max="775" width="13.85546875" style="304" bestFit="1" customWidth="1"/>
    <col min="776" max="776" width="9.140625" style="304"/>
    <col min="777" max="777" width="11.140625" style="304" bestFit="1" customWidth="1"/>
    <col min="778" max="1024" width="9.140625" style="304"/>
    <col min="1025" max="1025" width="16.28515625" style="304" customWidth="1"/>
    <col min="1026" max="1026" width="13.7109375" style="304" customWidth="1"/>
    <col min="1027" max="1027" width="9.28515625" style="304" customWidth="1"/>
    <col min="1028" max="1028" width="15.7109375" style="304" bestFit="1" customWidth="1"/>
    <col min="1029" max="1029" width="26.42578125" style="304" customWidth="1"/>
    <col min="1030" max="1030" width="5.7109375" style="304" customWidth="1"/>
    <col min="1031" max="1031" width="13.85546875" style="304" bestFit="1" customWidth="1"/>
    <col min="1032" max="1032" width="9.140625" style="304"/>
    <col min="1033" max="1033" width="11.140625" style="304" bestFit="1" customWidth="1"/>
    <col min="1034" max="1280" width="9.140625" style="304"/>
    <col min="1281" max="1281" width="16.28515625" style="304" customWidth="1"/>
    <col min="1282" max="1282" width="13.7109375" style="304" customWidth="1"/>
    <col min="1283" max="1283" width="9.28515625" style="304" customWidth="1"/>
    <col min="1284" max="1284" width="15.7109375" style="304" bestFit="1" customWidth="1"/>
    <col min="1285" max="1285" width="26.42578125" style="304" customWidth="1"/>
    <col min="1286" max="1286" width="5.7109375" style="304" customWidth="1"/>
    <col min="1287" max="1287" width="13.85546875" style="304" bestFit="1" customWidth="1"/>
    <col min="1288" max="1288" width="9.140625" style="304"/>
    <col min="1289" max="1289" width="11.140625" style="304" bestFit="1" customWidth="1"/>
    <col min="1290" max="1536" width="9.140625" style="304"/>
    <col min="1537" max="1537" width="16.28515625" style="304" customWidth="1"/>
    <col min="1538" max="1538" width="13.7109375" style="304" customWidth="1"/>
    <col min="1539" max="1539" width="9.28515625" style="304" customWidth="1"/>
    <col min="1540" max="1540" width="15.7109375" style="304" bestFit="1" customWidth="1"/>
    <col min="1541" max="1541" width="26.42578125" style="304" customWidth="1"/>
    <col min="1542" max="1542" width="5.7109375" style="304" customWidth="1"/>
    <col min="1543" max="1543" width="13.85546875" style="304" bestFit="1" customWidth="1"/>
    <col min="1544" max="1544" width="9.140625" style="304"/>
    <col min="1545" max="1545" width="11.140625" style="304" bestFit="1" customWidth="1"/>
    <col min="1546" max="1792" width="9.140625" style="304"/>
    <col min="1793" max="1793" width="16.28515625" style="304" customWidth="1"/>
    <col min="1794" max="1794" width="13.7109375" style="304" customWidth="1"/>
    <col min="1795" max="1795" width="9.28515625" style="304" customWidth="1"/>
    <col min="1796" max="1796" width="15.7109375" style="304" bestFit="1" customWidth="1"/>
    <col min="1797" max="1797" width="26.42578125" style="304" customWidth="1"/>
    <col min="1798" max="1798" width="5.7109375" style="304" customWidth="1"/>
    <col min="1799" max="1799" width="13.85546875" style="304" bestFit="1" customWidth="1"/>
    <col min="1800" max="1800" width="9.140625" style="304"/>
    <col min="1801" max="1801" width="11.140625" style="304" bestFit="1" customWidth="1"/>
    <col min="1802" max="2048" width="9.140625" style="304"/>
    <col min="2049" max="2049" width="16.28515625" style="304" customWidth="1"/>
    <col min="2050" max="2050" width="13.7109375" style="304" customWidth="1"/>
    <col min="2051" max="2051" width="9.28515625" style="304" customWidth="1"/>
    <col min="2052" max="2052" width="15.7109375" style="304" bestFit="1" customWidth="1"/>
    <col min="2053" max="2053" width="26.42578125" style="304" customWidth="1"/>
    <col min="2054" max="2054" width="5.7109375" style="304" customWidth="1"/>
    <col min="2055" max="2055" width="13.85546875" style="304" bestFit="1" customWidth="1"/>
    <col min="2056" max="2056" width="9.140625" style="304"/>
    <col min="2057" max="2057" width="11.140625" style="304" bestFit="1" customWidth="1"/>
    <col min="2058" max="2304" width="9.140625" style="304"/>
    <col min="2305" max="2305" width="16.28515625" style="304" customWidth="1"/>
    <col min="2306" max="2306" width="13.7109375" style="304" customWidth="1"/>
    <col min="2307" max="2307" width="9.28515625" style="304" customWidth="1"/>
    <col min="2308" max="2308" width="15.7109375" style="304" bestFit="1" customWidth="1"/>
    <col min="2309" max="2309" width="26.42578125" style="304" customWidth="1"/>
    <col min="2310" max="2310" width="5.7109375" style="304" customWidth="1"/>
    <col min="2311" max="2311" width="13.85546875" style="304" bestFit="1" customWidth="1"/>
    <col min="2312" max="2312" width="9.140625" style="304"/>
    <col min="2313" max="2313" width="11.140625" style="304" bestFit="1" customWidth="1"/>
    <col min="2314" max="2560" width="9.140625" style="304"/>
    <col min="2561" max="2561" width="16.28515625" style="304" customWidth="1"/>
    <col min="2562" max="2562" width="13.7109375" style="304" customWidth="1"/>
    <col min="2563" max="2563" width="9.28515625" style="304" customWidth="1"/>
    <col min="2564" max="2564" width="15.7109375" style="304" bestFit="1" customWidth="1"/>
    <col min="2565" max="2565" width="26.42578125" style="304" customWidth="1"/>
    <col min="2566" max="2566" width="5.7109375" style="304" customWidth="1"/>
    <col min="2567" max="2567" width="13.85546875" style="304" bestFit="1" customWidth="1"/>
    <col min="2568" max="2568" width="9.140625" style="304"/>
    <col min="2569" max="2569" width="11.140625" style="304" bestFit="1" customWidth="1"/>
    <col min="2570" max="2816" width="9.140625" style="304"/>
    <col min="2817" max="2817" width="16.28515625" style="304" customWidth="1"/>
    <col min="2818" max="2818" width="13.7109375" style="304" customWidth="1"/>
    <col min="2819" max="2819" width="9.28515625" style="304" customWidth="1"/>
    <col min="2820" max="2820" width="15.7109375" style="304" bestFit="1" customWidth="1"/>
    <col min="2821" max="2821" width="26.42578125" style="304" customWidth="1"/>
    <col min="2822" max="2822" width="5.7109375" style="304" customWidth="1"/>
    <col min="2823" max="2823" width="13.85546875" style="304" bestFit="1" customWidth="1"/>
    <col min="2824" max="2824" width="9.140625" style="304"/>
    <col min="2825" max="2825" width="11.140625" style="304" bestFit="1" customWidth="1"/>
    <col min="2826" max="3072" width="9.140625" style="304"/>
    <col min="3073" max="3073" width="16.28515625" style="304" customWidth="1"/>
    <col min="3074" max="3074" width="13.7109375" style="304" customWidth="1"/>
    <col min="3075" max="3075" width="9.28515625" style="304" customWidth="1"/>
    <col min="3076" max="3076" width="15.7109375" style="304" bestFit="1" customWidth="1"/>
    <col min="3077" max="3077" width="26.42578125" style="304" customWidth="1"/>
    <col min="3078" max="3078" width="5.7109375" style="304" customWidth="1"/>
    <col min="3079" max="3079" width="13.85546875" style="304" bestFit="1" customWidth="1"/>
    <col min="3080" max="3080" width="9.140625" style="304"/>
    <col min="3081" max="3081" width="11.140625" style="304" bestFit="1" customWidth="1"/>
    <col min="3082" max="3328" width="9.140625" style="304"/>
    <col min="3329" max="3329" width="16.28515625" style="304" customWidth="1"/>
    <col min="3330" max="3330" width="13.7109375" style="304" customWidth="1"/>
    <col min="3331" max="3331" width="9.28515625" style="304" customWidth="1"/>
    <col min="3332" max="3332" width="15.7109375" style="304" bestFit="1" customWidth="1"/>
    <col min="3333" max="3333" width="26.42578125" style="304" customWidth="1"/>
    <col min="3334" max="3334" width="5.7109375" style="304" customWidth="1"/>
    <col min="3335" max="3335" width="13.85546875" style="304" bestFit="1" customWidth="1"/>
    <col min="3336" max="3336" width="9.140625" style="304"/>
    <col min="3337" max="3337" width="11.140625" style="304" bestFit="1" customWidth="1"/>
    <col min="3338" max="3584" width="9.140625" style="304"/>
    <col min="3585" max="3585" width="16.28515625" style="304" customWidth="1"/>
    <col min="3586" max="3586" width="13.7109375" style="304" customWidth="1"/>
    <col min="3587" max="3587" width="9.28515625" style="304" customWidth="1"/>
    <col min="3588" max="3588" width="15.7109375" style="304" bestFit="1" customWidth="1"/>
    <col min="3589" max="3589" width="26.42578125" style="304" customWidth="1"/>
    <col min="3590" max="3590" width="5.7109375" style="304" customWidth="1"/>
    <col min="3591" max="3591" width="13.85546875" style="304" bestFit="1" customWidth="1"/>
    <col min="3592" max="3592" width="9.140625" style="304"/>
    <col min="3593" max="3593" width="11.140625" style="304" bestFit="1" customWidth="1"/>
    <col min="3594" max="3840" width="9.140625" style="304"/>
    <col min="3841" max="3841" width="16.28515625" style="304" customWidth="1"/>
    <col min="3842" max="3842" width="13.7109375" style="304" customWidth="1"/>
    <col min="3843" max="3843" width="9.28515625" style="304" customWidth="1"/>
    <col min="3844" max="3844" width="15.7109375" style="304" bestFit="1" customWidth="1"/>
    <col min="3845" max="3845" width="26.42578125" style="304" customWidth="1"/>
    <col min="3846" max="3846" width="5.7109375" style="304" customWidth="1"/>
    <col min="3847" max="3847" width="13.85546875" style="304" bestFit="1" customWidth="1"/>
    <col min="3848" max="3848" width="9.140625" style="304"/>
    <col min="3849" max="3849" width="11.140625" style="304" bestFit="1" customWidth="1"/>
    <col min="3850" max="4096" width="9.140625" style="304"/>
    <col min="4097" max="4097" width="16.28515625" style="304" customWidth="1"/>
    <col min="4098" max="4098" width="13.7109375" style="304" customWidth="1"/>
    <col min="4099" max="4099" width="9.28515625" style="304" customWidth="1"/>
    <col min="4100" max="4100" width="15.7109375" style="304" bestFit="1" customWidth="1"/>
    <col min="4101" max="4101" width="26.42578125" style="304" customWidth="1"/>
    <col min="4102" max="4102" width="5.7109375" style="304" customWidth="1"/>
    <col min="4103" max="4103" width="13.85546875" style="304" bestFit="1" customWidth="1"/>
    <col min="4104" max="4104" width="9.140625" style="304"/>
    <col min="4105" max="4105" width="11.140625" style="304" bestFit="1" customWidth="1"/>
    <col min="4106" max="4352" width="9.140625" style="304"/>
    <col min="4353" max="4353" width="16.28515625" style="304" customWidth="1"/>
    <col min="4354" max="4354" width="13.7109375" style="304" customWidth="1"/>
    <col min="4355" max="4355" width="9.28515625" style="304" customWidth="1"/>
    <col min="4356" max="4356" width="15.7109375" style="304" bestFit="1" customWidth="1"/>
    <col min="4357" max="4357" width="26.42578125" style="304" customWidth="1"/>
    <col min="4358" max="4358" width="5.7109375" style="304" customWidth="1"/>
    <col min="4359" max="4359" width="13.85546875" style="304" bestFit="1" customWidth="1"/>
    <col min="4360" max="4360" width="9.140625" style="304"/>
    <col min="4361" max="4361" width="11.140625" style="304" bestFit="1" customWidth="1"/>
    <col min="4362" max="4608" width="9.140625" style="304"/>
    <col min="4609" max="4609" width="16.28515625" style="304" customWidth="1"/>
    <col min="4610" max="4610" width="13.7109375" style="304" customWidth="1"/>
    <col min="4611" max="4611" width="9.28515625" style="304" customWidth="1"/>
    <col min="4612" max="4612" width="15.7109375" style="304" bestFit="1" customWidth="1"/>
    <col min="4613" max="4613" width="26.42578125" style="304" customWidth="1"/>
    <col min="4614" max="4614" width="5.7109375" style="304" customWidth="1"/>
    <col min="4615" max="4615" width="13.85546875" style="304" bestFit="1" customWidth="1"/>
    <col min="4616" max="4616" width="9.140625" style="304"/>
    <col min="4617" max="4617" width="11.140625" style="304" bestFit="1" customWidth="1"/>
    <col min="4618" max="4864" width="9.140625" style="304"/>
    <col min="4865" max="4865" width="16.28515625" style="304" customWidth="1"/>
    <col min="4866" max="4866" width="13.7109375" style="304" customWidth="1"/>
    <col min="4867" max="4867" width="9.28515625" style="304" customWidth="1"/>
    <col min="4868" max="4868" width="15.7109375" style="304" bestFit="1" customWidth="1"/>
    <col min="4869" max="4869" width="26.42578125" style="304" customWidth="1"/>
    <col min="4870" max="4870" width="5.7109375" style="304" customWidth="1"/>
    <col min="4871" max="4871" width="13.85546875" style="304" bestFit="1" customWidth="1"/>
    <col min="4872" max="4872" width="9.140625" style="304"/>
    <col min="4873" max="4873" width="11.140625" style="304" bestFit="1" customWidth="1"/>
    <col min="4874" max="5120" width="9.140625" style="304"/>
    <col min="5121" max="5121" width="16.28515625" style="304" customWidth="1"/>
    <col min="5122" max="5122" width="13.7109375" style="304" customWidth="1"/>
    <col min="5123" max="5123" width="9.28515625" style="304" customWidth="1"/>
    <col min="5124" max="5124" width="15.7109375" style="304" bestFit="1" customWidth="1"/>
    <col min="5125" max="5125" width="26.42578125" style="304" customWidth="1"/>
    <col min="5126" max="5126" width="5.7109375" style="304" customWidth="1"/>
    <col min="5127" max="5127" width="13.85546875" style="304" bestFit="1" customWidth="1"/>
    <col min="5128" max="5128" width="9.140625" style="304"/>
    <col min="5129" max="5129" width="11.140625" style="304" bestFit="1" customWidth="1"/>
    <col min="5130" max="5376" width="9.140625" style="304"/>
    <col min="5377" max="5377" width="16.28515625" style="304" customWidth="1"/>
    <col min="5378" max="5378" width="13.7109375" style="304" customWidth="1"/>
    <col min="5379" max="5379" width="9.28515625" style="304" customWidth="1"/>
    <col min="5380" max="5380" width="15.7109375" style="304" bestFit="1" customWidth="1"/>
    <col min="5381" max="5381" width="26.42578125" style="304" customWidth="1"/>
    <col min="5382" max="5382" width="5.7109375" style="304" customWidth="1"/>
    <col min="5383" max="5383" width="13.85546875" style="304" bestFit="1" customWidth="1"/>
    <col min="5384" max="5384" width="9.140625" style="304"/>
    <col min="5385" max="5385" width="11.140625" style="304" bestFit="1" customWidth="1"/>
    <col min="5386" max="5632" width="9.140625" style="304"/>
    <col min="5633" max="5633" width="16.28515625" style="304" customWidth="1"/>
    <col min="5634" max="5634" width="13.7109375" style="304" customWidth="1"/>
    <col min="5635" max="5635" width="9.28515625" style="304" customWidth="1"/>
    <col min="5636" max="5636" width="15.7109375" style="304" bestFit="1" customWidth="1"/>
    <col min="5637" max="5637" width="26.42578125" style="304" customWidth="1"/>
    <col min="5638" max="5638" width="5.7109375" style="304" customWidth="1"/>
    <col min="5639" max="5639" width="13.85546875" style="304" bestFit="1" customWidth="1"/>
    <col min="5640" max="5640" width="9.140625" style="304"/>
    <col min="5641" max="5641" width="11.140625" style="304" bestFit="1" customWidth="1"/>
    <col min="5642" max="5888" width="9.140625" style="304"/>
    <col min="5889" max="5889" width="16.28515625" style="304" customWidth="1"/>
    <col min="5890" max="5890" width="13.7109375" style="304" customWidth="1"/>
    <col min="5891" max="5891" width="9.28515625" style="304" customWidth="1"/>
    <col min="5892" max="5892" width="15.7109375" style="304" bestFit="1" customWidth="1"/>
    <col min="5893" max="5893" width="26.42578125" style="304" customWidth="1"/>
    <col min="5894" max="5894" width="5.7109375" style="304" customWidth="1"/>
    <col min="5895" max="5895" width="13.85546875" style="304" bestFit="1" customWidth="1"/>
    <col min="5896" max="5896" width="9.140625" style="304"/>
    <col min="5897" max="5897" width="11.140625" style="304" bestFit="1" customWidth="1"/>
    <col min="5898" max="6144" width="9.140625" style="304"/>
    <col min="6145" max="6145" width="16.28515625" style="304" customWidth="1"/>
    <col min="6146" max="6146" width="13.7109375" style="304" customWidth="1"/>
    <col min="6147" max="6147" width="9.28515625" style="304" customWidth="1"/>
    <col min="6148" max="6148" width="15.7109375" style="304" bestFit="1" customWidth="1"/>
    <col min="6149" max="6149" width="26.42578125" style="304" customWidth="1"/>
    <col min="6150" max="6150" width="5.7109375" style="304" customWidth="1"/>
    <col min="6151" max="6151" width="13.85546875" style="304" bestFit="1" customWidth="1"/>
    <col min="6152" max="6152" width="9.140625" style="304"/>
    <col min="6153" max="6153" width="11.140625" style="304" bestFit="1" customWidth="1"/>
    <col min="6154" max="6400" width="9.140625" style="304"/>
    <col min="6401" max="6401" width="16.28515625" style="304" customWidth="1"/>
    <col min="6402" max="6402" width="13.7109375" style="304" customWidth="1"/>
    <col min="6403" max="6403" width="9.28515625" style="304" customWidth="1"/>
    <col min="6404" max="6404" width="15.7109375" style="304" bestFit="1" customWidth="1"/>
    <col min="6405" max="6405" width="26.42578125" style="304" customWidth="1"/>
    <col min="6406" max="6406" width="5.7109375" style="304" customWidth="1"/>
    <col min="6407" max="6407" width="13.85546875" style="304" bestFit="1" customWidth="1"/>
    <col min="6408" max="6408" width="9.140625" style="304"/>
    <col min="6409" max="6409" width="11.140625" style="304" bestFit="1" customWidth="1"/>
    <col min="6410" max="6656" width="9.140625" style="304"/>
    <col min="6657" max="6657" width="16.28515625" style="304" customWidth="1"/>
    <col min="6658" max="6658" width="13.7109375" style="304" customWidth="1"/>
    <col min="6659" max="6659" width="9.28515625" style="304" customWidth="1"/>
    <col min="6660" max="6660" width="15.7109375" style="304" bestFit="1" customWidth="1"/>
    <col min="6661" max="6661" width="26.42578125" style="304" customWidth="1"/>
    <col min="6662" max="6662" width="5.7109375" style="304" customWidth="1"/>
    <col min="6663" max="6663" width="13.85546875" style="304" bestFit="1" customWidth="1"/>
    <col min="6664" max="6664" width="9.140625" style="304"/>
    <col min="6665" max="6665" width="11.140625" style="304" bestFit="1" customWidth="1"/>
    <col min="6666" max="6912" width="9.140625" style="304"/>
    <col min="6913" max="6913" width="16.28515625" style="304" customWidth="1"/>
    <col min="6914" max="6914" width="13.7109375" style="304" customWidth="1"/>
    <col min="6915" max="6915" width="9.28515625" style="304" customWidth="1"/>
    <col min="6916" max="6916" width="15.7109375" style="304" bestFit="1" customWidth="1"/>
    <col min="6917" max="6917" width="26.42578125" style="304" customWidth="1"/>
    <col min="6918" max="6918" width="5.7109375" style="304" customWidth="1"/>
    <col min="6919" max="6919" width="13.85546875" style="304" bestFit="1" customWidth="1"/>
    <col min="6920" max="6920" width="9.140625" style="304"/>
    <col min="6921" max="6921" width="11.140625" style="304" bestFit="1" customWidth="1"/>
    <col min="6922" max="7168" width="9.140625" style="304"/>
    <col min="7169" max="7169" width="16.28515625" style="304" customWidth="1"/>
    <col min="7170" max="7170" width="13.7109375" style="304" customWidth="1"/>
    <col min="7171" max="7171" width="9.28515625" style="304" customWidth="1"/>
    <col min="7172" max="7172" width="15.7109375" style="304" bestFit="1" customWidth="1"/>
    <col min="7173" max="7173" width="26.42578125" style="304" customWidth="1"/>
    <col min="7174" max="7174" width="5.7109375" style="304" customWidth="1"/>
    <col min="7175" max="7175" width="13.85546875" style="304" bestFit="1" customWidth="1"/>
    <col min="7176" max="7176" width="9.140625" style="304"/>
    <col min="7177" max="7177" width="11.140625" style="304" bestFit="1" customWidth="1"/>
    <col min="7178" max="7424" width="9.140625" style="304"/>
    <col min="7425" max="7425" width="16.28515625" style="304" customWidth="1"/>
    <col min="7426" max="7426" width="13.7109375" style="304" customWidth="1"/>
    <col min="7427" max="7427" width="9.28515625" style="304" customWidth="1"/>
    <col min="7428" max="7428" width="15.7109375" style="304" bestFit="1" customWidth="1"/>
    <col min="7429" max="7429" width="26.42578125" style="304" customWidth="1"/>
    <col min="7430" max="7430" width="5.7109375" style="304" customWidth="1"/>
    <col min="7431" max="7431" width="13.85546875" style="304" bestFit="1" customWidth="1"/>
    <col min="7432" max="7432" width="9.140625" style="304"/>
    <col min="7433" max="7433" width="11.140625" style="304" bestFit="1" customWidth="1"/>
    <col min="7434" max="7680" width="9.140625" style="304"/>
    <col min="7681" max="7681" width="16.28515625" style="304" customWidth="1"/>
    <col min="7682" max="7682" width="13.7109375" style="304" customWidth="1"/>
    <col min="7683" max="7683" width="9.28515625" style="304" customWidth="1"/>
    <col min="7684" max="7684" width="15.7109375" style="304" bestFit="1" customWidth="1"/>
    <col min="7685" max="7685" width="26.42578125" style="304" customWidth="1"/>
    <col min="7686" max="7686" width="5.7109375" style="304" customWidth="1"/>
    <col min="7687" max="7687" width="13.85546875" style="304" bestFit="1" customWidth="1"/>
    <col min="7688" max="7688" width="9.140625" style="304"/>
    <col min="7689" max="7689" width="11.140625" style="304" bestFit="1" customWidth="1"/>
    <col min="7690" max="7936" width="9.140625" style="304"/>
    <col min="7937" max="7937" width="16.28515625" style="304" customWidth="1"/>
    <col min="7938" max="7938" width="13.7109375" style="304" customWidth="1"/>
    <col min="7939" max="7939" width="9.28515625" style="304" customWidth="1"/>
    <col min="7940" max="7940" width="15.7109375" style="304" bestFit="1" customWidth="1"/>
    <col min="7941" max="7941" width="26.42578125" style="304" customWidth="1"/>
    <col min="7942" max="7942" width="5.7109375" style="304" customWidth="1"/>
    <col min="7943" max="7943" width="13.85546875" style="304" bestFit="1" customWidth="1"/>
    <col min="7944" max="7944" width="9.140625" style="304"/>
    <col min="7945" max="7945" width="11.140625" style="304" bestFit="1" customWidth="1"/>
    <col min="7946" max="8192" width="9.140625" style="304"/>
    <col min="8193" max="8193" width="16.28515625" style="304" customWidth="1"/>
    <col min="8194" max="8194" width="13.7109375" style="304" customWidth="1"/>
    <col min="8195" max="8195" width="9.28515625" style="304" customWidth="1"/>
    <col min="8196" max="8196" width="15.7109375" style="304" bestFit="1" customWidth="1"/>
    <col min="8197" max="8197" width="26.42578125" style="304" customWidth="1"/>
    <col min="8198" max="8198" width="5.7109375" style="304" customWidth="1"/>
    <col min="8199" max="8199" width="13.85546875" style="304" bestFit="1" customWidth="1"/>
    <col min="8200" max="8200" width="9.140625" style="304"/>
    <col min="8201" max="8201" width="11.140625" style="304" bestFit="1" customWidth="1"/>
    <col min="8202" max="8448" width="9.140625" style="304"/>
    <col min="8449" max="8449" width="16.28515625" style="304" customWidth="1"/>
    <col min="8450" max="8450" width="13.7109375" style="304" customWidth="1"/>
    <col min="8451" max="8451" width="9.28515625" style="304" customWidth="1"/>
    <col min="8452" max="8452" width="15.7109375" style="304" bestFit="1" customWidth="1"/>
    <col min="8453" max="8453" width="26.42578125" style="304" customWidth="1"/>
    <col min="8454" max="8454" width="5.7109375" style="304" customWidth="1"/>
    <col min="8455" max="8455" width="13.85546875" style="304" bestFit="1" customWidth="1"/>
    <col min="8456" max="8456" width="9.140625" style="304"/>
    <col min="8457" max="8457" width="11.140625" style="304" bestFit="1" customWidth="1"/>
    <col min="8458" max="8704" width="9.140625" style="304"/>
    <col min="8705" max="8705" width="16.28515625" style="304" customWidth="1"/>
    <col min="8706" max="8706" width="13.7109375" style="304" customWidth="1"/>
    <col min="8707" max="8707" width="9.28515625" style="304" customWidth="1"/>
    <col min="8708" max="8708" width="15.7109375" style="304" bestFit="1" customWidth="1"/>
    <col min="8709" max="8709" width="26.42578125" style="304" customWidth="1"/>
    <col min="8710" max="8710" width="5.7109375" style="304" customWidth="1"/>
    <col min="8711" max="8711" width="13.85546875" style="304" bestFit="1" customWidth="1"/>
    <col min="8712" max="8712" width="9.140625" style="304"/>
    <col min="8713" max="8713" width="11.140625" style="304" bestFit="1" customWidth="1"/>
    <col min="8714" max="8960" width="9.140625" style="304"/>
    <col min="8961" max="8961" width="16.28515625" style="304" customWidth="1"/>
    <col min="8962" max="8962" width="13.7109375" style="304" customWidth="1"/>
    <col min="8963" max="8963" width="9.28515625" style="304" customWidth="1"/>
    <col min="8964" max="8964" width="15.7109375" style="304" bestFit="1" customWidth="1"/>
    <col min="8965" max="8965" width="26.42578125" style="304" customWidth="1"/>
    <col min="8966" max="8966" width="5.7109375" style="304" customWidth="1"/>
    <col min="8967" max="8967" width="13.85546875" style="304" bestFit="1" customWidth="1"/>
    <col min="8968" max="8968" width="9.140625" style="304"/>
    <col min="8969" max="8969" width="11.140625" style="304" bestFit="1" customWidth="1"/>
    <col min="8970" max="9216" width="9.140625" style="304"/>
    <col min="9217" max="9217" width="16.28515625" style="304" customWidth="1"/>
    <col min="9218" max="9218" width="13.7109375" style="304" customWidth="1"/>
    <col min="9219" max="9219" width="9.28515625" style="304" customWidth="1"/>
    <col min="9220" max="9220" width="15.7109375" style="304" bestFit="1" customWidth="1"/>
    <col min="9221" max="9221" width="26.42578125" style="304" customWidth="1"/>
    <col min="9222" max="9222" width="5.7109375" style="304" customWidth="1"/>
    <col min="9223" max="9223" width="13.85546875" style="304" bestFit="1" customWidth="1"/>
    <col min="9224" max="9224" width="9.140625" style="304"/>
    <col min="9225" max="9225" width="11.140625" style="304" bestFit="1" customWidth="1"/>
    <col min="9226" max="9472" width="9.140625" style="304"/>
    <col min="9473" max="9473" width="16.28515625" style="304" customWidth="1"/>
    <col min="9474" max="9474" width="13.7109375" style="304" customWidth="1"/>
    <col min="9475" max="9475" width="9.28515625" style="304" customWidth="1"/>
    <col min="9476" max="9476" width="15.7109375" style="304" bestFit="1" customWidth="1"/>
    <col min="9477" max="9477" width="26.42578125" style="304" customWidth="1"/>
    <col min="9478" max="9478" width="5.7109375" style="304" customWidth="1"/>
    <col min="9479" max="9479" width="13.85546875" style="304" bestFit="1" customWidth="1"/>
    <col min="9480" max="9480" width="9.140625" style="304"/>
    <col min="9481" max="9481" width="11.140625" style="304" bestFit="1" customWidth="1"/>
    <col min="9482" max="9728" width="9.140625" style="304"/>
    <col min="9729" max="9729" width="16.28515625" style="304" customWidth="1"/>
    <col min="9730" max="9730" width="13.7109375" style="304" customWidth="1"/>
    <col min="9731" max="9731" width="9.28515625" style="304" customWidth="1"/>
    <col min="9732" max="9732" width="15.7109375" style="304" bestFit="1" customWidth="1"/>
    <col min="9733" max="9733" width="26.42578125" style="304" customWidth="1"/>
    <col min="9734" max="9734" width="5.7109375" style="304" customWidth="1"/>
    <col min="9735" max="9735" width="13.85546875" style="304" bestFit="1" customWidth="1"/>
    <col min="9736" max="9736" width="9.140625" style="304"/>
    <col min="9737" max="9737" width="11.140625" style="304" bestFit="1" customWidth="1"/>
    <col min="9738" max="9984" width="9.140625" style="304"/>
    <col min="9985" max="9985" width="16.28515625" style="304" customWidth="1"/>
    <col min="9986" max="9986" width="13.7109375" style="304" customWidth="1"/>
    <col min="9987" max="9987" width="9.28515625" style="304" customWidth="1"/>
    <col min="9988" max="9988" width="15.7109375" style="304" bestFit="1" customWidth="1"/>
    <col min="9989" max="9989" width="26.42578125" style="304" customWidth="1"/>
    <col min="9990" max="9990" width="5.7109375" style="304" customWidth="1"/>
    <col min="9991" max="9991" width="13.85546875" style="304" bestFit="1" customWidth="1"/>
    <col min="9992" max="9992" width="9.140625" style="304"/>
    <col min="9993" max="9993" width="11.140625" style="304" bestFit="1" customWidth="1"/>
    <col min="9994" max="10240" width="9.140625" style="304"/>
    <col min="10241" max="10241" width="16.28515625" style="304" customWidth="1"/>
    <col min="10242" max="10242" width="13.7109375" style="304" customWidth="1"/>
    <col min="10243" max="10243" width="9.28515625" style="304" customWidth="1"/>
    <col min="10244" max="10244" width="15.7109375" style="304" bestFit="1" customWidth="1"/>
    <col min="10245" max="10245" width="26.42578125" style="304" customWidth="1"/>
    <col min="10246" max="10246" width="5.7109375" style="304" customWidth="1"/>
    <col min="10247" max="10247" width="13.85546875" style="304" bestFit="1" customWidth="1"/>
    <col min="10248" max="10248" width="9.140625" style="304"/>
    <col min="10249" max="10249" width="11.140625" style="304" bestFit="1" customWidth="1"/>
    <col min="10250" max="10496" width="9.140625" style="304"/>
    <col min="10497" max="10497" width="16.28515625" style="304" customWidth="1"/>
    <col min="10498" max="10498" width="13.7109375" style="304" customWidth="1"/>
    <col min="10499" max="10499" width="9.28515625" style="304" customWidth="1"/>
    <col min="10500" max="10500" width="15.7109375" style="304" bestFit="1" customWidth="1"/>
    <col min="10501" max="10501" width="26.42578125" style="304" customWidth="1"/>
    <col min="10502" max="10502" width="5.7109375" style="304" customWidth="1"/>
    <col min="10503" max="10503" width="13.85546875" style="304" bestFit="1" customWidth="1"/>
    <col min="10504" max="10504" width="9.140625" style="304"/>
    <col min="10505" max="10505" width="11.140625" style="304" bestFit="1" customWidth="1"/>
    <col min="10506" max="10752" width="9.140625" style="304"/>
    <col min="10753" max="10753" width="16.28515625" style="304" customWidth="1"/>
    <col min="10754" max="10754" width="13.7109375" style="304" customWidth="1"/>
    <col min="10755" max="10755" width="9.28515625" style="304" customWidth="1"/>
    <col min="10756" max="10756" width="15.7109375" style="304" bestFit="1" customWidth="1"/>
    <col min="10757" max="10757" width="26.42578125" style="304" customWidth="1"/>
    <col min="10758" max="10758" width="5.7109375" style="304" customWidth="1"/>
    <col min="10759" max="10759" width="13.85546875" style="304" bestFit="1" customWidth="1"/>
    <col min="10760" max="10760" width="9.140625" style="304"/>
    <col min="10761" max="10761" width="11.140625" style="304" bestFit="1" customWidth="1"/>
    <col min="10762" max="11008" width="9.140625" style="304"/>
    <col min="11009" max="11009" width="16.28515625" style="304" customWidth="1"/>
    <col min="11010" max="11010" width="13.7109375" style="304" customWidth="1"/>
    <col min="11011" max="11011" width="9.28515625" style="304" customWidth="1"/>
    <col min="11012" max="11012" width="15.7109375" style="304" bestFit="1" customWidth="1"/>
    <col min="11013" max="11013" width="26.42578125" style="304" customWidth="1"/>
    <col min="11014" max="11014" width="5.7109375" style="304" customWidth="1"/>
    <col min="11015" max="11015" width="13.85546875" style="304" bestFit="1" customWidth="1"/>
    <col min="11016" max="11016" width="9.140625" style="304"/>
    <col min="11017" max="11017" width="11.140625" style="304" bestFit="1" customWidth="1"/>
    <col min="11018" max="11264" width="9.140625" style="304"/>
    <col min="11265" max="11265" width="16.28515625" style="304" customWidth="1"/>
    <col min="11266" max="11266" width="13.7109375" style="304" customWidth="1"/>
    <col min="11267" max="11267" width="9.28515625" style="304" customWidth="1"/>
    <col min="11268" max="11268" width="15.7109375" style="304" bestFit="1" customWidth="1"/>
    <col min="11269" max="11269" width="26.42578125" style="304" customWidth="1"/>
    <col min="11270" max="11270" width="5.7109375" style="304" customWidth="1"/>
    <col min="11271" max="11271" width="13.85546875" style="304" bestFit="1" customWidth="1"/>
    <col min="11272" max="11272" width="9.140625" style="304"/>
    <col min="11273" max="11273" width="11.140625" style="304" bestFit="1" customWidth="1"/>
    <col min="11274" max="11520" width="9.140625" style="304"/>
    <col min="11521" max="11521" width="16.28515625" style="304" customWidth="1"/>
    <col min="11522" max="11522" width="13.7109375" style="304" customWidth="1"/>
    <col min="11523" max="11523" width="9.28515625" style="304" customWidth="1"/>
    <col min="11524" max="11524" width="15.7109375" style="304" bestFit="1" customWidth="1"/>
    <col min="11525" max="11525" width="26.42578125" style="304" customWidth="1"/>
    <col min="11526" max="11526" width="5.7109375" style="304" customWidth="1"/>
    <col min="11527" max="11527" width="13.85546875" style="304" bestFit="1" customWidth="1"/>
    <col min="11528" max="11528" width="9.140625" style="304"/>
    <col min="11529" max="11529" width="11.140625" style="304" bestFit="1" customWidth="1"/>
    <col min="11530" max="11776" width="9.140625" style="304"/>
    <col min="11777" max="11777" width="16.28515625" style="304" customWidth="1"/>
    <col min="11778" max="11778" width="13.7109375" style="304" customWidth="1"/>
    <col min="11779" max="11779" width="9.28515625" style="304" customWidth="1"/>
    <col min="11780" max="11780" width="15.7109375" style="304" bestFit="1" customWidth="1"/>
    <col min="11781" max="11781" width="26.42578125" style="304" customWidth="1"/>
    <col min="11782" max="11782" width="5.7109375" style="304" customWidth="1"/>
    <col min="11783" max="11783" width="13.85546875" style="304" bestFit="1" customWidth="1"/>
    <col min="11784" max="11784" width="9.140625" style="304"/>
    <col min="11785" max="11785" width="11.140625" style="304" bestFit="1" customWidth="1"/>
    <col min="11786" max="12032" width="9.140625" style="304"/>
    <col min="12033" max="12033" width="16.28515625" style="304" customWidth="1"/>
    <col min="12034" max="12034" width="13.7109375" style="304" customWidth="1"/>
    <col min="12035" max="12035" width="9.28515625" style="304" customWidth="1"/>
    <col min="12036" max="12036" width="15.7109375" style="304" bestFit="1" customWidth="1"/>
    <col min="12037" max="12037" width="26.42578125" style="304" customWidth="1"/>
    <col min="12038" max="12038" width="5.7109375" style="304" customWidth="1"/>
    <col min="12039" max="12039" width="13.85546875" style="304" bestFit="1" customWidth="1"/>
    <col min="12040" max="12040" width="9.140625" style="304"/>
    <col min="12041" max="12041" width="11.140625" style="304" bestFit="1" customWidth="1"/>
    <col min="12042" max="12288" width="9.140625" style="304"/>
    <col min="12289" max="12289" width="16.28515625" style="304" customWidth="1"/>
    <col min="12290" max="12290" width="13.7109375" style="304" customWidth="1"/>
    <col min="12291" max="12291" width="9.28515625" style="304" customWidth="1"/>
    <col min="12292" max="12292" width="15.7109375" style="304" bestFit="1" customWidth="1"/>
    <col min="12293" max="12293" width="26.42578125" style="304" customWidth="1"/>
    <col min="12294" max="12294" width="5.7109375" style="304" customWidth="1"/>
    <col min="12295" max="12295" width="13.85546875" style="304" bestFit="1" customWidth="1"/>
    <col min="12296" max="12296" width="9.140625" style="304"/>
    <col min="12297" max="12297" width="11.140625" style="304" bestFit="1" customWidth="1"/>
    <col min="12298" max="12544" width="9.140625" style="304"/>
    <col min="12545" max="12545" width="16.28515625" style="304" customWidth="1"/>
    <col min="12546" max="12546" width="13.7109375" style="304" customWidth="1"/>
    <col min="12547" max="12547" width="9.28515625" style="304" customWidth="1"/>
    <col min="12548" max="12548" width="15.7109375" style="304" bestFit="1" customWidth="1"/>
    <col min="12549" max="12549" width="26.42578125" style="304" customWidth="1"/>
    <col min="12550" max="12550" width="5.7109375" style="304" customWidth="1"/>
    <col min="12551" max="12551" width="13.85546875" style="304" bestFit="1" customWidth="1"/>
    <col min="12552" max="12552" width="9.140625" style="304"/>
    <col min="12553" max="12553" width="11.140625" style="304" bestFit="1" customWidth="1"/>
    <col min="12554" max="12800" width="9.140625" style="304"/>
    <col min="12801" max="12801" width="16.28515625" style="304" customWidth="1"/>
    <col min="12802" max="12802" width="13.7109375" style="304" customWidth="1"/>
    <col min="12803" max="12803" width="9.28515625" style="304" customWidth="1"/>
    <col min="12804" max="12804" width="15.7109375" style="304" bestFit="1" customWidth="1"/>
    <col min="12805" max="12805" width="26.42578125" style="304" customWidth="1"/>
    <col min="12806" max="12806" width="5.7109375" style="304" customWidth="1"/>
    <col min="12807" max="12807" width="13.85546875" style="304" bestFit="1" customWidth="1"/>
    <col min="12808" max="12808" width="9.140625" style="304"/>
    <col min="12809" max="12809" width="11.140625" style="304" bestFit="1" customWidth="1"/>
    <col min="12810" max="13056" width="9.140625" style="304"/>
    <col min="13057" max="13057" width="16.28515625" style="304" customWidth="1"/>
    <col min="13058" max="13058" width="13.7109375" style="304" customWidth="1"/>
    <col min="13059" max="13059" width="9.28515625" style="304" customWidth="1"/>
    <col min="13060" max="13060" width="15.7109375" style="304" bestFit="1" customWidth="1"/>
    <col min="13061" max="13061" width="26.42578125" style="304" customWidth="1"/>
    <col min="13062" max="13062" width="5.7109375" style="304" customWidth="1"/>
    <col min="13063" max="13063" width="13.85546875" style="304" bestFit="1" customWidth="1"/>
    <col min="13064" max="13064" width="9.140625" style="304"/>
    <col min="13065" max="13065" width="11.140625" style="304" bestFit="1" customWidth="1"/>
    <col min="13066" max="13312" width="9.140625" style="304"/>
    <col min="13313" max="13313" width="16.28515625" style="304" customWidth="1"/>
    <col min="13314" max="13314" width="13.7109375" style="304" customWidth="1"/>
    <col min="13315" max="13315" width="9.28515625" style="304" customWidth="1"/>
    <col min="13316" max="13316" width="15.7109375" style="304" bestFit="1" customWidth="1"/>
    <col min="13317" max="13317" width="26.42578125" style="304" customWidth="1"/>
    <col min="13318" max="13318" width="5.7109375" style="304" customWidth="1"/>
    <col min="13319" max="13319" width="13.85546875" style="304" bestFit="1" customWidth="1"/>
    <col min="13320" max="13320" width="9.140625" style="304"/>
    <col min="13321" max="13321" width="11.140625" style="304" bestFit="1" customWidth="1"/>
    <col min="13322" max="13568" width="9.140625" style="304"/>
    <col min="13569" max="13569" width="16.28515625" style="304" customWidth="1"/>
    <col min="13570" max="13570" width="13.7109375" style="304" customWidth="1"/>
    <col min="13571" max="13571" width="9.28515625" style="304" customWidth="1"/>
    <col min="13572" max="13572" width="15.7109375" style="304" bestFit="1" customWidth="1"/>
    <col min="13573" max="13573" width="26.42578125" style="304" customWidth="1"/>
    <col min="13574" max="13574" width="5.7109375" style="304" customWidth="1"/>
    <col min="13575" max="13575" width="13.85546875" style="304" bestFit="1" customWidth="1"/>
    <col min="13576" max="13576" width="9.140625" style="304"/>
    <col min="13577" max="13577" width="11.140625" style="304" bestFit="1" customWidth="1"/>
    <col min="13578" max="13824" width="9.140625" style="304"/>
    <col min="13825" max="13825" width="16.28515625" style="304" customWidth="1"/>
    <col min="13826" max="13826" width="13.7109375" style="304" customWidth="1"/>
    <col min="13827" max="13827" width="9.28515625" style="304" customWidth="1"/>
    <col min="13828" max="13828" width="15.7109375" style="304" bestFit="1" customWidth="1"/>
    <col min="13829" max="13829" width="26.42578125" style="304" customWidth="1"/>
    <col min="13830" max="13830" width="5.7109375" style="304" customWidth="1"/>
    <col min="13831" max="13831" width="13.85546875" style="304" bestFit="1" customWidth="1"/>
    <col min="13832" max="13832" width="9.140625" style="304"/>
    <col min="13833" max="13833" width="11.140625" style="304" bestFit="1" customWidth="1"/>
    <col min="13834" max="14080" width="9.140625" style="304"/>
    <col min="14081" max="14081" width="16.28515625" style="304" customWidth="1"/>
    <col min="14082" max="14082" width="13.7109375" style="304" customWidth="1"/>
    <col min="14083" max="14083" width="9.28515625" style="304" customWidth="1"/>
    <col min="14084" max="14084" width="15.7109375" style="304" bestFit="1" customWidth="1"/>
    <col min="14085" max="14085" width="26.42578125" style="304" customWidth="1"/>
    <col min="14086" max="14086" width="5.7109375" style="304" customWidth="1"/>
    <col min="14087" max="14087" width="13.85546875" style="304" bestFit="1" customWidth="1"/>
    <col min="14088" max="14088" width="9.140625" style="304"/>
    <col min="14089" max="14089" width="11.140625" style="304" bestFit="1" customWidth="1"/>
    <col min="14090" max="14336" width="9.140625" style="304"/>
    <col min="14337" max="14337" width="16.28515625" style="304" customWidth="1"/>
    <col min="14338" max="14338" width="13.7109375" style="304" customWidth="1"/>
    <col min="14339" max="14339" width="9.28515625" style="304" customWidth="1"/>
    <col min="14340" max="14340" width="15.7109375" style="304" bestFit="1" customWidth="1"/>
    <col min="14341" max="14341" width="26.42578125" style="304" customWidth="1"/>
    <col min="14342" max="14342" width="5.7109375" style="304" customWidth="1"/>
    <col min="14343" max="14343" width="13.85546875" style="304" bestFit="1" customWidth="1"/>
    <col min="14344" max="14344" width="9.140625" style="304"/>
    <col min="14345" max="14345" width="11.140625" style="304" bestFit="1" customWidth="1"/>
    <col min="14346" max="14592" width="9.140625" style="304"/>
    <col min="14593" max="14593" width="16.28515625" style="304" customWidth="1"/>
    <col min="14594" max="14594" width="13.7109375" style="304" customWidth="1"/>
    <col min="14595" max="14595" width="9.28515625" style="304" customWidth="1"/>
    <col min="14596" max="14596" width="15.7109375" style="304" bestFit="1" customWidth="1"/>
    <col min="14597" max="14597" width="26.42578125" style="304" customWidth="1"/>
    <col min="14598" max="14598" width="5.7109375" style="304" customWidth="1"/>
    <col min="14599" max="14599" width="13.85546875" style="304" bestFit="1" customWidth="1"/>
    <col min="14600" max="14600" width="9.140625" style="304"/>
    <col min="14601" max="14601" width="11.140625" style="304" bestFit="1" customWidth="1"/>
    <col min="14602" max="14848" width="9.140625" style="304"/>
    <col min="14849" max="14849" width="16.28515625" style="304" customWidth="1"/>
    <col min="14850" max="14850" width="13.7109375" style="304" customWidth="1"/>
    <col min="14851" max="14851" width="9.28515625" style="304" customWidth="1"/>
    <col min="14852" max="14852" width="15.7109375" style="304" bestFit="1" customWidth="1"/>
    <col min="14853" max="14853" width="26.42578125" style="304" customWidth="1"/>
    <col min="14854" max="14854" width="5.7109375" style="304" customWidth="1"/>
    <col min="14855" max="14855" width="13.85546875" style="304" bestFit="1" customWidth="1"/>
    <col min="14856" max="14856" width="9.140625" style="304"/>
    <col min="14857" max="14857" width="11.140625" style="304" bestFit="1" customWidth="1"/>
    <col min="14858" max="15104" width="9.140625" style="304"/>
    <col min="15105" max="15105" width="16.28515625" style="304" customWidth="1"/>
    <col min="15106" max="15106" width="13.7109375" style="304" customWidth="1"/>
    <col min="15107" max="15107" width="9.28515625" style="304" customWidth="1"/>
    <col min="15108" max="15108" width="15.7109375" style="304" bestFit="1" customWidth="1"/>
    <col min="15109" max="15109" width="26.42578125" style="304" customWidth="1"/>
    <col min="15110" max="15110" width="5.7109375" style="304" customWidth="1"/>
    <col min="15111" max="15111" width="13.85546875" style="304" bestFit="1" customWidth="1"/>
    <col min="15112" max="15112" width="9.140625" style="304"/>
    <col min="15113" max="15113" width="11.140625" style="304" bestFit="1" customWidth="1"/>
    <col min="15114" max="15360" width="9.140625" style="304"/>
    <col min="15361" max="15361" width="16.28515625" style="304" customWidth="1"/>
    <col min="15362" max="15362" width="13.7109375" style="304" customWidth="1"/>
    <col min="15363" max="15363" width="9.28515625" style="304" customWidth="1"/>
    <col min="15364" max="15364" width="15.7109375" style="304" bestFit="1" customWidth="1"/>
    <col min="15365" max="15365" width="26.42578125" style="304" customWidth="1"/>
    <col min="15366" max="15366" width="5.7109375" style="304" customWidth="1"/>
    <col min="15367" max="15367" width="13.85546875" style="304" bestFit="1" customWidth="1"/>
    <col min="15368" max="15368" width="9.140625" style="304"/>
    <col min="15369" max="15369" width="11.140625" style="304" bestFit="1" customWidth="1"/>
    <col min="15370" max="15616" width="9.140625" style="304"/>
    <col min="15617" max="15617" width="16.28515625" style="304" customWidth="1"/>
    <col min="15618" max="15618" width="13.7109375" style="304" customWidth="1"/>
    <col min="15619" max="15619" width="9.28515625" style="304" customWidth="1"/>
    <col min="15620" max="15620" width="15.7109375" style="304" bestFit="1" customWidth="1"/>
    <col min="15621" max="15621" width="26.42578125" style="304" customWidth="1"/>
    <col min="15622" max="15622" width="5.7109375" style="304" customWidth="1"/>
    <col min="15623" max="15623" width="13.85546875" style="304" bestFit="1" customWidth="1"/>
    <col min="15624" max="15624" width="9.140625" style="304"/>
    <col min="15625" max="15625" width="11.140625" style="304" bestFit="1" customWidth="1"/>
    <col min="15626" max="15872" width="9.140625" style="304"/>
    <col min="15873" max="15873" width="16.28515625" style="304" customWidth="1"/>
    <col min="15874" max="15874" width="13.7109375" style="304" customWidth="1"/>
    <col min="15875" max="15875" width="9.28515625" style="304" customWidth="1"/>
    <col min="15876" max="15876" width="15.7109375" style="304" bestFit="1" customWidth="1"/>
    <col min="15877" max="15877" width="26.42578125" style="304" customWidth="1"/>
    <col min="15878" max="15878" width="5.7109375" style="304" customWidth="1"/>
    <col min="15879" max="15879" width="13.85546875" style="304" bestFit="1" customWidth="1"/>
    <col min="15880" max="15880" width="9.140625" style="304"/>
    <col min="15881" max="15881" width="11.140625" style="304" bestFit="1" customWidth="1"/>
    <col min="15882" max="16128" width="9.140625" style="304"/>
    <col min="16129" max="16129" width="16.28515625" style="304" customWidth="1"/>
    <col min="16130" max="16130" width="13.7109375" style="304" customWidth="1"/>
    <col min="16131" max="16131" width="9.28515625" style="304" customWidth="1"/>
    <col min="16132" max="16132" width="15.7109375" style="304" bestFit="1" customWidth="1"/>
    <col min="16133" max="16133" width="26.42578125" style="304" customWidth="1"/>
    <col min="16134" max="16134" width="5.7109375" style="304" customWidth="1"/>
    <col min="16135" max="16135" width="13.85546875" style="304" bestFit="1" customWidth="1"/>
    <col min="16136" max="16136" width="9.140625" style="304"/>
    <col min="16137" max="16137" width="11.140625" style="304" bestFit="1" customWidth="1"/>
    <col min="16138" max="16384" width="9.140625" style="304"/>
  </cols>
  <sheetData>
    <row r="1" spans="1:7" ht="14.25" x14ac:dyDescent="0.2">
      <c r="A1" s="582" t="s">
        <v>389</v>
      </c>
      <c r="B1" s="582"/>
      <c r="C1" s="582"/>
      <c r="D1" s="582"/>
      <c r="E1" s="582"/>
      <c r="F1" s="582"/>
      <c r="G1" s="582"/>
    </row>
    <row r="2" spans="1:7" ht="14.25" x14ac:dyDescent="0.2">
      <c r="A2" s="411" t="s">
        <v>390</v>
      </c>
      <c r="B2" s="412"/>
      <c r="C2" s="412"/>
      <c r="D2" s="412"/>
      <c r="E2" s="412"/>
      <c r="F2" s="412"/>
      <c r="G2" s="412"/>
    </row>
    <row r="3" spans="1:7" ht="14.25" x14ac:dyDescent="0.2">
      <c r="A3" s="583" t="s">
        <v>317</v>
      </c>
      <c r="B3" s="583"/>
      <c r="C3" s="583"/>
      <c r="D3" s="583"/>
      <c r="E3" s="583"/>
      <c r="F3" s="583"/>
      <c r="G3" s="583"/>
    </row>
    <row r="5" spans="1:7" ht="13.5" thickBot="1" x14ac:dyDescent="0.25">
      <c r="A5" s="304" t="s">
        <v>318</v>
      </c>
      <c r="D5" s="413">
        <v>4912684</v>
      </c>
      <c r="E5" s="299" t="s">
        <v>391</v>
      </c>
    </row>
    <row r="6" spans="1:7" ht="13.5" thickTop="1" x14ac:dyDescent="0.2">
      <c r="G6" s="299"/>
    </row>
    <row r="7" spans="1:7" x14ac:dyDescent="0.2">
      <c r="D7" s="414"/>
      <c r="G7" s="299"/>
    </row>
    <row r="8" spans="1:7" x14ac:dyDescent="0.2">
      <c r="A8" s="299" t="s">
        <v>382</v>
      </c>
      <c r="D8" s="319">
        <f>(+D5/60)-0.07</f>
        <v>81877.996666666659</v>
      </c>
      <c r="E8" s="299" t="s">
        <v>383</v>
      </c>
    </row>
    <row r="9" spans="1:7" x14ac:dyDescent="0.2">
      <c r="D9" s="319"/>
    </row>
    <row r="10" spans="1:7" x14ac:dyDescent="0.2">
      <c r="A10" s="299" t="s">
        <v>329</v>
      </c>
      <c r="D10" s="319"/>
    </row>
    <row r="11" spans="1:7" x14ac:dyDescent="0.2">
      <c r="A11" s="415" t="s">
        <v>339</v>
      </c>
      <c r="B11" s="408"/>
      <c r="C11" s="408"/>
      <c r="D11" s="416"/>
      <c r="E11" s="408"/>
      <c r="F11" s="417"/>
    </row>
    <row r="12" spans="1:7" x14ac:dyDescent="0.2">
      <c r="A12" s="418" t="s">
        <v>331</v>
      </c>
      <c r="B12" s="401" t="s">
        <v>332</v>
      </c>
      <c r="C12" s="401" t="s">
        <v>310</v>
      </c>
      <c r="D12" s="401" t="s">
        <v>333</v>
      </c>
      <c r="E12" s="401" t="s">
        <v>334</v>
      </c>
      <c r="F12" s="419"/>
    </row>
    <row r="13" spans="1:7" x14ac:dyDescent="0.2">
      <c r="A13" s="420">
        <v>75084</v>
      </c>
      <c r="B13" s="421">
        <v>9928</v>
      </c>
      <c r="C13" s="422" t="s">
        <v>335</v>
      </c>
      <c r="D13" s="423">
        <f>+D8</f>
        <v>81877.996666666659</v>
      </c>
      <c r="E13" s="423"/>
      <c r="F13" s="419"/>
      <c r="G13" s="299" t="s">
        <v>336</v>
      </c>
    </row>
    <row r="14" spans="1:7" x14ac:dyDescent="0.2">
      <c r="A14" s="420">
        <v>75084</v>
      </c>
      <c r="B14" s="421">
        <v>9928</v>
      </c>
      <c r="C14" s="422" t="s">
        <v>38</v>
      </c>
      <c r="D14" s="423"/>
      <c r="E14" s="423">
        <f>+D13</f>
        <v>81877.996666666659</v>
      </c>
      <c r="F14" s="419"/>
    </row>
    <row r="15" spans="1:7" x14ac:dyDescent="0.2">
      <c r="A15" s="420">
        <v>75084</v>
      </c>
      <c r="B15" s="421">
        <v>9928</v>
      </c>
      <c r="C15" s="422" t="s">
        <v>335</v>
      </c>
      <c r="D15" s="423">
        <v>4.2</v>
      </c>
      <c r="E15" s="423"/>
      <c r="F15" s="419"/>
      <c r="G15" s="304" t="s">
        <v>337</v>
      </c>
    </row>
    <row r="16" spans="1:7" x14ac:dyDescent="0.2">
      <c r="A16" s="424">
        <v>75084</v>
      </c>
      <c r="B16" s="425">
        <v>9928</v>
      </c>
      <c r="C16" s="426" t="s">
        <v>38</v>
      </c>
      <c r="D16" s="427"/>
      <c r="E16" s="427">
        <f>+D15</f>
        <v>4.2</v>
      </c>
      <c r="F16" s="428"/>
    </row>
    <row r="17" spans="1:7" x14ac:dyDescent="0.2">
      <c r="D17" s="319"/>
    </row>
    <row r="18" spans="1:7" x14ac:dyDescent="0.2">
      <c r="A18" s="299" t="s">
        <v>386</v>
      </c>
      <c r="D18" s="319"/>
    </row>
    <row r="19" spans="1:7" x14ac:dyDescent="0.2">
      <c r="A19" s="415" t="s">
        <v>339</v>
      </c>
      <c r="B19" s="429"/>
      <c r="C19" s="429"/>
      <c r="D19" s="416"/>
      <c r="E19" s="429"/>
      <c r="F19" s="430"/>
    </row>
    <row r="20" spans="1:7" x14ac:dyDescent="0.2">
      <c r="A20" s="418" t="s">
        <v>331</v>
      </c>
      <c r="B20" s="401" t="s">
        <v>332</v>
      </c>
      <c r="C20" s="401" t="s">
        <v>310</v>
      </c>
      <c r="D20" s="431" t="s">
        <v>333</v>
      </c>
      <c r="E20" s="431" t="s">
        <v>334</v>
      </c>
      <c r="F20" s="432"/>
    </row>
    <row r="21" spans="1:7" x14ac:dyDescent="0.2">
      <c r="A21" s="420">
        <v>75084</v>
      </c>
      <c r="B21" s="421">
        <v>9928</v>
      </c>
      <c r="C21" s="422" t="s">
        <v>335</v>
      </c>
      <c r="D21" s="433">
        <f>E22</f>
        <v>81877.996666666659</v>
      </c>
      <c r="E21" s="434"/>
      <c r="F21" s="435"/>
    </row>
    <row r="22" spans="1:7" x14ac:dyDescent="0.2">
      <c r="A22" s="424">
        <v>75084</v>
      </c>
      <c r="B22" s="425">
        <v>9928</v>
      </c>
      <c r="C22" s="426" t="s">
        <v>38</v>
      </c>
      <c r="D22" s="436"/>
      <c r="E22" s="437">
        <f>D8</f>
        <v>81877.996666666659</v>
      </c>
      <c r="F22" s="438"/>
    </row>
    <row r="23" spans="1:7" x14ac:dyDescent="0.2">
      <c r="A23" s="309"/>
      <c r="B23" s="370"/>
      <c r="C23" s="439"/>
      <c r="E23" s="363"/>
    </row>
    <row r="24" spans="1:7" x14ac:dyDescent="0.2">
      <c r="A24" s="299"/>
      <c r="B24" s="299"/>
      <c r="C24" s="299"/>
      <c r="D24" s="350"/>
      <c r="E24" s="299"/>
      <c r="F24" s="299"/>
      <c r="G24" s="299"/>
    </row>
    <row r="25" spans="1:7" x14ac:dyDescent="0.2">
      <c r="A25" s="308"/>
      <c r="B25" s="303"/>
      <c r="C25" s="299"/>
      <c r="D25" s="299"/>
      <c r="E25" s="440" t="s">
        <v>340</v>
      </c>
      <c r="F25" s="299"/>
      <c r="G25" s="302" t="s">
        <v>341</v>
      </c>
    </row>
    <row r="26" spans="1:7" x14ac:dyDescent="0.2">
      <c r="A26" s="441" t="s">
        <v>342</v>
      </c>
      <c r="B26" s="303"/>
      <c r="C26" s="299"/>
      <c r="D26" s="299"/>
      <c r="E26" s="442" t="s">
        <v>392</v>
      </c>
      <c r="F26" s="299"/>
      <c r="G26" s="443" t="s">
        <v>344</v>
      </c>
    </row>
    <row r="27" spans="1:7" x14ac:dyDescent="0.2">
      <c r="A27" s="308"/>
      <c r="B27" s="303" t="s">
        <v>345</v>
      </c>
      <c r="C27" s="299"/>
      <c r="D27" s="350" t="s">
        <v>346</v>
      </c>
      <c r="E27" s="350"/>
      <c r="F27" s="299"/>
      <c r="G27" s="356">
        <f>+D5</f>
        <v>4912684</v>
      </c>
    </row>
    <row r="28" spans="1:7" x14ac:dyDescent="0.2">
      <c r="A28" s="303">
        <v>1</v>
      </c>
      <c r="B28" s="355">
        <v>43222</v>
      </c>
      <c r="C28" s="299"/>
      <c r="D28" s="409">
        <f>+D13+D15</f>
        <v>81882.196666666656</v>
      </c>
      <c r="E28" s="410">
        <f>E27-D28</f>
        <v>-81882.196666666656</v>
      </c>
      <c r="F28" s="362"/>
      <c r="G28" s="356">
        <f>+G27-D28</f>
        <v>4830801.8033333337</v>
      </c>
    </row>
    <row r="29" spans="1:7" x14ac:dyDescent="0.2">
      <c r="A29" s="303">
        <v>2</v>
      </c>
      <c r="B29" s="355">
        <v>43253</v>
      </c>
      <c r="C29" s="299"/>
      <c r="D29" s="350">
        <f t="shared" ref="D29:D87" si="0">D$8</f>
        <v>81877.996666666659</v>
      </c>
      <c r="E29" s="350">
        <f t="shared" ref="E29:E87" si="1">E28-D29</f>
        <v>-163760.1933333333</v>
      </c>
      <c r="F29" s="299"/>
      <c r="G29" s="356">
        <f t="shared" ref="G29:G87" si="2">+G28-D29</f>
        <v>4748923.8066666666</v>
      </c>
    </row>
    <row r="30" spans="1:7" x14ac:dyDescent="0.2">
      <c r="A30" s="303">
        <v>3</v>
      </c>
      <c r="B30" s="355">
        <v>43283</v>
      </c>
      <c r="C30" s="299"/>
      <c r="D30" s="350">
        <f t="shared" si="0"/>
        <v>81877.996666666659</v>
      </c>
      <c r="E30" s="350">
        <f t="shared" si="1"/>
        <v>-245638.18999999994</v>
      </c>
      <c r="F30" s="299"/>
      <c r="G30" s="356">
        <f t="shared" si="2"/>
        <v>4667045.8099999996</v>
      </c>
    </row>
    <row r="31" spans="1:7" x14ac:dyDescent="0.2">
      <c r="A31" s="303">
        <v>4</v>
      </c>
      <c r="B31" s="355">
        <v>43314</v>
      </c>
      <c r="C31" s="299"/>
      <c r="D31" s="350">
        <f t="shared" si="0"/>
        <v>81877.996666666659</v>
      </c>
      <c r="E31" s="350">
        <f t="shared" si="1"/>
        <v>-327516.18666666659</v>
      </c>
      <c r="F31" s="299"/>
      <c r="G31" s="356">
        <f t="shared" si="2"/>
        <v>4585167.8133333325</v>
      </c>
    </row>
    <row r="32" spans="1:7" x14ac:dyDescent="0.2">
      <c r="A32" s="303">
        <v>5</v>
      </c>
      <c r="B32" s="355">
        <v>43345</v>
      </c>
      <c r="C32" s="299"/>
      <c r="D32" s="350">
        <f t="shared" si="0"/>
        <v>81877.996666666659</v>
      </c>
      <c r="E32" s="350">
        <f t="shared" si="1"/>
        <v>-409394.18333333323</v>
      </c>
      <c r="F32" s="299"/>
      <c r="G32" s="356">
        <f t="shared" si="2"/>
        <v>4503289.8166666655</v>
      </c>
    </row>
    <row r="33" spans="1:9" x14ac:dyDescent="0.2">
      <c r="A33" s="303">
        <v>6</v>
      </c>
      <c r="B33" s="355">
        <v>43375</v>
      </c>
      <c r="C33" s="299"/>
      <c r="D33" s="350">
        <f t="shared" si="0"/>
        <v>81877.996666666659</v>
      </c>
      <c r="E33" s="350">
        <f t="shared" si="1"/>
        <v>-491272.17999999988</v>
      </c>
      <c r="F33" s="299"/>
      <c r="G33" s="356">
        <f t="shared" si="2"/>
        <v>4421411.8199999984</v>
      </c>
    </row>
    <row r="34" spans="1:9" x14ac:dyDescent="0.2">
      <c r="A34" s="303">
        <v>7</v>
      </c>
      <c r="B34" s="355">
        <v>43406</v>
      </c>
      <c r="C34" s="299"/>
      <c r="D34" s="350">
        <f t="shared" si="0"/>
        <v>81877.996666666659</v>
      </c>
      <c r="E34" s="350">
        <f t="shared" si="1"/>
        <v>-573150.17666666652</v>
      </c>
      <c r="F34" s="299"/>
      <c r="G34" s="356">
        <f t="shared" si="2"/>
        <v>4339533.8233333314</v>
      </c>
    </row>
    <row r="35" spans="1:9" ht="15" x14ac:dyDescent="0.25">
      <c r="A35" s="303">
        <v>8</v>
      </c>
      <c r="B35" s="355">
        <v>43436</v>
      </c>
      <c r="C35" s="299"/>
      <c r="D35" s="350">
        <f t="shared" si="0"/>
        <v>81877.996666666659</v>
      </c>
      <c r="E35" s="350">
        <f t="shared" si="1"/>
        <v>-655028.17333333322</v>
      </c>
      <c r="F35" s="299"/>
      <c r="G35" s="356">
        <f t="shared" si="2"/>
        <v>4257655.8266666643</v>
      </c>
      <c r="H35" s="373"/>
      <c r="I35" s="299"/>
    </row>
    <row r="36" spans="1:9" x14ac:dyDescent="0.2">
      <c r="A36" s="303">
        <v>9</v>
      </c>
      <c r="B36" s="355">
        <v>43467</v>
      </c>
      <c r="C36" s="299"/>
      <c r="D36" s="350">
        <f>D$8</f>
        <v>81877.996666666659</v>
      </c>
      <c r="E36" s="350">
        <f t="shared" si="1"/>
        <v>-736906.16999999993</v>
      </c>
      <c r="F36" s="299"/>
      <c r="G36" s="356">
        <f t="shared" si="2"/>
        <v>4175777.8299999977</v>
      </c>
    </row>
    <row r="37" spans="1:9" x14ac:dyDescent="0.2">
      <c r="A37" s="303">
        <v>10</v>
      </c>
      <c r="B37" s="355">
        <v>43498</v>
      </c>
      <c r="C37" s="299"/>
      <c r="D37" s="350">
        <f t="shared" si="0"/>
        <v>81877.996666666659</v>
      </c>
      <c r="E37" s="350">
        <f t="shared" si="1"/>
        <v>-818784.16666666663</v>
      </c>
      <c r="F37" s="299"/>
      <c r="G37" s="356">
        <f t="shared" si="2"/>
        <v>4093899.8333333312</v>
      </c>
    </row>
    <row r="38" spans="1:9" x14ac:dyDescent="0.2">
      <c r="A38" s="303">
        <v>11</v>
      </c>
      <c r="B38" s="355">
        <v>43526</v>
      </c>
      <c r="C38" s="299"/>
      <c r="D38" s="350">
        <f t="shared" si="0"/>
        <v>81877.996666666659</v>
      </c>
      <c r="E38" s="350">
        <f t="shared" si="1"/>
        <v>-900662.16333333333</v>
      </c>
      <c r="F38" s="299"/>
      <c r="G38" s="356">
        <f t="shared" si="2"/>
        <v>4012021.8366666646</v>
      </c>
    </row>
    <row r="39" spans="1:9" x14ac:dyDescent="0.2">
      <c r="A39" s="303">
        <v>12</v>
      </c>
      <c r="B39" s="355">
        <v>43557</v>
      </c>
      <c r="C39" s="299"/>
      <c r="D39" s="350">
        <f t="shared" si="0"/>
        <v>81877.996666666659</v>
      </c>
      <c r="E39" s="350">
        <f t="shared" si="1"/>
        <v>-982540.16</v>
      </c>
      <c r="F39" s="299"/>
      <c r="G39" s="356">
        <f t="shared" si="2"/>
        <v>3930143.839999998</v>
      </c>
    </row>
    <row r="40" spans="1:9" x14ac:dyDescent="0.2">
      <c r="A40" s="303">
        <v>13</v>
      </c>
      <c r="B40" s="355">
        <v>43587</v>
      </c>
      <c r="C40" s="299"/>
      <c r="D40" s="350">
        <f t="shared" si="0"/>
        <v>81877.996666666659</v>
      </c>
      <c r="E40" s="350">
        <f t="shared" si="1"/>
        <v>-1064418.1566666667</v>
      </c>
      <c r="F40" s="299"/>
      <c r="G40" s="356">
        <f t="shared" si="2"/>
        <v>3848265.8433333314</v>
      </c>
    </row>
    <row r="41" spans="1:9" x14ac:dyDescent="0.2">
      <c r="A41" s="303">
        <v>14</v>
      </c>
      <c r="B41" s="355">
        <v>43618</v>
      </c>
      <c r="C41" s="299"/>
      <c r="D41" s="350">
        <f t="shared" si="0"/>
        <v>81877.996666666659</v>
      </c>
      <c r="E41" s="350">
        <f t="shared" si="1"/>
        <v>-1146296.1533333333</v>
      </c>
      <c r="F41" s="299"/>
      <c r="G41" s="356">
        <f t="shared" si="2"/>
        <v>3766387.8466666648</v>
      </c>
    </row>
    <row r="42" spans="1:9" x14ac:dyDescent="0.2">
      <c r="A42" s="303">
        <v>15</v>
      </c>
      <c r="B42" s="355">
        <v>43648</v>
      </c>
      <c r="C42" s="299"/>
      <c r="D42" s="350">
        <f t="shared" si="0"/>
        <v>81877.996666666659</v>
      </c>
      <c r="E42" s="350">
        <f t="shared" si="1"/>
        <v>-1228174.1499999999</v>
      </c>
      <c r="F42" s="299"/>
      <c r="G42" s="356">
        <f t="shared" si="2"/>
        <v>3684509.8499999982</v>
      </c>
    </row>
    <row r="43" spans="1:9" x14ac:dyDescent="0.2">
      <c r="A43" s="303">
        <v>16</v>
      </c>
      <c r="B43" s="355">
        <v>43679</v>
      </c>
      <c r="C43" s="299"/>
      <c r="D43" s="350">
        <f t="shared" si="0"/>
        <v>81877.996666666659</v>
      </c>
      <c r="E43" s="350">
        <f t="shared" si="1"/>
        <v>-1310052.1466666665</v>
      </c>
      <c r="F43" s="299"/>
      <c r="G43" s="356">
        <f t="shared" si="2"/>
        <v>3602631.8533333316</v>
      </c>
    </row>
    <row r="44" spans="1:9" x14ac:dyDescent="0.2">
      <c r="A44" s="303">
        <v>17</v>
      </c>
      <c r="B44" s="355">
        <v>43710</v>
      </c>
      <c r="C44" s="299"/>
      <c r="D44" s="350">
        <f t="shared" si="0"/>
        <v>81877.996666666659</v>
      </c>
      <c r="E44" s="350">
        <f t="shared" si="1"/>
        <v>-1391930.1433333331</v>
      </c>
      <c r="F44" s="299"/>
      <c r="G44" s="356">
        <f t="shared" si="2"/>
        <v>3520753.8566666651</v>
      </c>
    </row>
    <row r="45" spans="1:9" x14ac:dyDescent="0.2">
      <c r="A45" s="303">
        <v>18</v>
      </c>
      <c r="B45" s="355">
        <v>43740</v>
      </c>
      <c r="C45" s="299"/>
      <c r="D45" s="350">
        <f t="shared" si="0"/>
        <v>81877.996666666659</v>
      </c>
      <c r="E45" s="350">
        <f t="shared" si="1"/>
        <v>-1473808.1399999997</v>
      </c>
      <c r="F45" s="299"/>
      <c r="G45" s="356">
        <f t="shared" si="2"/>
        <v>3438875.8599999985</v>
      </c>
    </row>
    <row r="46" spans="1:9" x14ac:dyDescent="0.2">
      <c r="A46" s="303">
        <v>19</v>
      </c>
      <c r="B46" s="355">
        <v>43771</v>
      </c>
      <c r="C46" s="299"/>
      <c r="D46" s="350">
        <f t="shared" si="0"/>
        <v>81877.996666666659</v>
      </c>
      <c r="E46" s="350">
        <f t="shared" si="1"/>
        <v>-1555686.1366666663</v>
      </c>
      <c r="F46" s="299"/>
      <c r="G46" s="356">
        <f t="shared" si="2"/>
        <v>3356997.8633333319</v>
      </c>
    </row>
    <row r="47" spans="1:9" x14ac:dyDescent="0.2">
      <c r="A47" s="303">
        <v>20</v>
      </c>
      <c r="B47" s="355">
        <v>43801</v>
      </c>
      <c r="C47" s="299"/>
      <c r="D47" s="350">
        <f t="shared" si="0"/>
        <v>81877.996666666659</v>
      </c>
      <c r="E47" s="350">
        <f t="shared" si="1"/>
        <v>-1637564.1333333328</v>
      </c>
      <c r="F47" s="299"/>
      <c r="G47" s="356">
        <f t="shared" si="2"/>
        <v>3275119.8666666653</v>
      </c>
    </row>
    <row r="48" spans="1:9" x14ac:dyDescent="0.2">
      <c r="A48" s="303">
        <v>21</v>
      </c>
      <c r="B48" s="355">
        <v>43832</v>
      </c>
      <c r="C48" s="299"/>
      <c r="D48" s="350">
        <f t="shared" si="0"/>
        <v>81877.996666666659</v>
      </c>
      <c r="E48" s="350">
        <f t="shared" si="1"/>
        <v>-1719442.1299999994</v>
      </c>
      <c r="F48" s="299"/>
      <c r="G48" s="356">
        <f t="shared" si="2"/>
        <v>3193241.8699999987</v>
      </c>
    </row>
    <row r="49" spans="1:7" x14ac:dyDescent="0.2">
      <c r="A49" s="303">
        <v>22</v>
      </c>
      <c r="B49" s="355">
        <v>43863</v>
      </c>
      <c r="C49" s="299"/>
      <c r="D49" s="350">
        <f t="shared" si="0"/>
        <v>81877.996666666659</v>
      </c>
      <c r="E49" s="350">
        <f t="shared" si="1"/>
        <v>-1801320.126666666</v>
      </c>
      <c r="F49" s="299"/>
      <c r="G49" s="356">
        <f t="shared" si="2"/>
        <v>3111363.8733333321</v>
      </c>
    </row>
    <row r="50" spans="1:7" x14ac:dyDescent="0.2">
      <c r="A50" s="303">
        <v>23</v>
      </c>
      <c r="B50" s="355">
        <v>43892</v>
      </c>
      <c r="C50" s="299"/>
      <c r="D50" s="350">
        <f t="shared" si="0"/>
        <v>81877.996666666659</v>
      </c>
      <c r="E50" s="350">
        <f t="shared" si="1"/>
        <v>-1883198.1233333326</v>
      </c>
      <c r="F50" s="299"/>
      <c r="G50" s="356">
        <f t="shared" si="2"/>
        <v>3029485.8766666655</v>
      </c>
    </row>
    <row r="51" spans="1:7" x14ac:dyDescent="0.2">
      <c r="A51" s="303">
        <v>24</v>
      </c>
      <c r="B51" s="355">
        <v>43923</v>
      </c>
      <c r="C51" s="299"/>
      <c r="D51" s="350">
        <f t="shared" si="0"/>
        <v>81877.996666666659</v>
      </c>
      <c r="E51" s="350">
        <f t="shared" si="1"/>
        <v>-1965076.1199999992</v>
      </c>
      <c r="F51" s="299"/>
      <c r="G51" s="356">
        <f t="shared" si="2"/>
        <v>2947607.879999999</v>
      </c>
    </row>
    <row r="52" spans="1:7" x14ac:dyDescent="0.2">
      <c r="A52" s="303">
        <v>25</v>
      </c>
      <c r="B52" s="355">
        <v>43953</v>
      </c>
      <c r="C52" s="299"/>
      <c r="D52" s="350">
        <f t="shared" si="0"/>
        <v>81877.996666666659</v>
      </c>
      <c r="E52" s="350">
        <f t="shared" si="1"/>
        <v>-2046954.1166666658</v>
      </c>
      <c r="F52" s="299"/>
      <c r="G52" s="356">
        <f t="shared" si="2"/>
        <v>2865729.8833333324</v>
      </c>
    </row>
    <row r="53" spans="1:7" x14ac:dyDescent="0.2">
      <c r="A53" s="303">
        <v>26</v>
      </c>
      <c r="B53" s="355">
        <v>43984</v>
      </c>
      <c r="C53" s="299"/>
      <c r="D53" s="350">
        <f t="shared" si="0"/>
        <v>81877.996666666659</v>
      </c>
      <c r="E53" s="350">
        <f t="shared" si="1"/>
        <v>-2128832.1133333324</v>
      </c>
      <c r="F53" s="299"/>
      <c r="G53" s="356">
        <f t="shared" si="2"/>
        <v>2783851.8866666658</v>
      </c>
    </row>
    <row r="54" spans="1:7" x14ac:dyDescent="0.2">
      <c r="A54" s="303">
        <v>27</v>
      </c>
      <c r="B54" s="355">
        <v>44014</v>
      </c>
      <c r="C54" s="299"/>
      <c r="D54" s="350">
        <f t="shared" si="0"/>
        <v>81877.996666666659</v>
      </c>
      <c r="E54" s="350">
        <f t="shared" si="1"/>
        <v>-2210710.1099999989</v>
      </c>
      <c r="F54" s="299"/>
      <c r="G54" s="356">
        <f t="shared" si="2"/>
        <v>2701973.8899999992</v>
      </c>
    </row>
    <row r="55" spans="1:7" x14ac:dyDescent="0.2">
      <c r="A55" s="303">
        <v>28</v>
      </c>
      <c r="B55" s="355">
        <v>44045</v>
      </c>
      <c r="C55" s="299"/>
      <c r="D55" s="350">
        <f t="shared" si="0"/>
        <v>81877.996666666659</v>
      </c>
      <c r="E55" s="350">
        <f t="shared" si="1"/>
        <v>-2292588.1066666655</v>
      </c>
      <c r="F55" s="299"/>
      <c r="G55" s="356">
        <f t="shared" si="2"/>
        <v>2620095.8933333326</v>
      </c>
    </row>
    <row r="56" spans="1:7" x14ac:dyDescent="0.2">
      <c r="A56" s="303">
        <v>29</v>
      </c>
      <c r="B56" s="355">
        <v>44076</v>
      </c>
      <c r="C56" s="299"/>
      <c r="D56" s="350">
        <f t="shared" si="0"/>
        <v>81877.996666666659</v>
      </c>
      <c r="E56" s="350">
        <f t="shared" si="1"/>
        <v>-2374466.1033333321</v>
      </c>
      <c r="F56" s="299"/>
      <c r="G56" s="356">
        <f t="shared" si="2"/>
        <v>2538217.896666666</v>
      </c>
    </row>
    <row r="57" spans="1:7" x14ac:dyDescent="0.2">
      <c r="A57" s="303">
        <v>30</v>
      </c>
      <c r="B57" s="355">
        <v>44106</v>
      </c>
      <c r="C57" s="299"/>
      <c r="D57" s="350">
        <f t="shared" si="0"/>
        <v>81877.996666666659</v>
      </c>
      <c r="E57" s="350">
        <f t="shared" si="1"/>
        <v>-2456344.0999999987</v>
      </c>
      <c r="F57" s="299"/>
      <c r="G57" s="356">
        <f t="shared" si="2"/>
        <v>2456339.8999999994</v>
      </c>
    </row>
    <row r="58" spans="1:7" x14ac:dyDescent="0.2">
      <c r="A58" s="303">
        <v>31</v>
      </c>
      <c r="B58" s="355">
        <v>44137</v>
      </c>
      <c r="C58" s="299"/>
      <c r="D58" s="350">
        <f t="shared" si="0"/>
        <v>81877.996666666659</v>
      </c>
      <c r="E58" s="350">
        <f t="shared" si="1"/>
        <v>-2538222.0966666653</v>
      </c>
      <c r="F58" s="299"/>
      <c r="G58" s="356">
        <f t="shared" si="2"/>
        <v>2374461.9033333329</v>
      </c>
    </row>
    <row r="59" spans="1:7" x14ac:dyDescent="0.2">
      <c r="A59" s="303">
        <v>32</v>
      </c>
      <c r="B59" s="355">
        <v>44167</v>
      </c>
      <c r="C59" s="299"/>
      <c r="D59" s="350">
        <f t="shared" si="0"/>
        <v>81877.996666666659</v>
      </c>
      <c r="E59" s="350">
        <f t="shared" si="1"/>
        <v>-2620100.0933333319</v>
      </c>
      <c r="F59" s="299"/>
      <c r="G59" s="356">
        <f t="shared" si="2"/>
        <v>2292583.9066666663</v>
      </c>
    </row>
    <row r="60" spans="1:7" x14ac:dyDescent="0.2">
      <c r="A60" s="303">
        <v>33</v>
      </c>
      <c r="B60" s="355">
        <v>44198</v>
      </c>
      <c r="C60" s="299"/>
      <c r="D60" s="350">
        <f t="shared" si="0"/>
        <v>81877.996666666659</v>
      </c>
      <c r="E60" s="350">
        <f t="shared" si="1"/>
        <v>-2701978.0899999985</v>
      </c>
      <c r="F60" s="299"/>
      <c r="G60" s="356">
        <f t="shared" si="2"/>
        <v>2210705.9099999997</v>
      </c>
    </row>
    <row r="61" spans="1:7" x14ac:dyDescent="0.2">
      <c r="A61" s="303">
        <v>34</v>
      </c>
      <c r="B61" s="355">
        <v>44229</v>
      </c>
      <c r="C61" s="299"/>
      <c r="D61" s="350">
        <f t="shared" si="0"/>
        <v>81877.996666666659</v>
      </c>
      <c r="E61" s="350">
        <f t="shared" si="1"/>
        <v>-2783856.086666665</v>
      </c>
      <c r="F61" s="299"/>
      <c r="G61" s="356">
        <f t="shared" si="2"/>
        <v>2128827.9133333331</v>
      </c>
    </row>
    <row r="62" spans="1:7" x14ac:dyDescent="0.2">
      <c r="A62" s="303">
        <v>35</v>
      </c>
      <c r="B62" s="355">
        <v>44257</v>
      </c>
      <c r="C62" s="299"/>
      <c r="D62" s="350">
        <f t="shared" si="0"/>
        <v>81877.996666666659</v>
      </c>
      <c r="E62" s="350">
        <f t="shared" si="1"/>
        <v>-2865734.0833333316</v>
      </c>
      <c r="F62" s="299"/>
      <c r="G62" s="356">
        <f t="shared" si="2"/>
        <v>2046949.9166666665</v>
      </c>
    </row>
    <row r="63" spans="1:7" x14ac:dyDescent="0.2">
      <c r="A63" s="303">
        <v>36</v>
      </c>
      <c r="B63" s="355">
        <v>44288</v>
      </c>
      <c r="C63" s="299"/>
      <c r="D63" s="350">
        <f t="shared" si="0"/>
        <v>81877.996666666659</v>
      </c>
      <c r="E63" s="350">
        <f t="shared" si="1"/>
        <v>-2947612.0799999982</v>
      </c>
      <c r="F63" s="299"/>
      <c r="G63" s="356">
        <f t="shared" si="2"/>
        <v>1965071.92</v>
      </c>
    </row>
    <row r="64" spans="1:7" x14ac:dyDescent="0.2">
      <c r="A64" s="303">
        <v>37</v>
      </c>
      <c r="B64" s="355">
        <v>44318</v>
      </c>
      <c r="C64" s="299"/>
      <c r="D64" s="350">
        <f t="shared" si="0"/>
        <v>81877.996666666659</v>
      </c>
      <c r="E64" s="350">
        <f t="shared" si="1"/>
        <v>-3029490.0766666648</v>
      </c>
      <c r="F64" s="299"/>
      <c r="G64" s="356">
        <f t="shared" si="2"/>
        <v>1883193.9233333333</v>
      </c>
    </row>
    <row r="65" spans="1:7" x14ac:dyDescent="0.2">
      <c r="A65" s="303">
        <v>38</v>
      </c>
      <c r="B65" s="355">
        <v>44349</v>
      </c>
      <c r="C65" s="299"/>
      <c r="D65" s="350">
        <f t="shared" si="0"/>
        <v>81877.996666666659</v>
      </c>
      <c r="E65" s="350">
        <f t="shared" si="1"/>
        <v>-3111368.0733333314</v>
      </c>
      <c r="F65" s="299"/>
      <c r="G65" s="356">
        <f t="shared" si="2"/>
        <v>1801315.9266666668</v>
      </c>
    </row>
    <row r="66" spans="1:7" x14ac:dyDescent="0.2">
      <c r="A66" s="303">
        <v>39</v>
      </c>
      <c r="B66" s="355">
        <v>44379</v>
      </c>
      <c r="C66" s="299"/>
      <c r="D66" s="350">
        <f t="shared" si="0"/>
        <v>81877.996666666659</v>
      </c>
      <c r="E66" s="350">
        <f t="shared" si="1"/>
        <v>-3193246.069999998</v>
      </c>
      <c r="F66" s="299"/>
      <c r="G66" s="356">
        <f t="shared" si="2"/>
        <v>1719437.9300000002</v>
      </c>
    </row>
    <row r="67" spans="1:7" x14ac:dyDescent="0.2">
      <c r="A67" s="303">
        <v>40</v>
      </c>
      <c r="B67" s="355">
        <v>44410</v>
      </c>
      <c r="C67" s="299"/>
      <c r="D67" s="350">
        <f t="shared" si="0"/>
        <v>81877.996666666659</v>
      </c>
      <c r="E67" s="350">
        <f t="shared" si="1"/>
        <v>-3275124.0666666646</v>
      </c>
      <c r="F67" s="299"/>
      <c r="G67" s="356">
        <f t="shared" si="2"/>
        <v>1637559.9333333336</v>
      </c>
    </row>
    <row r="68" spans="1:7" x14ac:dyDescent="0.2">
      <c r="A68" s="303">
        <v>41</v>
      </c>
      <c r="B68" s="355">
        <v>44441</v>
      </c>
      <c r="C68" s="299"/>
      <c r="D68" s="350">
        <f t="shared" si="0"/>
        <v>81877.996666666659</v>
      </c>
      <c r="E68" s="350">
        <f t="shared" si="1"/>
        <v>-3357002.0633333311</v>
      </c>
      <c r="F68" s="299"/>
      <c r="G68" s="356">
        <f t="shared" si="2"/>
        <v>1555681.936666667</v>
      </c>
    </row>
    <row r="69" spans="1:7" x14ac:dyDescent="0.2">
      <c r="A69" s="303">
        <v>42</v>
      </c>
      <c r="B69" s="355">
        <v>44471</v>
      </c>
      <c r="C69" s="299"/>
      <c r="D69" s="350">
        <f t="shared" si="0"/>
        <v>81877.996666666659</v>
      </c>
      <c r="E69" s="350">
        <f t="shared" si="1"/>
        <v>-3438880.0599999977</v>
      </c>
      <c r="F69" s="299"/>
      <c r="G69" s="356">
        <f t="shared" si="2"/>
        <v>1473803.9400000004</v>
      </c>
    </row>
    <row r="70" spans="1:7" x14ac:dyDescent="0.2">
      <c r="A70" s="303">
        <v>43</v>
      </c>
      <c r="B70" s="355">
        <v>44502</v>
      </c>
      <c r="C70" s="299"/>
      <c r="D70" s="350">
        <f t="shared" si="0"/>
        <v>81877.996666666659</v>
      </c>
      <c r="E70" s="350">
        <f t="shared" si="1"/>
        <v>-3520758.0566666643</v>
      </c>
      <c r="F70" s="299"/>
      <c r="G70" s="356">
        <f t="shared" si="2"/>
        <v>1391925.9433333338</v>
      </c>
    </row>
    <row r="71" spans="1:7" x14ac:dyDescent="0.2">
      <c r="A71" s="303">
        <v>44</v>
      </c>
      <c r="B71" s="355">
        <v>44532</v>
      </c>
      <c r="C71" s="299"/>
      <c r="D71" s="350">
        <f t="shared" si="0"/>
        <v>81877.996666666659</v>
      </c>
      <c r="E71" s="350">
        <f t="shared" si="1"/>
        <v>-3602636.0533333309</v>
      </c>
      <c r="F71" s="299"/>
      <c r="G71" s="356">
        <f t="shared" si="2"/>
        <v>1310047.9466666672</v>
      </c>
    </row>
    <row r="72" spans="1:7" x14ac:dyDescent="0.2">
      <c r="A72" s="303">
        <v>45</v>
      </c>
      <c r="B72" s="355">
        <v>44563</v>
      </c>
      <c r="C72" s="299"/>
      <c r="D72" s="350">
        <f t="shared" si="0"/>
        <v>81877.996666666659</v>
      </c>
      <c r="E72" s="350">
        <f t="shared" si="1"/>
        <v>-3684514.0499999975</v>
      </c>
      <c r="F72" s="299"/>
      <c r="G72" s="356">
        <f t="shared" si="2"/>
        <v>1228169.9500000007</v>
      </c>
    </row>
    <row r="73" spans="1:7" x14ac:dyDescent="0.2">
      <c r="A73" s="303">
        <v>46</v>
      </c>
      <c r="B73" s="355">
        <v>44594</v>
      </c>
      <c r="C73" s="299"/>
      <c r="D73" s="350">
        <f t="shared" si="0"/>
        <v>81877.996666666659</v>
      </c>
      <c r="E73" s="350">
        <f t="shared" si="1"/>
        <v>-3766392.0466666641</v>
      </c>
      <c r="F73" s="299"/>
      <c r="G73" s="356">
        <f t="shared" si="2"/>
        <v>1146291.9533333341</v>
      </c>
    </row>
    <row r="74" spans="1:7" x14ac:dyDescent="0.2">
      <c r="A74" s="303">
        <v>47</v>
      </c>
      <c r="B74" s="355">
        <v>44622</v>
      </c>
      <c r="C74" s="299"/>
      <c r="D74" s="350">
        <f t="shared" si="0"/>
        <v>81877.996666666659</v>
      </c>
      <c r="E74" s="350">
        <f t="shared" si="1"/>
        <v>-3848270.0433333307</v>
      </c>
      <c r="F74" s="299"/>
      <c r="G74" s="356">
        <f t="shared" si="2"/>
        <v>1064413.9566666675</v>
      </c>
    </row>
    <row r="75" spans="1:7" x14ac:dyDescent="0.2">
      <c r="A75" s="303">
        <v>48</v>
      </c>
      <c r="B75" s="355">
        <v>44653</v>
      </c>
      <c r="C75" s="299"/>
      <c r="D75" s="350">
        <f t="shared" si="0"/>
        <v>81877.996666666659</v>
      </c>
      <c r="E75" s="350">
        <f t="shared" si="1"/>
        <v>-3930148.0399999972</v>
      </c>
      <c r="F75" s="299"/>
      <c r="G75" s="356">
        <f t="shared" si="2"/>
        <v>982535.96000000078</v>
      </c>
    </row>
    <row r="76" spans="1:7" x14ac:dyDescent="0.2">
      <c r="A76" s="303">
        <v>49</v>
      </c>
      <c r="B76" s="355">
        <v>44683</v>
      </c>
      <c r="C76" s="299"/>
      <c r="D76" s="350">
        <f t="shared" si="0"/>
        <v>81877.996666666659</v>
      </c>
      <c r="E76" s="350">
        <f t="shared" si="1"/>
        <v>-4012026.0366666638</v>
      </c>
      <c r="F76" s="299"/>
      <c r="G76" s="356">
        <f t="shared" si="2"/>
        <v>900657.96333333408</v>
      </c>
    </row>
    <row r="77" spans="1:7" x14ac:dyDescent="0.2">
      <c r="A77" s="303">
        <v>50</v>
      </c>
      <c r="B77" s="355">
        <v>44714</v>
      </c>
      <c r="C77" s="299"/>
      <c r="D77" s="350">
        <f t="shared" si="0"/>
        <v>81877.996666666659</v>
      </c>
      <c r="E77" s="350">
        <f t="shared" si="1"/>
        <v>-4093904.0333333304</v>
      </c>
      <c r="F77" s="299"/>
      <c r="G77" s="356">
        <f t="shared" si="2"/>
        <v>818779.96666666737</v>
      </c>
    </row>
    <row r="78" spans="1:7" x14ac:dyDescent="0.2">
      <c r="A78" s="303">
        <v>51</v>
      </c>
      <c r="B78" s="355">
        <v>44744</v>
      </c>
      <c r="C78" s="299"/>
      <c r="D78" s="350">
        <f t="shared" si="0"/>
        <v>81877.996666666659</v>
      </c>
      <c r="E78" s="350">
        <f t="shared" si="1"/>
        <v>-4175782.029999997</v>
      </c>
      <c r="F78" s="299"/>
      <c r="G78" s="356">
        <f t="shared" si="2"/>
        <v>736901.97000000067</v>
      </c>
    </row>
    <row r="79" spans="1:7" x14ac:dyDescent="0.2">
      <c r="A79" s="303">
        <v>52</v>
      </c>
      <c r="B79" s="355">
        <v>44775</v>
      </c>
      <c r="C79" s="299"/>
      <c r="D79" s="350">
        <f t="shared" si="0"/>
        <v>81877.996666666659</v>
      </c>
      <c r="E79" s="350">
        <f t="shared" si="1"/>
        <v>-4257660.0266666636</v>
      </c>
      <c r="F79" s="299"/>
      <c r="G79" s="356">
        <f t="shared" si="2"/>
        <v>655023.97333333397</v>
      </c>
    </row>
    <row r="80" spans="1:7" x14ac:dyDescent="0.2">
      <c r="A80" s="303">
        <v>53</v>
      </c>
      <c r="B80" s="355">
        <v>44806</v>
      </c>
      <c r="C80" s="299"/>
      <c r="D80" s="350">
        <f t="shared" si="0"/>
        <v>81877.996666666659</v>
      </c>
      <c r="E80" s="350">
        <f t="shared" si="1"/>
        <v>-4339538.0233333306</v>
      </c>
      <c r="F80" s="299"/>
      <c r="G80" s="356">
        <f t="shared" si="2"/>
        <v>573145.97666666727</v>
      </c>
    </row>
    <row r="81" spans="1:7" x14ac:dyDescent="0.2">
      <c r="A81" s="303">
        <v>54</v>
      </c>
      <c r="B81" s="355">
        <v>44836</v>
      </c>
      <c r="C81" s="299"/>
      <c r="D81" s="350">
        <f t="shared" si="0"/>
        <v>81877.996666666659</v>
      </c>
      <c r="E81" s="350">
        <f t="shared" si="1"/>
        <v>-4421416.0199999977</v>
      </c>
      <c r="F81" s="299"/>
      <c r="G81" s="356">
        <f t="shared" si="2"/>
        <v>491267.98000000062</v>
      </c>
    </row>
    <row r="82" spans="1:7" x14ac:dyDescent="0.2">
      <c r="A82" s="303">
        <v>55</v>
      </c>
      <c r="B82" s="355">
        <v>44867</v>
      </c>
      <c r="C82" s="299"/>
      <c r="D82" s="350">
        <f t="shared" si="0"/>
        <v>81877.996666666659</v>
      </c>
      <c r="E82" s="350">
        <f t="shared" si="1"/>
        <v>-4503294.0166666647</v>
      </c>
      <c r="F82" s="299"/>
      <c r="G82" s="356">
        <f t="shared" si="2"/>
        <v>409389.98333333398</v>
      </c>
    </row>
    <row r="83" spans="1:7" x14ac:dyDescent="0.2">
      <c r="A83" s="303">
        <v>56</v>
      </c>
      <c r="B83" s="355">
        <v>44897</v>
      </c>
      <c r="C83" s="299"/>
      <c r="D83" s="350">
        <f t="shared" si="0"/>
        <v>81877.996666666659</v>
      </c>
      <c r="E83" s="350">
        <f t="shared" si="1"/>
        <v>-4585172.0133333318</v>
      </c>
      <c r="F83" s="299"/>
      <c r="G83" s="356">
        <f t="shared" si="2"/>
        <v>327511.98666666733</v>
      </c>
    </row>
    <row r="84" spans="1:7" x14ac:dyDescent="0.2">
      <c r="A84" s="303">
        <v>57</v>
      </c>
      <c r="B84" s="355">
        <v>44928</v>
      </c>
      <c r="C84" s="299"/>
      <c r="D84" s="350">
        <f t="shared" si="0"/>
        <v>81877.996666666659</v>
      </c>
      <c r="E84" s="350">
        <f t="shared" si="1"/>
        <v>-4667050.0099999988</v>
      </c>
      <c r="F84" s="299"/>
      <c r="G84" s="356">
        <f t="shared" si="2"/>
        <v>245633.99000000069</v>
      </c>
    </row>
    <row r="85" spans="1:7" x14ac:dyDescent="0.2">
      <c r="A85" s="303">
        <v>58</v>
      </c>
      <c r="B85" s="355">
        <v>44959</v>
      </c>
      <c r="C85" s="299"/>
      <c r="D85" s="350">
        <f t="shared" si="0"/>
        <v>81877.996666666659</v>
      </c>
      <c r="E85" s="350">
        <f t="shared" si="1"/>
        <v>-4748928.0066666659</v>
      </c>
      <c r="F85" s="299"/>
      <c r="G85" s="356">
        <f t="shared" si="2"/>
        <v>163755.99333333405</v>
      </c>
    </row>
    <row r="86" spans="1:7" x14ac:dyDescent="0.2">
      <c r="A86" s="303">
        <v>59</v>
      </c>
      <c r="B86" s="355">
        <v>44987</v>
      </c>
      <c r="C86" s="299"/>
      <c r="D86" s="350">
        <f t="shared" si="0"/>
        <v>81877.996666666659</v>
      </c>
      <c r="E86" s="350">
        <f t="shared" si="1"/>
        <v>-4830806.0033333329</v>
      </c>
      <c r="F86" s="299"/>
      <c r="G86" s="356">
        <f t="shared" si="2"/>
        <v>81877.996666667386</v>
      </c>
    </row>
    <row r="87" spans="1:7" x14ac:dyDescent="0.2">
      <c r="A87" s="303">
        <v>60</v>
      </c>
      <c r="B87" s="355">
        <v>45018</v>
      </c>
      <c r="C87" s="299"/>
      <c r="D87" s="350">
        <f t="shared" si="0"/>
        <v>81877.996666666659</v>
      </c>
      <c r="E87" s="350">
        <f t="shared" si="1"/>
        <v>-4912684</v>
      </c>
      <c r="F87" s="299"/>
      <c r="G87" s="356">
        <f t="shared" si="2"/>
        <v>7.2759576141834259E-10</v>
      </c>
    </row>
    <row r="88" spans="1:7" x14ac:dyDescent="0.2">
      <c r="A88" s="303"/>
      <c r="B88" s="355"/>
      <c r="C88" s="299"/>
      <c r="D88" s="350"/>
      <c r="E88" s="350"/>
      <c r="F88" s="299"/>
      <c r="G88" s="356"/>
    </row>
    <row r="89" spans="1:7" x14ac:dyDescent="0.2">
      <c r="A89" s="303"/>
      <c r="B89" s="355"/>
      <c r="C89" s="299"/>
      <c r="D89" s="350"/>
      <c r="E89" s="350"/>
      <c r="F89" s="299"/>
      <c r="G89" s="356"/>
    </row>
    <row r="90" spans="1:7" x14ac:dyDescent="0.2">
      <c r="A90" s="303"/>
      <c r="B90" s="355"/>
      <c r="C90" s="299"/>
      <c r="D90" s="350"/>
      <c r="E90" s="350"/>
      <c r="F90" s="299"/>
      <c r="G90" s="356"/>
    </row>
    <row r="91" spans="1:7" x14ac:dyDescent="0.2">
      <c r="A91" s="303"/>
      <c r="B91" s="355"/>
      <c r="C91" s="299"/>
      <c r="D91" s="350"/>
      <c r="E91" s="350"/>
      <c r="F91" s="299"/>
      <c r="G91" s="356"/>
    </row>
    <row r="92" spans="1:7" x14ac:dyDescent="0.2">
      <c r="A92" s="303"/>
      <c r="B92" s="355"/>
      <c r="C92" s="299"/>
      <c r="D92" s="350"/>
      <c r="E92" s="350"/>
      <c r="F92" s="299"/>
      <c r="G92" s="356"/>
    </row>
    <row r="93" spans="1:7" x14ac:dyDescent="0.2">
      <c r="A93" s="303"/>
      <c r="B93" s="355"/>
      <c r="C93" s="299"/>
      <c r="D93" s="350"/>
      <c r="E93" s="350"/>
      <c r="F93" s="299"/>
      <c r="G93" s="356"/>
    </row>
    <row r="94" spans="1:7" x14ac:dyDescent="0.2">
      <c r="A94" s="303"/>
      <c r="B94" s="355"/>
      <c r="C94" s="299"/>
      <c r="D94" s="350"/>
      <c r="E94" s="350"/>
      <c r="F94" s="299"/>
      <c r="G94" s="356"/>
    </row>
    <row r="95" spans="1:7" x14ac:dyDescent="0.2">
      <c r="A95" s="303"/>
      <c r="B95" s="355"/>
      <c r="C95" s="299"/>
      <c r="D95" s="350"/>
      <c r="E95" s="350"/>
      <c r="F95" s="299"/>
      <c r="G95" s="356"/>
    </row>
    <row r="96" spans="1:7" x14ac:dyDescent="0.2">
      <c r="A96" s="303"/>
      <c r="B96" s="355"/>
      <c r="C96" s="299"/>
      <c r="D96" s="350"/>
      <c r="E96" s="350"/>
      <c r="F96" s="299"/>
      <c r="G96" s="356"/>
    </row>
    <row r="97" spans="1:7" x14ac:dyDescent="0.2">
      <c r="A97" s="303"/>
      <c r="B97" s="355"/>
      <c r="C97" s="299"/>
      <c r="D97" s="350"/>
      <c r="E97" s="350"/>
      <c r="F97" s="299"/>
      <c r="G97" s="356"/>
    </row>
    <row r="98" spans="1:7" x14ac:dyDescent="0.2">
      <c r="A98" s="303"/>
      <c r="B98" s="355"/>
      <c r="C98" s="299"/>
      <c r="D98" s="350"/>
      <c r="E98" s="350"/>
      <c r="F98" s="299"/>
      <c r="G98" s="356"/>
    </row>
    <row r="99" spans="1:7" x14ac:dyDescent="0.2">
      <c r="A99" s="303"/>
      <c r="B99" s="355"/>
      <c r="C99" s="299"/>
      <c r="D99" s="350"/>
      <c r="E99" s="350"/>
      <c r="F99" s="299"/>
      <c r="G99" s="356"/>
    </row>
    <row r="100" spans="1:7" x14ac:dyDescent="0.2">
      <c r="A100" s="303"/>
      <c r="B100" s="355"/>
      <c r="C100" s="299"/>
      <c r="D100" s="350"/>
      <c r="E100" s="350"/>
      <c r="F100" s="299"/>
      <c r="G100" s="356"/>
    </row>
    <row r="101" spans="1:7" x14ac:dyDescent="0.2">
      <c r="A101" s="303"/>
      <c r="B101" s="355"/>
      <c r="C101" s="299"/>
      <c r="D101" s="350"/>
      <c r="E101" s="350"/>
      <c r="F101" s="299"/>
      <c r="G101" s="356"/>
    </row>
    <row r="102" spans="1:7" x14ac:dyDescent="0.2">
      <c r="A102" s="303"/>
      <c r="B102" s="355"/>
      <c r="C102" s="299"/>
      <c r="D102" s="350"/>
      <c r="E102" s="350"/>
      <c r="F102" s="299"/>
      <c r="G102" s="356"/>
    </row>
    <row r="103" spans="1:7" x14ac:dyDescent="0.2">
      <c r="A103" s="303"/>
      <c r="B103" s="355"/>
      <c r="C103" s="299"/>
      <c r="D103" s="350"/>
      <c r="E103" s="350"/>
      <c r="F103" s="299"/>
      <c r="G103" s="356"/>
    </row>
    <row r="104" spans="1:7" x14ac:dyDescent="0.2">
      <c r="A104" s="303"/>
      <c r="B104" s="355"/>
      <c r="C104" s="299"/>
      <c r="D104" s="350"/>
      <c r="E104" s="350"/>
      <c r="F104" s="299"/>
      <c r="G104" s="356"/>
    </row>
    <row r="105" spans="1:7" x14ac:dyDescent="0.2">
      <c r="A105" s="303"/>
      <c r="B105" s="355"/>
      <c r="C105" s="299"/>
      <c r="D105" s="350"/>
      <c r="E105" s="350"/>
      <c r="F105" s="299"/>
      <c r="G105" s="356"/>
    </row>
    <row r="106" spans="1:7" x14ac:dyDescent="0.2">
      <c r="A106" s="303"/>
      <c r="B106" s="355"/>
      <c r="C106" s="299"/>
      <c r="D106" s="350"/>
      <c r="E106" s="350"/>
      <c r="F106" s="299"/>
      <c r="G106" s="356"/>
    </row>
    <row r="107" spans="1:7" x14ac:dyDescent="0.2">
      <c r="A107" s="303"/>
      <c r="B107" s="355"/>
      <c r="C107" s="299"/>
      <c r="D107" s="350"/>
      <c r="E107" s="350"/>
      <c r="F107" s="299"/>
      <c r="G107" s="356"/>
    </row>
    <row r="108" spans="1:7" x14ac:dyDescent="0.2">
      <c r="A108" s="303"/>
      <c r="B108" s="355"/>
      <c r="C108" s="299"/>
      <c r="D108" s="350"/>
      <c r="E108" s="350"/>
      <c r="F108" s="299"/>
      <c r="G108" s="356"/>
    </row>
    <row r="109" spans="1:7" x14ac:dyDescent="0.2">
      <c r="A109" s="303"/>
      <c r="B109" s="355"/>
      <c r="C109" s="299"/>
      <c r="D109" s="350"/>
      <c r="E109" s="350"/>
      <c r="F109" s="299"/>
      <c r="G109" s="356"/>
    </row>
    <row r="110" spans="1:7" x14ac:dyDescent="0.2">
      <c r="A110" s="303"/>
      <c r="B110" s="355"/>
      <c r="C110" s="299"/>
      <c r="D110" s="350"/>
      <c r="E110" s="350"/>
      <c r="F110" s="299"/>
      <c r="G110" s="356"/>
    </row>
    <row r="111" spans="1:7" x14ac:dyDescent="0.2">
      <c r="A111" s="303"/>
      <c r="B111" s="355"/>
      <c r="C111" s="299"/>
      <c r="D111" s="350"/>
      <c r="E111" s="350"/>
      <c r="F111" s="299"/>
      <c r="G111" s="356"/>
    </row>
    <row r="112" spans="1:7" x14ac:dyDescent="0.2">
      <c r="A112" s="303"/>
      <c r="B112" s="355"/>
      <c r="C112" s="299"/>
      <c r="D112" s="350"/>
      <c r="E112" s="350"/>
      <c r="F112" s="299"/>
      <c r="G112" s="356"/>
    </row>
    <row r="113" spans="1:7" x14ac:dyDescent="0.2">
      <c r="A113" s="303"/>
      <c r="B113" s="355"/>
      <c r="C113" s="299"/>
      <c r="D113" s="350"/>
      <c r="E113" s="350"/>
      <c r="F113" s="299"/>
      <c r="G113" s="356"/>
    </row>
    <row r="114" spans="1:7" x14ac:dyDescent="0.2">
      <c r="A114" s="303"/>
      <c r="B114" s="355"/>
      <c r="C114" s="299"/>
      <c r="D114" s="350"/>
      <c r="E114" s="350"/>
      <c r="F114" s="299"/>
      <c r="G114" s="356"/>
    </row>
    <row r="115" spans="1:7" x14ac:dyDescent="0.2">
      <c r="A115" s="303"/>
      <c r="B115" s="355"/>
      <c r="C115" s="299"/>
      <c r="D115" s="350"/>
      <c r="E115" s="350"/>
      <c r="F115" s="299"/>
      <c r="G115" s="356"/>
    </row>
    <row r="116" spans="1:7" x14ac:dyDescent="0.2">
      <c r="A116" s="303"/>
      <c r="B116" s="355"/>
      <c r="C116" s="299"/>
      <c r="D116" s="350"/>
      <c r="E116" s="350"/>
      <c r="F116" s="299"/>
      <c r="G116" s="356"/>
    </row>
    <row r="117" spans="1:7" x14ac:dyDescent="0.2">
      <c r="A117" s="303"/>
      <c r="B117" s="355"/>
      <c r="C117" s="299"/>
      <c r="D117" s="350"/>
      <c r="E117" s="350"/>
      <c r="F117" s="299"/>
      <c r="G117" s="356"/>
    </row>
    <row r="118" spans="1:7" x14ac:dyDescent="0.2">
      <c r="A118" s="303"/>
      <c r="B118" s="355"/>
      <c r="C118" s="299"/>
      <c r="D118" s="350"/>
      <c r="E118" s="350"/>
      <c r="F118" s="299"/>
      <c r="G118" s="356"/>
    </row>
    <row r="119" spans="1:7" x14ac:dyDescent="0.2">
      <c r="A119" s="303"/>
      <c r="B119" s="355"/>
      <c r="C119" s="299"/>
      <c r="D119" s="350"/>
      <c r="E119" s="350"/>
      <c r="F119" s="299"/>
      <c r="G119" s="356"/>
    </row>
    <row r="120" spans="1:7" x14ac:dyDescent="0.2">
      <c r="A120" s="303"/>
      <c r="B120" s="355"/>
      <c r="C120" s="299"/>
      <c r="D120" s="350"/>
      <c r="E120" s="350"/>
      <c r="F120" s="299"/>
      <c r="G120" s="356"/>
    </row>
    <row r="121" spans="1:7" x14ac:dyDescent="0.2">
      <c r="A121" s="303"/>
      <c r="B121" s="355"/>
      <c r="C121" s="299"/>
      <c r="D121" s="350"/>
      <c r="E121" s="350"/>
      <c r="F121" s="299"/>
      <c r="G121" s="356"/>
    </row>
    <row r="122" spans="1:7" x14ac:dyDescent="0.2">
      <c r="A122" s="303"/>
      <c r="B122" s="355"/>
      <c r="C122" s="299"/>
      <c r="D122" s="350"/>
      <c r="E122" s="350"/>
      <c r="F122" s="299"/>
      <c r="G122" s="356"/>
    </row>
    <row r="123" spans="1:7" x14ac:dyDescent="0.2">
      <c r="A123" s="303"/>
      <c r="B123" s="355"/>
      <c r="C123" s="299"/>
      <c r="D123" s="350"/>
      <c r="E123" s="350"/>
      <c r="F123" s="299"/>
      <c r="G123" s="356"/>
    </row>
    <row r="124" spans="1:7" x14ac:dyDescent="0.2">
      <c r="A124" s="303"/>
      <c r="B124" s="355"/>
      <c r="C124" s="299"/>
      <c r="D124" s="350"/>
      <c r="E124" s="350"/>
      <c r="F124" s="299"/>
      <c r="G124" s="356"/>
    </row>
    <row r="125" spans="1:7" x14ac:dyDescent="0.2">
      <c r="A125" s="303"/>
      <c r="B125" s="355"/>
      <c r="C125" s="299"/>
      <c r="D125" s="350"/>
      <c r="E125" s="350"/>
      <c r="F125" s="299"/>
      <c r="G125" s="356"/>
    </row>
    <row r="126" spans="1:7" x14ac:dyDescent="0.2">
      <c r="A126" s="303"/>
      <c r="B126" s="355"/>
      <c r="C126" s="299"/>
      <c r="D126" s="350"/>
      <c r="E126" s="350"/>
      <c r="F126" s="299"/>
      <c r="G126" s="356"/>
    </row>
    <row r="127" spans="1:7" x14ac:dyDescent="0.2">
      <c r="A127" s="303"/>
      <c r="B127" s="355"/>
      <c r="C127" s="299"/>
      <c r="D127" s="350"/>
      <c r="E127" s="350"/>
      <c r="F127" s="299"/>
      <c r="G127" s="356"/>
    </row>
    <row r="128" spans="1:7" x14ac:dyDescent="0.2">
      <c r="A128" s="303"/>
      <c r="B128" s="355"/>
      <c r="C128" s="299"/>
      <c r="D128" s="350"/>
      <c r="E128" s="350"/>
      <c r="F128" s="299"/>
      <c r="G128" s="356"/>
    </row>
    <row r="129" spans="1:7" x14ac:dyDescent="0.2">
      <c r="A129" s="303"/>
      <c r="B129" s="355"/>
      <c r="C129" s="299"/>
      <c r="D129" s="350"/>
      <c r="E129" s="350"/>
      <c r="F129" s="299"/>
      <c r="G129" s="356"/>
    </row>
    <row r="130" spans="1:7" x14ac:dyDescent="0.2">
      <c r="A130" s="303"/>
      <c r="B130" s="355"/>
      <c r="C130" s="299"/>
      <c r="D130" s="350"/>
      <c r="E130" s="350"/>
      <c r="F130" s="299"/>
      <c r="G130" s="356"/>
    </row>
    <row r="131" spans="1:7" x14ac:dyDescent="0.2">
      <c r="A131" s="303"/>
      <c r="B131" s="355"/>
      <c r="C131" s="299"/>
      <c r="D131" s="350"/>
      <c r="E131" s="350"/>
      <c r="F131" s="299"/>
      <c r="G131" s="356"/>
    </row>
    <row r="132" spans="1:7" x14ac:dyDescent="0.2">
      <c r="A132" s="303"/>
      <c r="B132" s="355"/>
      <c r="C132" s="299"/>
      <c r="D132" s="350"/>
      <c r="E132" s="350"/>
      <c r="F132" s="299"/>
      <c r="G132" s="356"/>
    </row>
    <row r="133" spans="1:7" x14ac:dyDescent="0.2">
      <c r="A133" s="303"/>
      <c r="B133" s="355"/>
      <c r="C133" s="299"/>
      <c r="D133" s="350"/>
      <c r="E133" s="350"/>
      <c r="F133" s="299"/>
      <c r="G133" s="356"/>
    </row>
    <row r="134" spans="1:7" x14ac:dyDescent="0.2">
      <c r="A134" s="303"/>
      <c r="B134" s="355"/>
      <c r="C134" s="299"/>
      <c r="D134" s="350"/>
      <c r="E134" s="350"/>
      <c r="F134" s="299"/>
      <c r="G134" s="356"/>
    </row>
    <row r="135" spans="1:7" x14ac:dyDescent="0.2">
      <c r="A135" s="303"/>
      <c r="B135" s="355"/>
      <c r="C135" s="299"/>
      <c r="D135" s="350"/>
      <c r="E135" s="350"/>
      <c r="F135" s="299"/>
      <c r="G135" s="356"/>
    </row>
    <row r="136" spans="1:7" x14ac:dyDescent="0.2">
      <c r="A136" s="303"/>
      <c r="B136" s="355"/>
      <c r="C136" s="299"/>
      <c r="D136" s="350"/>
      <c r="E136" s="350"/>
      <c r="F136" s="299"/>
      <c r="G136" s="356"/>
    </row>
    <row r="137" spans="1:7" x14ac:dyDescent="0.2">
      <c r="A137" s="303"/>
      <c r="B137" s="355"/>
      <c r="C137" s="299"/>
      <c r="D137" s="350"/>
      <c r="E137" s="350"/>
      <c r="F137" s="299"/>
      <c r="G137" s="356"/>
    </row>
    <row r="138" spans="1:7" x14ac:dyDescent="0.2">
      <c r="A138" s="303"/>
      <c r="B138" s="355"/>
      <c r="C138" s="299"/>
      <c r="D138" s="350"/>
      <c r="E138" s="350"/>
      <c r="F138" s="299"/>
      <c r="G138" s="356"/>
    </row>
    <row r="139" spans="1:7" x14ac:dyDescent="0.2">
      <c r="A139" s="303"/>
      <c r="B139" s="355"/>
      <c r="C139" s="299"/>
      <c r="D139" s="350"/>
      <c r="E139" s="350"/>
      <c r="F139" s="299"/>
      <c r="G139" s="356"/>
    </row>
    <row r="140" spans="1:7" x14ac:dyDescent="0.2">
      <c r="A140" s="303"/>
      <c r="B140" s="355"/>
      <c r="C140" s="299"/>
      <c r="D140" s="350"/>
      <c r="E140" s="350"/>
      <c r="F140" s="299"/>
      <c r="G140" s="356"/>
    </row>
    <row r="141" spans="1:7" x14ac:dyDescent="0.2">
      <c r="A141" s="303"/>
      <c r="B141" s="355"/>
      <c r="C141" s="299"/>
      <c r="D141" s="350"/>
      <c r="E141" s="350"/>
      <c r="F141" s="299"/>
      <c r="G141" s="356"/>
    </row>
    <row r="142" spans="1:7" x14ac:dyDescent="0.2">
      <c r="A142" s="303"/>
      <c r="B142" s="355"/>
      <c r="C142" s="299"/>
      <c r="D142" s="350"/>
      <c r="E142" s="350"/>
      <c r="F142" s="299"/>
      <c r="G142" s="356"/>
    </row>
    <row r="143" spans="1:7" x14ac:dyDescent="0.2">
      <c r="A143" s="303"/>
      <c r="B143" s="355"/>
      <c r="C143" s="299"/>
      <c r="D143" s="350"/>
      <c r="E143" s="350"/>
      <c r="F143" s="299"/>
      <c r="G143" s="356"/>
    </row>
    <row r="144" spans="1:7" x14ac:dyDescent="0.2">
      <c r="A144" s="303"/>
      <c r="B144" s="355"/>
      <c r="C144" s="299"/>
      <c r="D144" s="350"/>
      <c r="E144" s="350"/>
      <c r="F144" s="299"/>
      <c r="G144" s="356"/>
    </row>
    <row r="145" spans="1:7" x14ac:dyDescent="0.2">
      <c r="A145" s="303"/>
      <c r="B145" s="355"/>
      <c r="C145" s="299"/>
      <c r="D145" s="350"/>
      <c r="E145" s="350"/>
      <c r="F145" s="299"/>
      <c r="G145" s="356"/>
    </row>
    <row r="146" spans="1:7" x14ac:dyDescent="0.2">
      <c r="A146" s="303"/>
      <c r="B146" s="355"/>
      <c r="C146" s="299"/>
      <c r="D146" s="350"/>
      <c r="E146" s="350"/>
      <c r="F146" s="299"/>
      <c r="G146" s="356"/>
    </row>
    <row r="147" spans="1:7" x14ac:dyDescent="0.2">
      <c r="A147" s="303"/>
      <c r="B147" s="355"/>
      <c r="C147" s="299"/>
      <c r="D147" s="350"/>
      <c r="E147" s="350"/>
      <c r="F147" s="299"/>
      <c r="G147" s="356"/>
    </row>
    <row r="148" spans="1:7" x14ac:dyDescent="0.2">
      <c r="A148" s="303"/>
      <c r="B148" s="299"/>
      <c r="C148" s="299"/>
      <c r="D148" s="299"/>
      <c r="E148" s="299"/>
      <c r="F148" s="299"/>
      <c r="G148" s="299"/>
    </row>
    <row r="149" spans="1:7" x14ac:dyDescent="0.2">
      <c r="A149" s="303"/>
      <c r="B149" s="299"/>
      <c r="C149" s="299"/>
      <c r="D149" s="299"/>
      <c r="E149" s="299"/>
      <c r="F149" s="299"/>
      <c r="G149" s="299"/>
    </row>
    <row r="150" spans="1:7" x14ac:dyDescent="0.2">
      <c r="A150" s="303"/>
      <c r="B150" s="299"/>
      <c r="C150" s="299"/>
      <c r="D150" s="299"/>
      <c r="E150" s="299"/>
      <c r="F150" s="299"/>
      <c r="G150" s="299"/>
    </row>
    <row r="151" spans="1:7" x14ac:dyDescent="0.2">
      <c r="A151" s="303"/>
      <c r="B151" s="299"/>
      <c r="C151" s="299"/>
      <c r="D151" s="299"/>
      <c r="E151" s="299"/>
      <c r="F151" s="299"/>
      <c r="G151" s="299"/>
    </row>
    <row r="152" spans="1:7" x14ac:dyDescent="0.2">
      <c r="A152" s="303"/>
      <c r="B152" s="299"/>
      <c r="C152" s="299"/>
      <c r="D152" s="299"/>
      <c r="E152" s="299"/>
      <c r="F152" s="299"/>
      <c r="G152" s="299"/>
    </row>
    <row r="153" spans="1:7" x14ac:dyDescent="0.2">
      <c r="A153" s="303"/>
      <c r="B153" s="299"/>
      <c r="C153" s="299"/>
      <c r="D153" s="299"/>
      <c r="E153" s="299"/>
      <c r="F153" s="299"/>
      <c r="G153" s="299"/>
    </row>
    <row r="154" spans="1:7" x14ac:dyDescent="0.2">
      <c r="A154" s="303"/>
      <c r="B154" s="299"/>
      <c r="C154" s="299"/>
      <c r="D154" s="299"/>
      <c r="E154" s="299"/>
      <c r="F154" s="299"/>
      <c r="G154" s="299"/>
    </row>
    <row r="155" spans="1:7" x14ac:dyDescent="0.2">
      <c r="A155" s="303"/>
      <c r="B155" s="299"/>
      <c r="C155" s="299"/>
      <c r="D155" s="299"/>
      <c r="E155" s="299"/>
      <c r="F155" s="299"/>
      <c r="G155" s="299"/>
    </row>
    <row r="156" spans="1:7" x14ac:dyDescent="0.2">
      <c r="A156" s="303"/>
      <c r="B156" s="299"/>
      <c r="C156" s="299"/>
      <c r="D156" s="299"/>
      <c r="E156" s="299"/>
      <c r="F156" s="299"/>
      <c r="G156" s="299"/>
    </row>
    <row r="157" spans="1:7" x14ac:dyDescent="0.2">
      <c r="A157" s="303"/>
      <c r="B157" s="299"/>
      <c r="C157" s="299"/>
      <c r="D157" s="299"/>
      <c r="E157" s="299"/>
      <c r="F157" s="299"/>
      <c r="G157" s="299"/>
    </row>
    <row r="158" spans="1:7" x14ac:dyDescent="0.2">
      <c r="A158" s="303"/>
      <c r="B158" s="299"/>
      <c r="C158" s="299"/>
      <c r="D158" s="299"/>
      <c r="E158" s="299"/>
      <c r="F158" s="299"/>
      <c r="G158" s="299"/>
    </row>
    <row r="159" spans="1:7" x14ac:dyDescent="0.2">
      <c r="A159" s="303"/>
      <c r="B159" s="299"/>
      <c r="C159" s="299"/>
      <c r="D159" s="299"/>
      <c r="E159" s="299"/>
      <c r="F159" s="299"/>
      <c r="G159" s="299"/>
    </row>
    <row r="160" spans="1:7" x14ac:dyDescent="0.2">
      <c r="A160" s="303"/>
      <c r="B160" s="299"/>
      <c r="C160" s="299"/>
      <c r="D160" s="299"/>
      <c r="E160" s="299"/>
      <c r="F160" s="299"/>
      <c r="G160" s="299"/>
    </row>
    <row r="161" spans="1:7" x14ac:dyDescent="0.2">
      <c r="A161" s="303"/>
      <c r="B161" s="299"/>
      <c r="C161" s="299"/>
      <c r="D161" s="299"/>
      <c r="E161" s="299"/>
      <c r="F161" s="299"/>
      <c r="G161" s="299"/>
    </row>
    <row r="162" spans="1:7" x14ac:dyDescent="0.2">
      <c r="A162" s="303"/>
      <c r="B162" s="299"/>
      <c r="C162" s="299"/>
      <c r="D162" s="299"/>
      <c r="E162" s="299"/>
      <c r="F162" s="299"/>
      <c r="G162" s="299"/>
    </row>
    <row r="163" spans="1:7" x14ac:dyDescent="0.2">
      <c r="A163" s="303"/>
      <c r="B163" s="299"/>
      <c r="C163" s="299"/>
      <c r="D163" s="299"/>
      <c r="E163" s="299"/>
      <c r="F163" s="299"/>
      <c r="G163" s="299"/>
    </row>
    <row r="164" spans="1:7" x14ac:dyDescent="0.2">
      <c r="A164" s="303"/>
      <c r="B164" s="299"/>
      <c r="C164" s="299"/>
      <c r="D164" s="299"/>
      <c r="E164" s="299"/>
      <c r="F164" s="299"/>
      <c r="G164" s="299"/>
    </row>
    <row r="165" spans="1:7" x14ac:dyDescent="0.2">
      <c r="A165" s="303"/>
      <c r="B165" s="299"/>
      <c r="C165" s="299"/>
      <c r="D165" s="299"/>
      <c r="E165" s="299"/>
      <c r="F165" s="299"/>
      <c r="G165" s="299"/>
    </row>
    <row r="166" spans="1:7" x14ac:dyDescent="0.2">
      <c r="A166" s="303"/>
      <c r="B166" s="299"/>
      <c r="C166" s="299"/>
      <c r="D166" s="299"/>
      <c r="E166" s="299"/>
      <c r="F166" s="299"/>
      <c r="G166" s="299"/>
    </row>
    <row r="167" spans="1:7" x14ac:dyDescent="0.2">
      <c r="A167" s="303"/>
      <c r="B167" s="299"/>
      <c r="C167" s="299"/>
      <c r="D167" s="299"/>
      <c r="E167" s="299"/>
      <c r="F167" s="299"/>
      <c r="G167" s="299"/>
    </row>
    <row r="168" spans="1:7" x14ac:dyDescent="0.2">
      <c r="A168" s="303"/>
      <c r="B168" s="299"/>
      <c r="C168" s="299"/>
      <c r="D168" s="299"/>
      <c r="E168" s="299"/>
      <c r="F168" s="299"/>
      <c r="G168" s="299"/>
    </row>
    <row r="169" spans="1:7" x14ac:dyDescent="0.2">
      <c r="A169" s="303"/>
      <c r="B169" s="299"/>
      <c r="C169" s="299"/>
      <c r="D169" s="299"/>
      <c r="E169" s="299"/>
      <c r="F169" s="299"/>
      <c r="G169" s="299"/>
    </row>
    <row r="170" spans="1:7" x14ac:dyDescent="0.2">
      <c r="A170" s="303"/>
      <c r="B170" s="299"/>
      <c r="C170" s="299"/>
      <c r="D170" s="299"/>
      <c r="E170" s="299"/>
      <c r="F170" s="299"/>
      <c r="G170" s="299"/>
    </row>
    <row r="171" spans="1:7" x14ac:dyDescent="0.2">
      <c r="A171" s="303"/>
      <c r="B171" s="299"/>
      <c r="C171" s="299"/>
      <c r="D171" s="299"/>
      <c r="E171" s="299"/>
      <c r="F171" s="299"/>
      <c r="G171" s="299"/>
    </row>
    <row r="172" spans="1:7" x14ac:dyDescent="0.2">
      <c r="A172" s="303"/>
      <c r="B172" s="299"/>
      <c r="C172" s="299"/>
      <c r="D172" s="299"/>
      <c r="E172" s="299"/>
      <c r="F172" s="299"/>
      <c r="G172" s="299"/>
    </row>
    <row r="173" spans="1:7" x14ac:dyDescent="0.2">
      <c r="A173" s="303"/>
      <c r="B173" s="299"/>
      <c r="C173" s="299"/>
      <c r="D173" s="299"/>
      <c r="E173" s="299"/>
      <c r="F173" s="299"/>
      <c r="G173" s="299"/>
    </row>
    <row r="174" spans="1:7" x14ac:dyDescent="0.2">
      <c r="A174" s="303"/>
      <c r="B174" s="299"/>
      <c r="C174" s="299"/>
      <c r="D174" s="299"/>
      <c r="E174" s="299"/>
      <c r="F174" s="299"/>
      <c r="G174" s="299"/>
    </row>
    <row r="175" spans="1:7" x14ac:dyDescent="0.2">
      <c r="A175" s="303"/>
      <c r="B175" s="299"/>
      <c r="C175" s="299"/>
      <c r="D175" s="299"/>
      <c r="E175" s="299"/>
      <c r="F175" s="299"/>
      <c r="G175" s="299"/>
    </row>
    <row r="176" spans="1:7" x14ac:dyDescent="0.2">
      <c r="A176" s="303"/>
      <c r="B176" s="299"/>
      <c r="C176" s="299"/>
      <c r="D176" s="299"/>
      <c r="E176" s="299"/>
      <c r="F176" s="299"/>
      <c r="G176" s="299"/>
    </row>
    <row r="177" spans="1:7" x14ac:dyDescent="0.2">
      <c r="A177" s="303"/>
      <c r="B177" s="299"/>
      <c r="C177" s="299"/>
      <c r="D177" s="299"/>
      <c r="E177" s="299"/>
      <c r="F177" s="299"/>
      <c r="G177" s="299"/>
    </row>
    <row r="178" spans="1:7" x14ac:dyDescent="0.2">
      <c r="A178" s="303"/>
      <c r="B178" s="299"/>
      <c r="C178" s="299"/>
      <c r="D178" s="299"/>
      <c r="E178" s="299"/>
      <c r="F178" s="299"/>
      <c r="G178" s="299"/>
    </row>
    <row r="179" spans="1:7" x14ac:dyDescent="0.2">
      <c r="A179" s="303"/>
      <c r="B179" s="299"/>
      <c r="C179" s="299"/>
      <c r="D179" s="299"/>
      <c r="E179" s="299"/>
      <c r="F179" s="299"/>
      <c r="G179" s="299"/>
    </row>
    <row r="180" spans="1:7" x14ac:dyDescent="0.2">
      <c r="A180" s="303"/>
      <c r="B180" s="299"/>
      <c r="C180" s="299"/>
      <c r="D180" s="299"/>
      <c r="E180" s="299"/>
      <c r="F180" s="299"/>
      <c r="G180" s="299"/>
    </row>
    <row r="181" spans="1:7" x14ac:dyDescent="0.2">
      <c r="A181" s="303"/>
      <c r="B181" s="299"/>
      <c r="C181" s="299"/>
      <c r="D181" s="299"/>
      <c r="E181" s="299"/>
      <c r="F181" s="299"/>
      <c r="G181" s="299"/>
    </row>
    <row r="182" spans="1:7" x14ac:dyDescent="0.2">
      <c r="A182" s="303"/>
      <c r="B182" s="299"/>
      <c r="C182" s="299"/>
      <c r="D182" s="299"/>
      <c r="E182" s="299"/>
      <c r="F182" s="299"/>
      <c r="G182" s="299"/>
    </row>
    <row r="183" spans="1:7" x14ac:dyDescent="0.2">
      <c r="A183" s="303"/>
      <c r="B183" s="299"/>
      <c r="C183" s="299"/>
      <c r="D183" s="299"/>
      <c r="E183" s="299"/>
      <c r="F183" s="299"/>
      <c r="G183" s="299"/>
    </row>
    <row r="184" spans="1:7" x14ac:dyDescent="0.2">
      <c r="A184" s="303"/>
      <c r="B184" s="299"/>
      <c r="C184" s="299"/>
      <c r="D184" s="299"/>
      <c r="E184" s="299"/>
      <c r="F184" s="299"/>
      <c r="G184" s="299"/>
    </row>
    <row r="185" spans="1:7" x14ac:dyDescent="0.2">
      <c r="A185" s="303"/>
      <c r="B185" s="299"/>
      <c r="C185" s="299"/>
      <c r="D185" s="299"/>
      <c r="E185" s="299"/>
      <c r="F185" s="299"/>
      <c r="G185" s="299"/>
    </row>
    <row r="186" spans="1:7" x14ac:dyDescent="0.2">
      <c r="A186" s="303"/>
      <c r="B186" s="299"/>
      <c r="C186" s="299"/>
      <c r="D186" s="299"/>
      <c r="E186" s="299"/>
      <c r="F186" s="299"/>
      <c r="G186" s="299"/>
    </row>
    <row r="187" spans="1:7" x14ac:dyDescent="0.2">
      <c r="A187" s="303"/>
      <c r="B187" s="299"/>
      <c r="C187" s="299"/>
      <c r="D187" s="299"/>
      <c r="E187" s="299"/>
      <c r="F187" s="299"/>
      <c r="G187" s="299"/>
    </row>
    <row r="188" spans="1:7" x14ac:dyDescent="0.2">
      <c r="A188" s="303"/>
      <c r="B188" s="299"/>
      <c r="C188" s="299"/>
      <c r="D188" s="299"/>
      <c r="E188" s="299"/>
      <c r="F188" s="299"/>
      <c r="G188" s="299"/>
    </row>
    <row r="189" spans="1:7" x14ac:dyDescent="0.2">
      <c r="A189" s="303"/>
      <c r="B189" s="299"/>
      <c r="C189" s="299"/>
      <c r="D189" s="299"/>
      <c r="E189" s="299"/>
      <c r="F189" s="299"/>
      <c r="G189" s="299"/>
    </row>
    <row r="190" spans="1:7" x14ac:dyDescent="0.2">
      <c r="A190" s="303"/>
      <c r="B190" s="299"/>
      <c r="C190" s="299"/>
      <c r="D190" s="299"/>
      <c r="E190" s="299"/>
      <c r="F190" s="299"/>
      <c r="G190" s="299"/>
    </row>
    <row r="191" spans="1:7" x14ac:dyDescent="0.2">
      <c r="A191" s="303"/>
      <c r="B191" s="299"/>
      <c r="C191" s="299"/>
      <c r="D191" s="299"/>
      <c r="E191" s="299"/>
      <c r="F191" s="299"/>
      <c r="G191" s="299"/>
    </row>
    <row r="192" spans="1:7" x14ac:dyDescent="0.2">
      <c r="A192" s="303"/>
      <c r="B192" s="299"/>
      <c r="C192" s="299"/>
      <c r="D192" s="299"/>
      <c r="E192" s="299"/>
      <c r="F192" s="299"/>
      <c r="G192" s="299"/>
    </row>
    <row r="193" spans="1:7" x14ac:dyDescent="0.2">
      <c r="A193" s="303"/>
      <c r="B193" s="299"/>
      <c r="C193" s="299"/>
      <c r="D193" s="299"/>
      <c r="E193" s="299"/>
      <c r="F193" s="299"/>
      <c r="G193" s="299"/>
    </row>
    <row r="194" spans="1:7" x14ac:dyDescent="0.2">
      <c r="A194" s="303"/>
      <c r="B194" s="299"/>
      <c r="C194" s="299"/>
      <c r="D194" s="299"/>
      <c r="E194" s="299"/>
      <c r="F194" s="299"/>
      <c r="G194" s="299"/>
    </row>
    <row r="195" spans="1:7" x14ac:dyDescent="0.2">
      <c r="A195" s="303"/>
      <c r="B195" s="299"/>
      <c r="C195" s="299"/>
      <c r="D195" s="299"/>
      <c r="E195" s="299"/>
      <c r="F195" s="299"/>
      <c r="G195" s="299"/>
    </row>
    <row r="196" spans="1:7" x14ac:dyDescent="0.2">
      <c r="A196" s="303"/>
      <c r="B196" s="299"/>
      <c r="C196" s="299"/>
      <c r="D196" s="299"/>
      <c r="E196" s="299"/>
      <c r="F196" s="299"/>
      <c r="G196" s="299"/>
    </row>
    <row r="197" spans="1:7" x14ac:dyDescent="0.2">
      <c r="A197" s="303"/>
      <c r="B197" s="299"/>
      <c r="C197" s="299"/>
      <c r="D197" s="299"/>
      <c r="E197" s="299"/>
      <c r="F197" s="299"/>
      <c r="G197" s="299"/>
    </row>
    <row r="198" spans="1:7" x14ac:dyDescent="0.2">
      <c r="A198" s="303"/>
      <c r="B198" s="299"/>
      <c r="C198" s="299"/>
      <c r="D198" s="299"/>
      <c r="E198" s="299"/>
      <c r="F198" s="299"/>
      <c r="G198" s="299"/>
    </row>
    <row r="199" spans="1:7" x14ac:dyDescent="0.2">
      <c r="A199" s="303"/>
      <c r="B199" s="299"/>
      <c r="C199" s="299"/>
      <c r="D199" s="299"/>
      <c r="E199" s="299"/>
      <c r="F199" s="299"/>
      <c r="G199" s="299"/>
    </row>
    <row r="200" spans="1:7" x14ac:dyDescent="0.2">
      <c r="A200" s="303"/>
      <c r="B200" s="299"/>
      <c r="C200" s="299"/>
      <c r="D200" s="299"/>
      <c r="E200" s="299"/>
      <c r="F200" s="299"/>
      <c r="G200" s="299"/>
    </row>
    <row r="201" spans="1:7" x14ac:dyDescent="0.2">
      <c r="A201" s="303"/>
      <c r="B201" s="299"/>
      <c r="C201" s="299"/>
      <c r="D201" s="299"/>
      <c r="E201" s="299"/>
      <c r="F201" s="299"/>
      <c r="G201" s="299"/>
    </row>
    <row r="202" spans="1:7" x14ac:dyDescent="0.2">
      <c r="A202" s="370"/>
    </row>
    <row r="203" spans="1:7" x14ac:dyDescent="0.2">
      <c r="A203" s="370"/>
    </row>
    <row r="204" spans="1:7" x14ac:dyDescent="0.2">
      <c r="A204" s="370"/>
    </row>
    <row r="205" spans="1:7" x14ac:dyDescent="0.2">
      <c r="A205" s="370"/>
    </row>
    <row r="206" spans="1:7" x14ac:dyDescent="0.2">
      <c r="A206" s="370"/>
    </row>
    <row r="207" spans="1:7" x14ac:dyDescent="0.2">
      <c r="A207" s="370"/>
    </row>
    <row r="208" spans="1:7" x14ac:dyDescent="0.2">
      <c r="A208" s="370"/>
    </row>
    <row r="209" spans="1:1" x14ac:dyDescent="0.2">
      <c r="A209" s="370"/>
    </row>
    <row r="210" spans="1:1" x14ac:dyDescent="0.2">
      <c r="A210" s="370"/>
    </row>
    <row r="211" spans="1:1" x14ac:dyDescent="0.2">
      <c r="A211" s="370"/>
    </row>
    <row r="212" spans="1:1" x14ac:dyDescent="0.2">
      <c r="A212" s="370"/>
    </row>
    <row r="213" spans="1:1" x14ac:dyDescent="0.2">
      <c r="A213" s="370"/>
    </row>
    <row r="214" spans="1:1" x14ac:dyDescent="0.2">
      <c r="A214" s="370"/>
    </row>
    <row r="215" spans="1:1" x14ac:dyDescent="0.2">
      <c r="A215" s="370"/>
    </row>
    <row r="216" spans="1:1" x14ac:dyDescent="0.2">
      <c r="A216" s="370"/>
    </row>
    <row r="217" spans="1:1" x14ac:dyDescent="0.2">
      <c r="A217" s="370"/>
    </row>
    <row r="218" spans="1:1" x14ac:dyDescent="0.2">
      <c r="A218" s="370"/>
    </row>
    <row r="219" spans="1:1" x14ac:dyDescent="0.2">
      <c r="A219" s="370"/>
    </row>
    <row r="220" spans="1:1" x14ac:dyDescent="0.2">
      <c r="A220" s="370"/>
    </row>
    <row r="221" spans="1:1" x14ac:dyDescent="0.2">
      <c r="A221" s="370"/>
    </row>
    <row r="222" spans="1:1" x14ac:dyDescent="0.2">
      <c r="A222" s="370"/>
    </row>
    <row r="223" spans="1:1" x14ac:dyDescent="0.2">
      <c r="A223" s="370"/>
    </row>
    <row r="224" spans="1:1" x14ac:dyDescent="0.2">
      <c r="A224" s="370"/>
    </row>
    <row r="225" spans="1:1" x14ac:dyDescent="0.2">
      <c r="A225" s="370"/>
    </row>
    <row r="226" spans="1:1" x14ac:dyDescent="0.2">
      <c r="A226" s="370"/>
    </row>
    <row r="227" spans="1:1" x14ac:dyDescent="0.2">
      <c r="A227" s="370"/>
    </row>
    <row r="228" spans="1:1" x14ac:dyDescent="0.2">
      <c r="A228" s="370"/>
    </row>
    <row r="229" spans="1:1" x14ac:dyDescent="0.2">
      <c r="A229" s="370"/>
    </row>
    <row r="230" spans="1:1" x14ac:dyDescent="0.2">
      <c r="A230" s="370"/>
    </row>
    <row r="231" spans="1:1" x14ac:dyDescent="0.2">
      <c r="A231" s="370"/>
    </row>
    <row r="232" spans="1:1" x14ac:dyDescent="0.2">
      <c r="A232" s="370"/>
    </row>
    <row r="233" spans="1:1" x14ac:dyDescent="0.2">
      <c r="A233" s="370"/>
    </row>
    <row r="234" spans="1:1" x14ac:dyDescent="0.2">
      <c r="A234" s="370"/>
    </row>
    <row r="235" spans="1:1" x14ac:dyDescent="0.2">
      <c r="A235" s="370"/>
    </row>
    <row r="236" spans="1:1" x14ac:dyDescent="0.2">
      <c r="A236" s="370"/>
    </row>
    <row r="237" spans="1:1" x14ac:dyDescent="0.2">
      <c r="A237" s="370"/>
    </row>
    <row r="238" spans="1:1" x14ac:dyDescent="0.2">
      <c r="A238" s="370"/>
    </row>
    <row r="239" spans="1:1" x14ac:dyDescent="0.2">
      <c r="A239" s="370"/>
    </row>
    <row r="240" spans="1:1" x14ac:dyDescent="0.2">
      <c r="A240" s="370"/>
    </row>
    <row r="241" spans="1:1" x14ac:dyDescent="0.2">
      <c r="A241" s="370"/>
    </row>
    <row r="242" spans="1:1" x14ac:dyDescent="0.2">
      <c r="A242" s="370"/>
    </row>
    <row r="243" spans="1:1" x14ac:dyDescent="0.2">
      <c r="A243" s="370"/>
    </row>
    <row r="244" spans="1:1" x14ac:dyDescent="0.2">
      <c r="A244" s="370"/>
    </row>
    <row r="245" spans="1:1" x14ac:dyDescent="0.2">
      <c r="A245" s="370"/>
    </row>
    <row r="246" spans="1:1" x14ac:dyDescent="0.2">
      <c r="A246" s="370"/>
    </row>
    <row r="247" spans="1:1" x14ac:dyDescent="0.2">
      <c r="A247" s="370"/>
    </row>
    <row r="248" spans="1:1" x14ac:dyDescent="0.2">
      <c r="A248" s="370"/>
    </row>
    <row r="249" spans="1:1" x14ac:dyDescent="0.2">
      <c r="A249" s="370"/>
    </row>
    <row r="250" spans="1:1" x14ac:dyDescent="0.2">
      <c r="A250" s="370"/>
    </row>
    <row r="251" spans="1:1" x14ac:dyDescent="0.2">
      <c r="A251" s="370"/>
    </row>
    <row r="252" spans="1:1" x14ac:dyDescent="0.2">
      <c r="A252" s="370"/>
    </row>
    <row r="253" spans="1:1" x14ac:dyDescent="0.2">
      <c r="A253" s="370"/>
    </row>
    <row r="254" spans="1:1" x14ac:dyDescent="0.2">
      <c r="A254" s="370"/>
    </row>
    <row r="255" spans="1:1" x14ac:dyDescent="0.2">
      <c r="A255" s="370"/>
    </row>
    <row r="256" spans="1:1" x14ac:dyDescent="0.2">
      <c r="A256" s="370"/>
    </row>
    <row r="257" spans="1:1" x14ac:dyDescent="0.2">
      <c r="A257" s="370"/>
    </row>
    <row r="258" spans="1:1" x14ac:dyDescent="0.2">
      <c r="A258" s="370"/>
    </row>
    <row r="259" spans="1:1" x14ac:dyDescent="0.2">
      <c r="A259" s="370"/>
    </row>
    <row r="260" spans="1:1" x14ac:dyDescent="0.2">
      <c r="A260" s="370"/>
    </row>
    <row r="261" spans="1:1" x14ac:dyDescent="0.2">
      <c r="A261" s="370"/>
    </row>
    <row r="262" spans="1:1" x14ac:dyDescent="0.2">
      <c r="A262" s="370"/>
    </row>
    <row r="263" spans="1:1" x14ac:dyDescent="0.2">
      <c r="A263" s="370"/>
    </row>
    <row r="264" spans="1:1" x14ac:dyDescent="0.2">
      <c r="A264" s="370"/>
    </row>
    <row r="265" spans="1:1" x14ac:dyDescent="0.2">
      <c r="A265" s="370"/>
    </row>
    <row r="266" spans="1:1" x14ac:dyDescent="0.2">
      <c r="A266" s="370"/>
    </row>
    <row r="267" spans="1:1" x14ac:dyDescent="0.2">
      <c r="A267" s="370"/>
    </row>
    <row r="268" spans="1:1" x14ac:dyDescent="0.2">
      <c r="A268" s="370"/>
    </row>
    <row r="269" spans="1:1" x14ac:dyDescent="0.2">
      <c r="A269" s="370"/>
    </row>
    <row r="270" spans="1:1" x14ac:dyDescent="0.2">
      <c r="A270" s="370"/>
    </row>
    <row r="271" spans="1:1" x14ac:dyDescent="0.2">
      <c r="A271" s="370"/>
    </row>
    <row r="272" spans="1:1" x14ac:dyDescent="0.2">
      <c r="A272" s="370"/>
    </row>
    <row r="273" spans="1:1" x14ac:dyDescent="0.2">
      <c r="A273" s="370"/>
    </row>
    <row r="274" spans="1:1" x14ac:dyDescent="0.2">
      <c r="A274" s="370"/>
    </row>
    <row r="275" spans="1:1" x14ac:dyDescent="0.2">
      <c r="A275" s="370"/>
    </row>
    <row r="276" spans="1:1" x14ac:dyDescent="0.2">
      <c r="A276" s="370"/>
    </row>
    <row r="277" spans="1:1" x14ac:dyDescent="0.2">
      <c r="A277" s="370"/>
    </row>
    <row r="278" spans="1:1" x14ac:dyDescent="0.2">
      <c r="A278" s="370"/>
    </row>
    <row r="279" spans="1:1" x14ac:dyDescent="0.2">
      <c r="A279" s="370"/>
    </row>
    <row r="280" spans="1:1" x14ac:dyDescent="0.2">
      <c r="A280" s="370"/>
    </row>
    <row r="281" spans="1:1" x14ac:dyDescent="0.2">
      <c r="A281" s="370"/>
    </row>
    <row r="282" spans="1:1" x14ac:dyDescent="0.2">
      <c r="A282" s="370"/>
    </row>
    <row r="283" spans="1:1" x14ac:dyDescent="0.2">
      <c r="A283" s="370"/>
    </row>
    <row r="284" spans="1:1" x14ac:dyDescent="0.2">
      <c r="A284" s="370"/>
    </row>
    <row r="285" spans="1:1" x14ac:dyDescent="0.2">
      <c r="A285" s="370"/>
    </row>
    <row r="286" spans="1:1" x14ac:dyDescent="0.2">
      <c r="A286" s="370"/>
    </row>
    <row r="287" spans="1:1" x14ac:dyDescent="0.2">
      <c r="A287" s="370"/>
    </row>
    <row r="288" spans="1:1" x14ac:dyDescent="0.2">
      <c r="A288" s="370"/>
    </row>
    <row r="289" spans="1:1" x14ac:dyDescent="0.2">
      <c r="A289" s="370"/>
    </row>
    <row r="290" spans="1:1" x14ac:dyDescent="0.2">
      <c r="A290" s="370"/>
    </row>
    <row r="291" spans="1:1" x14ac:dyDescent="0.2">
      <c r="A291" s="370"/>
    </row>
    <row r="292" spans="1:1" x14ac:dyDescent="0.2">
      <c r="A292" s="370"/>
    </row>
    <row r="293" spans="1:1" x14ac:dyDescent="0.2">
      <c r="A293" s="370"/>
    </row>
    <row r="294" spans="1:1" x14ac:dyDescent="0.2">
      <c r="A294" s="370"/>
    </row>
    <row r="295" spans="1:1" x14ac:dyDescent="0.2">
      <c r="A295" s="370"/>
    </row>
    <row r="296" spans="1:1" x14ac:dyDescent="0.2">
      <c r="A296" s="370"/>
    </row>
    <row r="297" spans="1:1" x14ac:dyDescent="0.2">
      <c r="A297" s="370"/>
    </row>
    <row r="298" spans="1:1" x14ac:dyDescent="0.2">
      <c r="A298" s="370"/>
    </row>
    <row r="299" spans="1:1" x14ac:dyDescent="0.2">
      <c r="A299" s="370"/>
    </row>
    <row r="300" spans="1:1" x14ac:dyDescent="0.2">
      <c r="A300" s="370"/>
    </row>
    <row r="301" spans="1:1" x14ac:dyDescent="0.2">
      <c r="A301" s="370"/>
    </row>
    <row r="302" spans="1:1" x14ac:dyDescent="0.2">
      <c r="A302" s="370"/>
    </row>
    <row r="303" spans="1:1" x14ac:dyDescent="0.2">
      <c r="A303" s="370"/>
    </row>
    <row r="304" spans="1:1" x14ac:dyDescent="0.2">
      <c r="A304" s="370"/>
    </row>
    <row r="305" spans="1:1" x14ac:dyDescent="0.2">
      <c r="A305" s="370"/>
    </row>
    <row r="306" spans="1:1" x14ac:dyDescent="0.2">
      <c r="A306" s="370"/>
    </row>
    <row r="307" spans="1:1" x14ac:dyDescent="0.2">
      <c r="A307" s="370"/>
    </row>
    <row r="308" spans="1:1" x14ac:dyDescent="0.2">
      <c r="A308" s="370"/>
    </row>
    <row r="309" spans="1:1" x14ac:dyDescent="0.2">
      <c r="A309" s="370"/>
    </row>
    <row r="310" spans="1:1" x14ac:dyDescent="0.2">
      <c r="A310" s="370"/>
    </row>
    <row r="311" spans="1:1" x14ac:dyDescent="0.2">
      <c r="A311" s="370"/>
    </row>
    <row r="312" spans="1:1" x14ac:dyDescent="0.2">
      <c r="A312" s="370"/>
    </row>
    <row r="313" spans="1:1" x14ac:dyDescent="0.2">
      <c r="A313" s="370"/>
    </row>
    <row r="314" spans="1:1" x14ac:dyDescent="0.2">
      <c r="A314" s="370"/>
    </row>
    <row r="315" spans="1:1" x14ac:dyDescent="0.2">
      <c r="A315" s="370"/>
    </row>
    <row r="316" spans="1:1" x14ac:dyDescent="0.2">
      <c r="A316" s="370"/>
    </row>
    <row r="317" spans="1:1" x14ac:dyDescent="0.2">
      <c r="A317" s="370"/>
    </row>
    <row r="318" spans="1:1" x14ac:dyDescent="0.2">
      <c r="A318" s="370"/>
    </row>
    <row r="319" spans="1:1" x14ac:dyDescent="0.2">
      <c r="A319" s="370"/>
    </row>
    <row r="320" spans="1:1" x14ac:dyDescent="0.2">
      <c r="A320" s="370"/>
    </row>
    <row r="321" spans="1:1" x14ac:dyDescent="0.2">
      <c r="A321" s="370"/>
    </row>
    <row r="322" spans="1:1" x14ac:dyDescent="0.2">
      <c r="A322" s="370"/>
    </row>
    <row r="323" spans="1:1" x14ac:dyDescent="0.2">
      <c r="A323" s="370"/>
    </row>
    <row r="324" spans="1:1" x14ac:dyDescent="0.2">
      <c r="A324" s="370"/>
    </row>
    <row r="325" spans="1:1" x14ac:dyDescent="0.2">
      <c r="A325" s="370"/>
    </row>
    <row r="326" spans="1:1" x14ac:dyDescent="0.2">
      <c r="A326" s="370"/>
    </row>
    <row r="327" spans="1:1" x14ac:dyDescent="0.2">
      <c r="A327" s="370"/>
    </row>
    <row r="328" spans="1:1" x14ac:dyDescent="0.2">
      <c r="A328" s="370"/>
    </row>
    <row r="329" spans="1:1" x14ac:dyDescent="0.2">
      <c r="A329" s="370"/>
    </row>
    <row r="330" spans="1:1" x14ac:dyDescent="0.2">
      <c r="A330" s="370"/>
    </row>
    <row r="331" spans="1:1" x14ac:dyDescent="0.2">
      <c r="A331" s="370"/>
    </row>
    <row r="332" spans="1:1" x14ac:dyDescent="0.2">
      <c r="A332" s="370"/>
    </row>
    <row r="333" spans="1:1" x14ac:dyDescent="0.2">
      <c r="A333" s="370"/>
    </row>
    <row r="334" spans="1:1" x14ac:dyDescent="0.2">
      <c r="A334" s="370"/>
    </row>
    <row r="335" spans="1:1" x14ac:dyDescent="0.2">
      <c r="A335" s="370"/>
    </row>
    <row r="336" spans="1:1" x14ac:dyDescent="0.2">
      <c r="A336" s="370"/>
    </row>
    <row r="337" spans="1:1" x14ac:dyDescent="0.2">
      <c r="A337" s="370"/>
    </row>
    <row r="338" spans="1:1" x14ac:dyDescent="0.2">
      <c r="A338" s="370"/>
    </row>
    <row r="339" spans="1:1" x14ac:dyDescent="0.2">
      <c r="A339" s="370"/>
    </row>
    <row r="340" spans="1:1" x14ac:dyDescent="0.2">
      <c r="A340" s="370"/>
    </row>
    <row r="341" spans="1:1" x14ac:dyDescent="0.2">
      <c r="A341" s="370"/>
    </row>
    <row r="342" spans="1:1" x14ac:dyDescent="0.2">
      <c r="A342" s="370"/>
    </row>
    <row r="343" spans="1:1" x14ac:dyDescent="0.2">
      <c r="A343" s="370"/>
    </row>
    <row r="344" spans="1:1" x14ac:dyDescent="0.2">
      <c r="A344" s="370"/>
    </row>
    <row r="345" spans="1:1" x14ac:dyDescent="0.2">
      <c r="A345" s="370"/>
    </row>
    <row r="346" spans="1:1" x14ac:dyDescent="0.2">
      <c r="A346" s="370"/>
    </row>
    <row r="347" spans="1:1" x14ac:dyDescent="0.2">
      <c r="A347" s="370"/>
    </row>
    <row r="348" spans="1:1" x14ac:dyDescent="0.2">
      <c r="A348" s="370"/>
    </row>
    <row r="349" spans="1:1" x14ac:dyDescent="0.2">
      <c r="A349" s="370"/>
    </row>
    <row r="350" spans="1:1" x14ac:dyDescent="0.2">
      <c r="A350" s="370"/>
    </row>
    <row r="351" spans="1:1" x14ac:dyDescent="0.2">
      <c r="A351" s="370"/>
    </row>
    <row r="352" spans="1:1" x14ac:dyDescent="0.2">
      <c r="A352" s="370"/>
    </row>
    <row r="353" spans="1:1" x14ac:dyDescent="0.2">
      <c r="A353" s="370"/>
    </row>
    <row r="354" spans="1:1" x14ac:dyDescent="0.2">
      <c r="A354" s="370"/>
    </row>
    <row r="355" spans="1:1" x14ac:dyDescent="0.2">
      <c r="A355" s="370"/>
    </row>
    <row r="356" spans="1:1" x14ac:dyDescent="0.2">
      <c r="A356" s="370"/>
    </row>
    <row r="357" spans="1:1" x14ac:dyDescent="0.2">
      <c r="A357" s="370"/>
    </row>
    <row r="358" spans="1:1" x14ac:dyDescent="0.2">
      <c r="A358" s="370"/>
    </row>
    <row r="359" spans="1:1" x14ac:dyDescent="0.2">
      <c r="A359" s="370"/>
    </row>
    <row r="360" spans="1:1" x14ac:dyDescent="0.2">
      <c r="A360" s="370"/>
    </row>
    <row r="361" spans="1:1" x14ac:dyDescent="0.2">
      <c r="A361" s="370"/>
    </row>
    <row r="362" spans="1:1" x14ac:dyDescent="0.2">
      <c r="A362" s="370"/>
    </row>
    <row r="363" spans="1:1" x14ac:dyDescent="0.2">
      <c r="A363" s="370"/>
    </row>
    <row r="364" spans="1:1" x14ac:dyDescent="0.2">
      <c r="A364" s="370"/>
    </row>
    <row r="365" spans="1:1" x14ac:dyDescent="0.2">
      <c r="A365" s="370"/>
    </row>
    <row r="366" spans="1:1" x14ac:dyDescent="0.2">
      <c r="A366" s="370"/>
    </row>
    <row r="367" spans="1:1" x14ac:dyDescent="0.2">
      <c r="A367" s="370"/>
    </row>
    <row r="368" spans="1:1" x14ac:dyDescent="0.2">
      <c r="A368" s="370"/>
    </row>
    <row r="369" spans="1:1" x14ac:dyDescent="0.2">
      <c r="A369" s="370"/>
    </row>
    <row r="370" spans="1:1" x14ac:dyDescent="0.2">
      <c r="A370" s="370"/>
    </row>
    <row r="371" spans="1:1" x14ac:dyDescent="0.2">
      <c r="A371" s="370"/>
    </row>
    <row r="372" spans="1:1" x14ac:dyDescent="0.2">
      <c r="A372" s="370"/>
    </row>
    <row r="373" spans="1:1" x14ac:dyDescent="0.2">
      <c r="A373" s="370"/>
    </row>
    <row r="374" spans="1:1" x14ac:dyDescent="0.2">
      <c r="A374" s="370"/>
    </row>
    <row r="375" spans="1:1" x14ac:dyDescent="0.2">
      <c r="A375" s="370"/>
    </row>
    <row r="376" spans="1:1" x14ac:dyDescent="0.2">
      <c r="A376" s="370"/>
    </row>
    <row r="377" spans="1:1" x14ac:dyDescent="0.2">
      <c r="A377" s="370"/>
    </row>
    <row r="378" spans="1:1" x14ac:dyDescent="0.2">
      <c r="A378" s="370"/>
    </row>
    <row r="379" spans="1:1" x14ac:dyDescent="0.2">
      <c r="A379" s="370"/>
    </row>
    <row r="380" spans="1:1" x14ac:dyDescent="0.2">
      <c r="A380" s="370"/>
    </row>
    <row r="381" spans="1:1" x14ac:dyDescent="0.2">
      <c r="A381" s="370"/>
    </row>
    <row r="382" spans="1:1" x14ac:dyDescent="0.2">
      <c r="A382" s="370"/>
    </row>
    <row r="383" spans="1:1" x14ac:dyDescent="0.2">
      <c r="A383" s="370"/>
    </row>
    <row r="384" spans="1:1" x14ac:dyDescent="0.2">
      <c r="A384" s="370"/>
    </row>
    <row r="385" spans="1:1" x14ac:dyDescent="0.2">
      <c r="A385" s="370"/>
    </row>
    <row r="386" spans="1:1" x14ac:dyDescent="0.2">
      <c r="A386" s="370"/>
    </row>
    <row r="387" spans="1:1" x14ac:dyDescent="0.2">
      <c r="A387" s="370"/>
    </row>
    <row r="388" spans="1:1" x14ac:dyDescent="0.2">
      <c r="A388" s="370"/>
    </row>
    <row r="389" spans="1:1" x14ac:dyDescent="0.2">
      <c r="A389" s="370"/>
    </row>
    <row r="390" spans="1:1" x14ac:dyDescent="0.2">
      <c r="A390" s="370"/>
    </row>
    <row r="391" spans="1:1" x14ac:dyDescent="0.2">
      <c r="A391" s="370"/>
    </row>
    <row r="392" spans="1:1" x14ac:dyDescent="0.2">
      <c r="A392" s="370"/>
    </row>
    <row r="393" spans="1:1" x14ac:dyDescent="0.2">
      <c r="A393" s="370"/>
    </row>
    <row r="394" spans="1:1" x14ac:dyDescent="0.2">
      <c r="A394" s="370"/>
    </row>
    <row r="395" spans="1:1" x14ac:dyDescent="0.2">
      <c r="A395" s="370"/>
    </row>
    <row r="396" spans="1:1" x14ac:dyDescent="0.2">
      <c r="A396" s="370"/>
    </row>
    <row r="397" spans="1:1" x14ac:dyDescent="0.2">
      <c r="A397" s="370"/>
    </row>
    <row r="398" spans="1:1" x14ac:dyDescent="0.2">
      <c r="A398" s="370"/>
    </row>
    <row r="399" spans="1:1" x14ac:dyDescent="0.2">
      <c r="A399" s="370"/>
    </row>
    <row r="400" spans="1:1" x14ac:dyDescent="0.2">
      <c r="A400" s="370"/>
    </row>
    <row r="401" spans="1:1" x14ac:dyDescent="0.2">
      <c r="A401" s="370"/>
    </row>
    <row r="402" spans="1:1" x14ac:dyDescent="0.2">
      <c r="A402" s="370"/>
    </row>
    <row r="403" spans="1:1" x14ac:dyDescent="0.2">
      <c r="A403" s="370"/>
    </row>
    <row r="404" spans="1:1" x14ac:dyDescent="0.2">
      <c r="A404" s="370"/>
    </row>
    <row r="405" spans="1:1" x14ac:dyDescent="0.2">
      <c r="A405" s="370"/>
    </row>
    <row r="406" spans="1:1" x14ac:dyDescent="0.2">
      <c r="A406" s="370"/>
    </row>
    <row r="407" spans="1:1" x14ac:dyDescent="0.2">
      <c r="A407" s="370"/>
    </row>
    <row r="408" spans="1:1" x14ac:dyDescent="0.2">
      <c r="A408" s="370"/>
    </row>
    <row r="409" spans="1:1" x14ac:dyDescent="0.2">
      <c r="A409" s="370"/>
    </row>
  </sheetData>
  <mergeCells count="2">
    <mergeCell ref="A1:G1"/>
    <mergeCell ref="A3:G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52"/>
  <sheetViews>
    <sheetView view="pageLayout" topLeftCell="L1" zoomScaleNormal="100" workbookViewId="0">
      <selection activeCell="E9" sqref="E9"/>
    </sheetView>
  </sheetViews>
  <sheetFormatPr defaultColWidth="9.140625" defaultRowHeight="12.75" x14ac:dyDescent="0.2"/>
  <cols>
    <col min="1" max="1" width="0" style="304" hidden="1" customWidth="1"/>
    <col min="2" max="6" width="15.7109375" style="304" hidden="1" customWidth="1"/>
    <col min="7" max="7" width="0" style="304" hidden="1" customWidth="1"/>
    <col min="8" max="8" width="12.42578125" style="304" hidden="1" customWidth="1"/>
    <col min="9" max="11" width="0" style="304" hidden="1" customWidth="1"/>
    <col min="12" max="13" width="9.140625" style="304"/>
    <col min="14" max="18" width="15.7109375" style="304" customWidth="1"/>
    <col min="19" max="19" width="20.42578125" style="304" customWidth="1"/>
    <col min="20" max="20" width="21.5703125" style="304" customWidth="1"/>
    <col min="21" max="21" width="21.85546875" style="304" customWidth="1"/>
    <col min="22" max="23" width="13.85546875" style="304" customWidth="1"/>
    <col min="24" max="24" width="2.7109375" style="304" customWidth="1"/>
    <col min="25" max="25" width="14.5703125" style="363" bestFit="1" customWidth="1"/>
    <col min="26" max="26" width="39" style="304" customWidth="1"/>
    <col min="27" max="28" width="0" style="304" hidden="1" customWidth="1"/>
    <col min="29" max="33" width="15.7109375" style="304" hidden="1" customWidth="1"/>
    <col min="34" max="39" width="0" style="304" hidden="1" customWidth="1"/>
    <col min="40" max="16384" width="9.140625" style="304"/>
  </cols>
  <sheetData>
    <row r="1" spans="1:40" x14ac:dyDescent="0.2">
      <c r="B1" s="304" t="s">
        <v>354</v>
      </c>
      <c r="N1" s="304" t="s">
        <v>355</v>
      </c>
      <c r="P1" s="362"/>
      <c r="AC1" s="304" t="s">
        <v>355</v>
      </c>
    </row>
    <row r="3" spans="1:40" x14ac:dyDescent="0.2">
      <c r="B3" s="364" t="s">
        <v>356</v>
      </c>
      <c r="C3" s="304" t="s">
        <v>357</v>
      </c>
      <c r="D3" s="364" t="s">
        <v>358</v>
      </c>
      <c r="E3" s="364" t="s">
        <v>359</v>
      </c>
      <c r="F3" s="364" t="s">
        <v>360</v>
      </c>
      <c r="N3" s="364" t="s">
        <v>356</v>
      </c>
      <c r="O3" s="304" t="s">
        <v>357</v>
      </c>
      <c r="P3" s="364" t="s">
        <v>358</v>
      </c>
      <c r="Q3" s="364" t="s">
        <v>359</v>
      </c>
      <c r="R3" s="364" t="s">
        <v>360</v>
      </c>
      <c r="AC3" s="364" t="s">
        <v>356</v>
      </c>
      <c r="AD3" s="304" t="s">
        <v>357</v>
      </c>
      <c r="AE3" s="364" t="s">
        <v>358</v>
      </c>
      <c r="AF3" s="364" t="s">
        <v>359</v>
      </c>
      <c r="AG3" s="364" t="s">
        <v>360</v>
      </c>
    </row>
    <row r="4" spans="1:40" x14ac:dyDescent="0.2">
      <c r="B4" s="365" t="s">
        <v>361</v>
      </c>
      <c r="C4" s="365" t="s">
        <v>362</v>
      </c>
      <c r="D4" s="365" t="s">
        <v>363</v>
      </c>
      <c r="E4" s="365" t="s">
        <v>364</v>
      </c>
      <c r="F4" s="365" t="s">
        <v>365</v>
      </c>
      <c r="N4" s="365" t="s">
        <v>361</v>
      </c>
      <c r="O4" s="365" t="s">
        <v>362</v>
      </c>
      <c r="P4" s="365" t="s">
        <v>366</v>
      </c>
      <c r="Q4" s="365" t="s">
        <v>364</v>
      </c>
      <c r="R4" s="365" t="s">
        <v>365</v>
      </c>
      <c r="AC4" s="365" t="s">
        <v>361</v>
      </c>
      <c r="AD4" s="365" t="s">
        <v>362</v>
      </c>
      <c r="AE4" s="365" t="s">
        <v>366</v>
      </c>
      <c r="AF4" s="365" t="s">
        <v>364</v>
      </c>
      <c r="AG4" s="365" t="s">
        <v>365</v>
      </c>
    </row>
    <row r="5" spans="1:40" ht="25.5" x14ac:dyDescent="0.2">
      <c r="C5" s="366" t="s">
        <v>367</v>
      </c>
      <c r="O5" s="366" t="s">
        <v>367</v>
      </c>
      <c r="AD5" s="366" t="s">
        <v>367</v>
      </c>
    </row>
    <row r="6" spans="1:40" x14ac:dyDescent="0.2">
      <c r="A6" s="367">
        <v>43556</v>
      </c>
      <c r="B6" s="368">
        <f>+'[25]SCH_D2.17 '!S52</f>
        <v>2887115</v>
      </c>
      <c r="C6" s="368">
        <f>PMT(0.0436/12,120,-'[25]SCH_D2.17 '!S52)</f>
        <v>29727.14350515023</v>
      </c>
      <c r="D6" s="368">
        <f>+B6*0.0436/12</f>
        <v>10489.851166666665</v>
      </c>
      <c r="E6" s="368">
        <f>+C6-D6</f>
        <v>19237.292338483567</v>
      </c>
      <c r="F6" s="368">
        <f>+B6-E6</f>
        <v>2867877.7076615165</v>
      </c>
      <c r="H6" s="369"/>
      <c r="L6" s="304">
        <f>+L5+1</f>
        <v>1</v>
      </c>
      <c r="M6" s="367">
        <v>43191</v>
      </c>
      <c r="N6" s="368">
        <f>38098773.64</f>
        <v>38098773.640000001</v>
      </c>
      <c r="O6" s="368"/>
      <c r="P6" s="368">
        <f>+N6*0.04243/12</f>
        <v>134710.91379543333</v>
      </c>
      <c r="Q6" s="368"/>
      <c r="R6" s="368">
        <f>+N6-Q6</f>
        <v>38098773.640000001</v>
      </c>
      <c r="T6" s="369"/>
      <c r="U6" s="369"/>
      <c r="V6" s="369"/>
      <c r="W6" s="369"/>
      <c r="AA6" s="304">
        <f>+AA5+1</f>
        <v>1</v>
      </c>
      <c r="AB6" s="367">
        <v>43191</v>
      </c>
      <c r="AC6" s="368">
        <v>36540465</v>
      </c>
      <c r="AD6" s="368">
        <f>PMT(0.04243/12,120,-36540465)</f>
        <v>374189.09031123563</v>
      </c>
      <c r="AE6" s="368">
        <f>+AC6*0.04243/12</f>
        <v>129200.99416250001</v>
      </c>
      <c r="AF6" s="368">
        <f>+AD6-AE6</f>
        <v>244988.09614873561</v>
      </c>
      <c r="AG6" s="368">
        <f>+AC6-AF6</f>
        <v>36295476.903851263</v>
      </c>
      <c r="AI6" s="369"/>
    </row>
    <row r="7" spans="1:40" x14ac:dyDescent="0.2">
      <c r="A7" s="367">
        <v>43586</v>
      </c>
      <c r="B7" s="368">
        <f>+F6</f>
        <v>2867877.7076615165</v>
      </c>
      <c r="C7" s="368">
        <f>+C$6</f>
        <v>29727.14350515023</v>
      </c>
      <c r="D7" s="368">
        <f>+B7*0.0436/12</f>
        <v>10419.955671170177</v>
      </c>
      <c r="E7" s="368">
        <f>+C7-D7</f>
        <v>19307.187833980053</v>
      </c>
      <c r="F7" s="368">
        <f>+B7-E7</f>
        <v>2848570.5198275363</v>
      </c>
      <c r="H7" s="369" t="s">
        <v>368</v>
      </c>
      <c r="L7" s="304">
        <f t="shared" ref="L7:L70" si="0">+L6+1</f>
        <v>2</v>
      </c>
      <c r="M7" s="367">
        <v>43221</v>
      </c>
      <c r="N7" s="368">
        <f>+R6</f>
        <v>38098773.640000001</v>
      </c>
      <c r="O7" s="368">
        <f>PMT(0.04243/12,120,-36540465)</f>
        <v>374189.09031123563</v>
      </c>
      <c r="P7" s="368">
        <f t="shared" ref="P7:P70" si="1">+N7*0.04243/12</f>
        <v>134710.91379543333</v>
      </c>
      <c r="Q7" s="368">
        <f>+O7-P7</f>
        <v>239478.1765158023</v>
      </c>
      <c r="R7" s="368">
        <f>+N7-Q7</f>
        <v>37859295.463484198</v>
      </c>
      <c r="T7" s="369"/>
      <c r="U7" s="369"/>
      <c r="V7" s="369"/>
      <c r="W7" s="369"/>
      <c r="AA7" s="304">
        <f t="shared" ref="AA7:AA70" si="2">+AA6+1</f>
        <v>2</v>
      </c>
      <c r="AB7" s="367">
        <v>43221</v>
      </c>
      <c r="AC7" s="368">
        <f>+AG6</f>
        <v>36295476.903851263</v>
      </c>
      <c r="AD7" s="368">
        <f>+AD$6</f>
        <v>374189.09031123563</v>
      </c>
      <c r="AE7" s="368">
        <f t="shared" ref="AE7:AE70" si="3">+AC7*0.04243/12</f>
        <v>128334.75708586744</v>
      </c>
      <c r="AF7" s="368">
        <f>+AD7-AE7</f>
        <v>245854.33322536817</v>
      </c>
      <c r="AG7" s="368">
        <f>+AC7-AF7</f>
        <v>36049622.570625894</v>
      </c>
      <c r="AI7" s="369" t="s">
        <v>369</v>
      </c>
    </row>
    <row r="8" spans="1:40" x14ac:dyDescent="0.2">
      <c r="A8" s="367">
        <v>43617</v>
      </c>
      <c r="B8" s="368">
        <f t="shared" ref="B8:B71" si="4">+F7</f>
        <v>2848570.5198275363</v>
      </c>
      <c r="C8" s="368">
        <f t="shared" ref="C8:C71" si="5">+C$6</f>
        <v>29727.14350515023</v>
      </c>
      <c r="D8" s="368">
        <f t="shared" ref="D8:D71" si="6">+B8*0.0436/12</f>
        <v>10349.806222040048</v>
      </c>
      <c r="E8" s="368">
        <f t="shared" ref="E8:E71" si="7">+C8-D8</f>
        <v>19377.337283110181</v>
      </c>
      <c r="F8" s="368">
        <f t="shared" ref="F8:F71" si="8">+B8-E8</f>
        <v>2829193.1825444261</v>
      </c>
      <c r="L8" s="304">
        <f t="shared" si="0"/>
        <v>3</v>
      </c>
      <c r="M8" s="367">
        <v>43252</v>
      </c>
      <c r="N8" s="368">
        <f t="shared" ref="N8:N71" si="9">+R7</f>
        <v>37859295.463484198</v>
      </c>
      <c r="O8" s="368">
        <f>+O$7</f>
        <v>374189.09031123563</v>
      </c>
      <c r="P8" s="368">
        <f t="shared" si="1"/>
        <v>133864.15887630288</v>
      </c>
      <c r="Q8" s="368">
        <f t="shared" ref="Q8:Q71" si="10">+O8-P8</f>
        <v>240324.93143493275</v>
      </c>
      <c r="R8" s="368">
        <f t="shared" ref="R8:R71" si="11">+N8-Q8</f>
        <v>37618970.532049268</v>
      </c>
      <c r="T8" s="369"/>
      <c r="U8" s="369"/>
      <c r="V8" s="369"/>
      <c r="W8" s="369"/>
      <c r="AA8" s="304">
        <f t="shared" si="2"/>
        <v>3</v>
      </c>
      <c r="AB8" s="367">
        <v>43252</v>
      </c>
      <c r="AC8" s="368">
        <f t="shared" ref="AC8:AC71" si="12">+AG7</f>
        <v>36049622.570625894</v>
      </c>
      <c r="AD8" s="368">
        <f t="shared" ref="AD8:AD71" si="13">+AD$6</f>
        <v>374189.09031123563</v>
      </c>
      <c r="AE8" s="368">
        <f t="shared" si="3"/>
        <v>127465.45713930472</v>
      </c>
      <c r="AF8" s="368">
        <f t="shared" ref="AF8:AF71" si="14">+AD8-AE8</f>
        <v>246723.63317193091</v>
      </c>
      <c r="AG8" s="368">
        <f t="shared" ref="AG8:AG71" si="15">+AC8-AF8</f>
        <v>35802898.937453963</v>
      </c>
    </row>
    <row r="9" spans="1:40" x14ac:dyDescent="0.2">
      <c r="A9" s="367">
        <v>43647</v>
      </c>
      <c r="B9" s="368">
        <f t="shared" si="4"/>
        <v>2829193.1825444261</v>
      </c>
      <c r="C9" s="368">
        <f t="shared" si="5"/>
        <v>29727.14350515023</v>
      </c>
      <c r="D9" s="368">
        <f t="shared" si="6"/>
        <v>10279.401896578082</v>
      </c>
      <c r="E9" s="368">
        <f t="shared" si="7"/>
        <v>19447.741608572149</v>
      </c>
      <c r="F9" s="368">
        <f t="shared" si="8"/>
        <v>2809745.4409358539</v>
      </c>
      <c r="H9" s="304" t="s">
        <v>370</v>
      </c>
      <c r="J9" s="304">
        <v>29727</v>
      </c>
      <c r="L9" s="304">
        <f t="shared" si="0"/>
        <v>4</v>
      </c>
      <c r="M9" s="367">
        <v>43282</v>
      </c>
      <c r="N9" s="368">
        <f t="shared" si="9"/>
        <v>37618970.532049268</v>
      </c>
      <c r="O9" s="368">
        <f t="shared" ref="O9:O72" si="16">+O$7</f>
        <v>374189.09031123563</v>
      </c>
      <c r="P9" s="368">
        <f t="shared" si="1"/>
        <v>133014.40997290422</v>
      </c>
      <c r="Q9" s="368">
        <f t="shared" si="10"/>
        <v>241174.68033833141</v>
      </c>
      <c r="R9" s="368">
        <f t="shared" si="11"/>
        <v>37377795.851710938</v>
      </c>
      <c r="T9" s="369"/>
      <c r="U9" s="369"/>
      <c r="V9" s="369"/>
      <c r="W9" s="369"/>
      <c r="AA9" s="304">
        <f t="shared" si="2"/>
        <v>4</v>
      </c>
      <c r="AB9" s="367">
        <v>43282</v>
      </c>
      <c r="AC9" s="368">
        <f t="shared" si="12"/>
        <v>35802898.937453963</v>
      </c>
      <c r="AD9" s="368">
        <f t="shared" si="13"/>
        <v>374189.09031123563</v>
      </c>
      <c r="AE9" s="368">
        <f t="shared" si="3"/>
        <v>126593.08349301432</v>
      </c>
      <c r="AF9" s="368">
        <f t="shared" si="14"/>
        <v>247596.0068182213</v>
      </c>
      <c r="AG9" s="368">
        <f t="shared" si="15"/>
        <v>35555302.930635743</v>
      </c>
      <c r="AI9" s="304" t="s">
        <v>370</v>
      </c>
      <c r="AK9" s="304">
        <v>374189</v>
      </c>
    </row>
    <row r="10" spans="1:40" x14ac:dyDescent="0.2">
      <c r="A10" s="367">
        <v>43678</v>
      </c>
      <c r="B10" s="368">
        <f t="shared" si="4"/>
        <v>2809745.4409358539</v>
      </c>
      <c r="C10" s="368">
        <f t="shared" si="5"/>
        <v>29727.14350515023</v>
      </c>
      <c r="D10" s="368">
        <f t="shared" si="6"/>
        <v>10208.741768733602</v>
      </c>
      <c r="E10" s="368">
        <f t="shared" si="7"/>
        <v>19518.401736416628</v>
      </c>
      <c r="F10" s="368">
        <f t="shared" si="8"/>
        <v>2790227.039199437</v>
      </c>
      <c r="H10" s="369" t="s">
        <v>371</v>
      </c>
      <c r="K10" s="304">
        <v>10490</v>
      </c>
      <c r="L10" s="304">
        <f t="shared" si="0"/>
        <v>5</v>
      </c>
      <c r="M10" s="367">
        <v>43313</v>
      </c>
      <c r="N10" s="368">
        <f t="shared" si="9"/>
        <v>37377795.851710938</v>
      </c>
      <c r="O10" s="368">
        <f t="shared" si="16"/>
        <v>374189.09031123563</v>
      </c>
      <c r="P10" s="368">
        <f t="shared" si="1"/>
        <v>132161.65649900792</v>
      </c>
      <c r="Q10" s="368">
        <f t="shared" si="10"/>
        <v>242027.43381222771</v>
      </c>
      <c r="R10" s="368">
        <f t="shared" si="11"/>
        <v>37135768.417898707</v>
      </c>
      <c r="T10" s="369"/>
      <c r="U10" s="369"/>
      <c r="V10" s="369"/>
      <c r="W10" s="369"/>
      <c r="AA10" s="304">
        <f t="shared" si="2"/>
        <v>5</v>
      </c>
      <c r="AB10" s="367">
        <v>43313</v>
      </c>
      <c r="AC10" s="368">
        <f t="shared" si="12"/>
        <v>35555302.930635743</v>
      </c>
      <c r="AD10" s="368">
        <f t="shared" si="13"/>
        <v>374189.09031123563</v>
      </c>
      <c r="AE10" s="368">
        <f t="shared" si="3"/>
        <v>125717.62527890621</v>
      </c>
      <c r="AF10" s="368">
        <f t="shared" si="14"/>
        <v>248471.46503232943</v>
      </c>
      <c r="AG10" s="368">
        <f t="shared" si="15"/>
        <v>35306831.465603411</v>
      </c>
      <c r="AI10" s="369" t="s">
        <v>371</v>
      </c>
      <c r="AL10" s="304">
        <v>134711</v>
      </c>
    </row>
    <row r="11" spans="1:40" x14ac:dyDescent="0.2">
      <c r="A11" s="367">
        <v>43709</v>
      </c>
      <c r="B11" s="368">
        <f t="shared" si="4"/>
        <v>2790227.039199437</v>
      </c>
      <c r="C11" s="368">
        <f t="shared" si="5"/>
        <v>29727.14350515023</v>
      </c>
      <c r="D11" s="368">
        <f t="shared" si="6"/>
        <v>10137.824909091289</v>
      </c>
      <c r="E11" s="368">
        <f t="shared" si="7"/>
        <v>19589.31859605894</v>
      </c>
      <c r="F11" s="368">
        <f t="shared" si="8"/>
        <v>2770637.720603378</v>
      </c>
      <c r="H11" s="369" t="s">
        <v>372</v>
      </c>
      <c r="K11" s="304">
        <v>19237</v>
      </c>
      <c r="L11" s="304">
        <f t="shared" si="0"/>
        <v>6</v>
      </c>
      <c r="M11" s="367">
        <v>43344</v>
      </c>
      <c r="N11" s="368">
        <f t="shared" si="9"/>
        <v>37135768.417898707</v>
      </c>
      <c r="O11" s="368">
        <f t="shared" si="16"/>
        <v>374189.09031123563</v>
      </c>
      <c r="P11" s="368">
        <f t="shared" si="1"/>
        <v>131305.88783095352</v>
      </c>
      <c r="Q11" s="368">
        <f t="shared" si="10"/>
        <v>242883.20248028211</v>
      </c>
      <c r="R11" s="368">
        <f t="shared" si="11"/>
        <v>36892885.215418428</v>
      </c>
      <c r="T11" s="369"/>
      <c r="U11" s="369"/>
      <c r="V11" s="369"/>
      <c r="W11" s="369"/>
      <c r="AA11" s="304">
        <f t="shared" si="2"/>
        <v>6</v>
      </c>
      <c r="AB11" s="367">
        <v>43344</v>
      </c>
      <c r="AC11" s="368">
        <f t="shared" si="12"/>
        <v>35306831.465603411</v>
      </c>
      <c r="AD11" s="368">
        <f t="shared" si="13"/>
        <v>374189.09031123563</v>
      </c>
      <c r="AE11" s="368">
        <f t="shared" si="3"/>
        <v>124839.07159046274</v>
      </c>
      <c r="AF11" s="368">
        <f t="shared" si="14"/>
        <v>249350.01872077287</v>
      </c>
      <c r="AG11" s="368">
        <f t="shared" si="15"/>
        <v>35057481.446882635</v>
      </c>
      <c r="AI11" s="369" t="s">
        <v>372</v>
      </c>
      <c r="AL11" s="304">
        <v>239478</v>
      </c>
    </row>
    <row r="12" spans="1:40" x14ac:dyDescent="0.2">
      <c r="A12" s="367">
        <v>43739</v>
      </c>
      <c r="B12" s="368">
        <f t="shared" si="4"/>
        <v>2770637.720603378</v>
      </c>
      <c r="C12" s="368">
        <f t="shared" si="5"/>
        <v>29727.14350515023</v>
      </c>
      <c r="D12" s="368">
        <f t="shared" si="6"/>
        <v>10066.65038485894</v>
      </c>
      <c r="E12" s="368">
        <f t="shared" si="7"/>
        <v>19660.493120291292</v>
      </c>
      <c r="F12" s="368">
        <f t="shared" si="8"/>
        <v>2750977.2274830868</v>
      </c>
      <c r="L12" s="304">
        <f t="shared" si="0"/>
        <v>7</v>
      </c>
      <c r="M12" s="367">
        <v>43374</v>
      </c>
      <c r="N12" s="368">
        <f t="shared" si="9"/>
        <v>36892885.215418428</v>
      </c>
      <c r="O12" s="368">
        <f t="shared" si="16"/>
        <v>374189.09031123563</v>
      </c>
      <c r="P12" s="368">
        <f t="shared" si="1"/>
        <v>130447.093307517</v>
      </c>
      <c r="Q12" s="368">
        <f t="shared" si="10"/>
        <v>243741.99700371863</v>
      </c>
      <c r="R12" s="368">
        <f t="shared" si="11"/>
        <v>36649143.218414709</v>
      </c>
      <c r="AA12" s="304">
        <f t="shared" si="2"/>
        <v>7</v>
      </c>
      <c r="AB12" s="367">
        <v>43374</v>
      </c>
      <c r="AC12" s="368">
        <f t="shared" si="12"/>
        <v>35057481.446882635</v>
      </c>
      <c r="AD12" s="368">
        <f t="shared" si="13"/>
        <v>374189.09031123563</v>
      </c>
      <c r="AE12" s="368">
        <f t="shared" si="3"/>
        <v>123957.41148260253</v>
      </c>
      <c r="AF12" s="368">
        <f t="shared" si="14"/>
        <v>250231.6788286331</v>
      </c>
      <c r="AG12" s="368">
        <f t="shared" si="15"/>
        <v>34807249.768054001</v>
      </c>
    </row>
    <row r="13" spans="1:40" x14ac:dyDescent="0.2">
      <c r="A13" s="367">
        <v>43770</v>
      </c>
      <c r="B13" s="368">
        <f t="shared" si="4"/>
        <v>2750977.2274830868</v>
      </c>
      <c r="C13" s="368">
        <f t="shared" si="5"/>
        <v>29727.14350515023</v>
      </c>
      <c r="D13" s="368">
        <f t="shared" si="6"/>
        <v>9995.2172598552152</v>
      </c>
      <c r="E13" s="368">
        <f t="shared" si="7"/>
        <v>19731.926245295013</v>
      </c>
      <c r="F13" s="368">
        <f t="shared" si="8"/>
        <v>2731245.3012377918</v>
      </c>
      <c r="H13" s="370"/>
      <c r="J13" s="371"/>
      <c r="L13" s="304">
        <f t="shared" si="0"/>
        <v>8</v>
      </c>
      <c r="M13" s="367">
        <v>43405</v>
      </c>
      <c r="N13" s="368">
        <f t="shared" si="9"/>
        <v>36649143.218414709</v>
      </c>
      <c r="O13" s="368">
        <f t="shared" si="16"/>
        <v>374189.09031123563</v>
      </c>
      <c r="P13" s="368">
        <f t="shared" si="1"/>
        <v>129585.262229778</v>
      </c>
      <c r="Q13" s="368">
        <f t="shared" si="10"/>
        <v>244603.82808145764</v>
      </c>
      <c r="R13" s="368">
        <f t="shared" si="11"/>
        <v>36404539.39033325</v>
      </c>
      <c r="T13" s="370"/>
      <c r="V13" s="371"/>
      <c r="Z13" s="363"/>
      <c r="AA13" s="363"/>
      <c r="AB13" s="363"/>
      <c r="AC13" s="363"/>
      <c r="AD13" s="363"/>
      <c r="AE13" s="363"/>
      <c r="AF13" s="363"/>
      <c r="AG13" s="363"/>
      <c r="AH13" s="363"/>
      <c r="AI13" s="363"/>
      <c r="AJ13" s="363"/>
      <c r="AK13" s="363"/>
      <c r="AL13" s="363"/>
      <c r="AM13" s="363"/>
      <c r="AN13" s="363"/>
    </row>
    <row r="14" spans="1:40" x14ac:dyDescent="0.2">
      <c r="A14" s="367">
        <v>43800</v>
      </c>
      <c r="B14" s="368">
        <f t="shared" si="4"/>
        <v>2731245.3012377918</v>
      </c>
      <c r="C14" s="368">
        <f t="shared" si="5"/>
        <v>29727.14350515023</v>
      </c>
      <c r="D14" s="368">
        <f t="shared" si="6"/>
        <v>9923.5245944973103</v>
      </c>
      <c r="E14" s="368">
        <f t="shared" si="7"/>
        <v>19803.61891065292</v>
      </c>
      <c r="F14" s="368">
        <f t="shared" si="8"/>
        <v>2711441.6823271387</v>
      </c>
      <c r="J14" s="371"/>
      <c r="L14" s="304">
        <f t="shared" si="0"/>
        <v>9</v>
      </c>
      <c r="M14" s="367">
        <v>43435</v>
      </c>
      <c r="N14" s="368">
        <f t="shared" si="9"/>
        <v>36404539.39033325</v>
      </c>
      <c r="O14" s="368">
        <f t="shared" si="16"/>
        <v>374189.09031123563</v>
      </c>
      <c r="P14" s="368">
        <f t="shared" si="1"/>
        <v>128720.38386098667</v>
      </c>
      <c r="Q14" s="368">
        <f t="shared" si="10"/>
        <v>245468.70645024895</v>
      </c>
      <c r="R14" s="368">
        <f t="shared" si="11"/>
        <v>36159070.683883004</v>
      </c>
      <c r="V14" s="371"/>
      <c r="Z14" s="363"/>
      <c r="AA14" s="363"/>
      <c r="AB14" s="363"/>
      <c r="AC14" s="363"/>
      <c r="AD14" s="363"/>
      <c r="AE14" s="363"/>
      <c r="AF14" s="363"/>
      <c r="AG14" s="363"/>
      <c r="AH14" s="363"/>
      <c r="AI14" s="363"/>
      <c r="AJ14" s="363"/>
      <c r="AK14" s="363"/>
      <c r="AL14" s="363"/>
      <c r="AM14" s="363"/>
      <c r="AN14" s="363"/>
    </row>
    <row r="15" spans="1:40" x14ac:dyDescent="0.2">
      <c r="A15" s="367">
        <v>43831</v>
      </c>
      <c r="B15" s="368">
        <f t="shared" si="4"/>
        <v>2711441.6823271387</v>
      </c>
      <c r="C15" s="368">
        <f t="shared" si="5"/>
        <v>29727.14350515023</v>
      </c>
      <c r="D15" s="368">
        <f t="shared" si="6"/>
        <v>9851.5714457886043</v>
      </c>
      <c r="E15" s="368">
        <f t="shared" si="7"/>
        <v>19875.572059361628</v>
      </c>
      <c r="F15" s="368">
        <f t="shared" si="8"/>
        <v>2691566.110267777</v>
      </c>
      <c r="L15" s="304">
        <f t="shared" si="0"/>
        <v>10</v>
      </c>
      <c r="M15" s="367">
        <v>43466</v>
      </c>
      <c r="N15" s="368">
        <f t="shared" si="9"/>
        <v>36159070.683883004</v>
      </c>
      <c r="O15" s="368">
        <f t="shared" si="16"/>
        <v>374189.09031123563</v>
      </c>
      <c r="P15" s="368">
        <f t="shared" si="1"/>
        <v>127852.44742642966</v>
      </c>
      <c r="Q15" s="368">
        <f t="shared" si="10"/>
        <v>246336.64288480597</v>
      </c>
      <c r="R15" s="368">
        <f t="shared" si="11"/>
        <v>35912734.040998198</v>
      </c>
      <c r="Z15" s="363"/>
      <c r="AA15" s="363"/>
      <c r="AB15" s="363"/>
      <c r="AC15" s="363"/>
      <c r="AD15" s="363"/>
      <c r="AE15" s="363"/>
      <c r="AF15" s="363"/>
      <c r="AG15" s="363"/>
      <c r="AH15" s="363"/>
      <c r="AI15" s="363"/>
      <c r="AJ15" s="363"/>
      <c r="AK15" s="363"/>
      <c r="AL15" s="363"/>
      <c r="AM15" s="363"/>
      <c r="AN15" s="363"/>
    </row>
    <row r="16" spans="1:40" x14ac:dyDescent="0.2">
      <c r="A16" s="367">
        <v>43862</v>
      </c>
      <c r="B16" s="368">
        <f t="shared" si="4"/>
        <v>2691566.110267777</v>
      </c>
      <c r="C16" s="368">
        <f t="shared" si="5"/>
        <v>29727.14350515023</v>
      </c>
      <c r="D16" s="368">
        <f t="shared" si="6"/>
        <v>9779.3568673062564</v>
      </c>
      <c r="E16" s="368">
        <f t="shared" si="7"/>
        <v>19947.786637843972</v>
      </c>
      <c r="F16" s="368">
        <f t="shared" si="8"/>
        <v>2671618.3236299329</v>
      </c>
      <c r="L16" s="304">
        <f t="shared" si="0"/>
        <v>11</v>
      </c>
      <c r="M16" s="367">
        <v>43497</v>
      </c>
      <c r="N16" s="368">
        <f t="shared" si="9"/>
        <v>35912734.040998198</v>
      </c>
      <c r="O16" s="368">
        <f t="shared" si="16"/>
        <v>374189.09031123563</v>
      </c>
      <c r="P16" s="368">
        <f t="shared" si="1"/>
        <v>126981.44211329613</v>
      </c>
      <c r="Q16" s="368">
        <f t="shared" si="10"/>
        <v>247207.6481979395</v>
      </c>
      <c r="R16" s="368">
        <f t="shared" si="11"/>
        <v>35665526.392800257</v>
      </c>
      <c r="Z16" s="363"/>
      <c r="AA16" s="363"/>
      <c r="AB16" s="363"/>
      <c r="AC16" s="363"/>
      <c r="AD16" s="363"/>
      <c r="AE16" s="363"/>
      <c r="AF16" s="363"/>
      <c r="AG16" s="363"/>
      <c r="AH16" s="363"/>
      <c r="AI16" s="363"/>
      <c r="AJ16" s="363"/>
      <c r="AK16" s="363"/>
      <c r="AL16" s="363"/>
      <c r="AM16" s="363"/>
      <c r="AN16" s="363"/>
    </row>
    <row r="17" spans="1:40" x14ac:dyDescent="0.2">
      <c r="A17" s="367">
        <v>43891</v>
      </c>
      <c r="B17" s="368">
        <f t="shared" si="4"/>
        <v>2671618.3236299329</v>
      </c>
      <c r="C17" s="368">
        <f t="shared" si="5"/>
        <v>29727.14350515023</v>
      </c>
      <c r="D17" s="368">
        <f t="shared" si="6"/>
        <v>9706.8799091887558</v>
      </c>
      <c r="E17" s="368">
        <f t="shared" si="7"/>
        <v>20020.263595961474</v>
      </c>
      <c r="F17" s="368">
        <f t="shared" si="8"/>
        <v>2651598.0600339714</v>
      </c>
      <c r="L17" s="304">
        <f t="shared" si="0"/>
        <v>12</v>
      </c>
      <c r="M17" s="367">
        <v>43525</v>
      </c>
      <c r="N17" s="368">
        <f t="shared" si="9"/>
        <v>35665526.392800257</v>
      </c>
      <c r="O17" s="368">
        <f t="shared" si="16"/>
        <v>374189.09031123563</v>
      </c>
      <c r="P17" s="368">
        <f t="shared" si="1"/>
        <v>126107.35707054292</v>
      </c>
      <c r="Q17" s="368">
        <f t="shared" si="10"/>
        <v>248081.7332406927</v>
      </c>
      <c r="R17" s="368">
        <f>+N17-Q17</f>
        <v>35417444.659559563</v>
      </c>
      <c r="Z17" s="363"/>
      <c r="AA17" s="363"/>
      <c r="AB17" s="363"/>
      <c r="AC17" s="363"/>
      <c r="AD17" s="363"/>
      <c r="AE17" s="363"/>
      <c r="AF17" s="363"/>
      <c r="AG17" s="363"/>
      <c r="AH17" s="363"/>
      <c r="AI17" s="363"/>
      <c r="AJ17" s="363"/>
      <c r="AK17" s="363"/>
      <c r="AL17" s="363"/>
      <c r="AM17" s="363"/>
      <c r="AN17" s="363"/>
    </row>
    <row r="18" spans="1:40" ht="15" customHeight="1" x14ac:dyDescent="0.2">
      <c r="A18" s="367">
        <v>43922</v>
      </c>
      <c r="B18" s="368">
        <f t="shared" si="4"/>
        <v>2651598.0600339714</v>
      </c>
      <c r="C18" s="368">
        <f t="shared" si="5"/>
        <v>29727.14350515023</v>
      </c>
      <c r="D18" s="368">
        <f t="shared" si="6"/>
        <v>9634.1396181234286</v>
      </c>
      <c r="E18" s="368">
        <f t="shared" si="7"/>
        <v>20093.003887026804</v>
      </c>
      <c r="F18" s="368">
        <f t="shared" si="8"/>
        <v>2631505.0561469449</v>
      </c>
      <c r="L18" s="304">
        <f t="shared" si="0"/>
        <v>13</v>
      </c>
      <c r="M18" s="372">
        <v>43556</v>
      </c>
      <c r="N18" s="368">
        <f t="shared" si="9"/>
        <v>35417444.659559563</v>
      </c>
      <c r="O18" s="368">
        <f t="shared" si="16"/>
        <v>374189.09031123563</v>
      </c>
      <c r="P18" s="368">
        <f t="shared" si="1"/>
        <v>125230.18140875937</v>
      </c>
      <c r="Q18" s="368">
        <f t="shared" si="10"/>
        <v>248958.90890247625</v>
      </c>
      <c r="R18" s="368">
        <f t="shared" si="11"/>
        <v>35168485.750657089</v>
      </c>
      <c r="Z18" s="363"/>
      <c r="AA18" s="363"/>
      <c r="AB18" s="363"/>
      <c r="AC18" s="363"/>
      <c r="AD18" s="363"/>
      <c r="AE18" s="363"/>
      <c r="AF18" s="363"/>
      <c r="AG18" s="363"/>
      <c r="AH18" s="363"/>
      <c r="AI18" s="363"/>
      <c r="AJ18" s="363"/>
      <c r="AK18" s="363"/>
      <c r="AL18" s="363"/>
      <c r="AM18" s="363"/>
      <c r="AN18" s="363"/>
    </row>
    <row r="19" spans="1:40" x14ac:dyDescent="0.2">
      <c r="A19" s="367">
        <v>43952</v>
      </c>
      <c r="B19" s="368">
        <f t="shared" si="4"/>
        <v>2631505.0561469449</v>
      </c>
      <c r="C19" s="368">
        <f t="shared" si="5"/>
        <v>29727.14350515023</v>
      </c>
      <c r="D19" s="368">
        <f t="shared" si="6"/>
        <v>9561.1350373338992</v>
      </c>
      <c r="E19" s="368">
        <f t="shared" si="7"/>
        <v>20166.008467816333</v>
      </c>
      <c r="F19" s="368">
        <f t="shared" si="8"/>
        <v>2611339.0476791286</v>
      </c>
      <c r="L19" s="304">
        <f t="shared" si="0"/>
        <v>14</v>
      </c>
      <c r="M19" s="372">
        <v>43586</v>
      </c>
      <c r="N19" s="368">
        <f t="shared" si="9"/>
        <v>35168485.750657089</v>
      </c>
      <c r="O19" s="368">
        <f t="shared" si="16"/>
        <v>374189.09031123563</v>
      </c>
      <c r="P19" s="368">
        <f t="shared" si="1"/>
        <v>124349.9042000317</v>
      </c>
      <c r="Q19" s="368">
        <f t="shared" si="10"/>
        <v>249839.18611120392</v>
      </c>
      <c r="R19" s="368">
        <f t="shared" si="11"/>
        <v>34918646.564545885</v>
      </c>
      <c r="Z19" s="363"/>
      <c r="AA19" s="363"/>
      <c r="AB19" s="363"/>
      <c r="AC19" s="363"/>
      <c r="AD19" s="363"/>
      <c r="AE19" s="363"/>
      <c r="AF19" s="363"/>
      <c r="AG19" s="363"/>
      <c r="AH19" s="363"/>
      <c r="AI19" s="363"/>
      <c r="AJ19" s="363"/>
      <c r="AK19" s="363"/>
      <c r="AL19" s="363"/>
      <c r="AM19" s="363"/>
      <c r="AN19" s="363"/>
    </row>
    <row r="20" spans="1:40" x14ac:dyDescent="0.2">
      <c r="A20" s="367">
        <v>43983</v>
      </c>
      <c r="B20" s="368">
        <f t="shared" si="4"/>
        <v>2611339.0476791286</v>
      </c>
      <c r="C20" s="368">
        <f t="shared" si="5"/>
        <v>29727.14350515023</v>
      </c>
      <c r="D20" s="368">
        <f t="shared" si="6"/>
        <v>9487.8652065674996</v>
      </c>
      <c r="E20" s="368">
        <f t="shared" si="7"/>
        <v>20239.278298582729</v>
      </c>
      <c r="F20" s="368">
        <f t="shared" si="8"/>
        <v>2591099.7693805457</v>
      </c>
      <c r="L20" s="304">
        <f t="shared" si="0"/>
        <v>15</v>
      </c>
      <c r="M20" s="372">
        <v>43617</v>
      </c>
      <c r="N20" s="368">
        <f t="shared" si="9"/>
        <v>34918646.564545885</v>
      </c>
      <c r="O20" s="368">
        <f t="shared" si="16"/>
        <v>374189.09031123563</v>
      </c>
      <c r="P20" s="368">
        <f t="shared" si="1"/>
        <v>123466.51447780682</v>
      </c>
      <c r="Q20" s="368">
        <f t="shared" si="10"/>
        <v>250722.57583342883</v>
      </c>
      <c r="R20" s="368">
        <f>+N20-Q20</f>
        <v>34667923.988712452</v>
      </c>
      <c r="AA20" s="304">
        <f t="shared" si="2"/>
        <v>1</v>
      </c>
      <c r="AB20" s="367">
        <v>43617</v>
      </c>
      <c r="AC20" s="368">
        <f t="shared" si="12"/>
        <v>0</v>
      </c>
      <c r="AD20" s="368">
        <f t="shared" si="13"/>
        <v>374189.09031123563</v>
      </c>
      <c r="AE20" s="368">
        <f t="shared" si="3"/>
        <v>0</v>
      </c>
      <c r="AF20" s="368">
        <f t="shared" si="14"/>
        <v>374189.09031123563</v>
      </c>
      <c r="AG20" s="368">
        <f t="shared" si="15"/>
        <v>-374189.09031123563</v>
      </c>
    </row>
    <row r="21" spans="1:40" ht="15.75" thickBot="1" x14ac:dyDescent="0.3">
      <c r="A21" s="367">
        <v>44013</v>
      </c>
      <c r="B21" s="368">
        <f t="shared" si="4"/>
        <v>2591099.7693805457</v>
      </c>
      <c r="C21" s="368">
        <f t="shared" si="5"/>
        <v>29727.14350515023</v>
      </c>
      <c r="D21" s="368">
        <f t="shared" si="6"/>
        <v>9414.3291620826494</v>
      </c>
      <c r="E21" s="368">
        <f t="shared" si="7"/>
        <v>20312.814343067581</v>
      </c>
      <c r="F21" s="368">
        <f t="shared" si="8"/>
        <v>2570786.9550374784</v>
      </c>
      <c r="L21" s="304">
        <f t="shared" si="0"/>
        <v>16</v>
      </c>
      <c r="M21" s="372">
        <v>43647</v>
      </c>
      <c r="N21" s="368">
        <f t="shared" si="9"/>
        <v>34667923.988712452</v>
      </c>
      <c r="O21" s="368">
        <f t="shared" si="16"/>
        <v>374189.09031123563</v>
      </c>
      <c r="P21" s="368">
        <f t="shared" si="1"/>
        <v>122580.00123675579</v>
      </c>
      <c r="Q21" s="368">
        <f t="shared" si="10"/>
        <v>251609.08907447982</v>
      </c>
      <c r="R21" s="368">
        <f t="shared" si="11"/>
        <v>34416314.899637975</v>
      </c>
      <c r="S21" s="373"/>
      <c r="AA21" s="304">
        <f t="shared" si="2"/>
        <v>2</v>
      </c>
      <c r="AB21" s="367">
        <v>43647</v>
      </c>
      <c r="AC21" s="368">
        <f t="shared" si="12"/>
        <v>-374189.09031123563</v>
      </c>
      <c r="AD21" s="368">
        <f t="shared" si="13"/>
        <v>374189.09031123563</v>
      </c>
      <c r="AE21" s="368">
        <f t="shared" si="3"/>
        <v>-1323.0702584921439</v>
      </c>
      <c r="AF21" s="368">
        <f t="shared" si="14"/>
        <v>375512.16056972777</v>
      </c>
      <c r="AG21" s="368">
        <f t="shared" si="15"/>
        <v>-749701.2508809634</v>
      </c>
    </row>
    <row r="22" spans="1:40" ht="15" x14ac:dyDescent="0.25">
      <c r="A22" s="367">
        <v>44044</v>
      </c>
      <c r="B22" s="368">
        <f t="shared" si="4"/>
        <v>2570786.9550374784</v>
      </c>
      <c r="C22" s="368">
        <f t="shared" si="5"/>
        <v>29727.14350515023</v>
      </c>
      <c r="D22" s="368">
        <f t="shared" si="6"/>
        <v>9340.5259366361715</v>
      </c>
      <c r="E22" s="368">
        <f t="shared" si="7"/>
        <v>20386.617568514059</v>
      </c>
      <c r="F22" s="368">
        <f t="shared" si="8"/>
        <v>2550400.3374689645</v>
      </c>
      <c r="L22" s="304">
        <f t="shared" si="0"/>
        <v>17</v>
      </c>
      <c r="M22" s="367">
        <v>43678</v>
      </c>
      <c r="N22" s="368">
        <f t="shared" si="9"/>
        <v>34416314.899637975</v>
      </c>
      <c r="O22" s="368">
        <f t="shared" si="16"/>
        <v>374189.09031123563</v>
      </c>
      <c r="P22" s="368">
        <f t="shared" si="1"/>
        <v>121690.35343263661</v>
      </c>
      <c r="Q22" s="368">
        <f t="shared" si="10"/>
        <v>252498.73687859904</v>
      </c>
      <c r="R22" s="368">
        <f t="shared" si="11"/>
        <v>34163816.162759379</v>
      </c>
      <c r="S22" s="373"/>
      <c r="T22" s="374" t="s">
        <v>373</v>
      </c>
      <c r="U22" s="375"/>
      <c r="V22" s="375"/>
      <c r="W22" s="376"/>
      <c r="AA22" s="304">
        <f t="shared" si="2"/>
        <v>3</v>
      </c>
      <c r="AB22" s="367">
        <v>43678</v>
      </c>
      <c r="AC22" s="368">
        <f t="shared" si="12"/>
        <v>-749701.2508809634</v>
      </c>
      <c r="AD22" s="368">
        <f t="shared" si="13"/>
        <v>374189.09031123563</v>
      </c>
      <c r="AE22" s="368">
        <f t="shared" si="3"/>
        <v>-2650.8186729066065</v>
      </c>
      <c r="AF22" s="368">
        <f t="shared" si="14"/>
        <v>376839.90898414224</v>
      </c>
      <c r="AG22" s="368">
        <f t="shared" si="15"/>
        <v>-1126541.1598651055</v>
      </c>
    </row>
    <row r="23" spans="1:40" x14ac:dyDescent="0.2">
      <c r="A23" s="367">
        <v>44075</v>
      </c>
      <c r="B23" s="368">
        <f t="shared" si="4"/>
        <v>2550400.3374689645</v>
      </c>
      <c r="C23" s="368">
        <f t="shared" si="5"/>
        <v>29727.14350515023</v>
      </c>
      <c r="D23" s="368">
        <f t="shared" si="6"/>
        <v>9266.4545594705705</v>
      </c>
      <c r="E23" s="368">
        <f t="shared" si="7"/>
        <v>20460.68894567966</v>
      </c>
      <c r="F23" s="368">
        <f t="shared" si="8"/>
        <v>2529939.6485232851</v>
      </c>
      <c r="L23" s="304">
        <f t="shared" si="0"/>
        <v>18</v>
      </c>
      <c r="M23" s="367">
        <v>43709</v>
      </c>
      <c r="N23" s="368">
        <f t="shared" si="9"/>
        <v>34163816.162759379</v>
      </c>
      <c r="O23" s="368">
        <f t="shared" si="16"/>
        <v>374189.09031123563</v>
      </c>
      <c r="P23" s="368">
        <f t="shared" si="1"/>
        <v>120797.55998215672</v>
      </c>
      <c r="Q23" s="368">
        <f t="shared" si="10"/>
        <v>253391.5303290789</v>
      </c>
      <c r="R23" s="368">
        <f t="shared" si="11"/>
        <v>33910424.6324303</v>
      </c>
      <c r="T23" s="377"/>
      <c r="U23" s="371"/>
      <c r="V23" s="371"/>
      <c r="W23" s="378"/>
      <c r="AA23" s="304">
        <f t="shared" si="2"/>
        <v>4</v>
      </c>
      <c r="AB23" s="367">
        <v>43709</v>
      </c>
      <c r="AC23" s="368">
        <f t="shared" si="12"/>
        <v>-1126541.1598651055</v>
      </c>
      <c r="AD23" s="368">
        <f t="shared" si="13"/>
        <v>374189.09031123563</v>
      </c>
      <c r="AE23" s="368">
        <f t="shared" si="3"/>
        <v>-3983.2617844230358</v>
      </c>
      <c r="AF23" s="368">
        <f t="shared" si="14"/>
        <v>378172.35209565866</v>
      </c>
      <c r="AG23" s="368">
        <f t="shared" si="15"/>
        <v>-1504713.5119607642</v>
      </c>
    </row>
    <row r="24" spans="1:40" x14ac:dyDescent="0.2">
      <c r="A24" s="367">
        <v>44105</v>
      </c>
      <c r="B24" s="368">
        <f t="shared" si="4"/>
        <v>2529939.6485232851</v>
      </c>
      <c r="C24" s="368">
        <f t="shared" si="5"/>
        <v>29727.14350515023</v>
      </c>
      <c r="D24" s="368">
        <f t="shared" si="6"/>
        <v>9192.1140563012686</v>
      </c>
      <c r="E24" s="368">
        <f t="shared" si="7"/>
        <v>20535.02944884896</v>
      </c>
      <c r="F24" s="368">
        <f t="shared" si="8"/>
        <v>2509404.6190744359</v>
      </c>
      <c r="L24" s="304">
        <f t="shared" si="0"/>
        <v>19</v>
      </c>
      <c r="M24" s="367">
        <v>43739</v>
      </c>
      <c r="N24" s="368">
        <f t="shared" si="9"/>
        <v>33910424.6324303</v>
      </c>
      <c r="O24" s="368">
        <f t="shared" si="16"/>
        <v>374189.09031123563</v>
      </c>
      <c r="P24" s="368">
        <f t="shared" si="1"/>
        <v>119901.60976283481</v>
      </c>
      <c r="Q24" s="368">
        <f t="shared" si="10"/>
        <v>254287.48054840084</v>
      </c>
      <c r="R24" s="368">
        <f t="shared" si="11"/>
        <v>33656137.151881896</v>
      </c>
      <c r="T24" s="377" t="s">
        <v>374</v>
      </c>
      <c r="U24" s="371"/>
      <c r="V24" s="379">
        <f>O21</f>
        <v>374189.09031123563</v>
      </c>
      <c r="W24" s="380"/>
      <c r="AA24" s="304">
        <f t="shared" si="2"/>
        <v>5</v>
      </c>
      <c r="AB24" s="367">
        <v>43739</v>
      </c>
      <c r="AC24" s="368">
        <f t="shared" si="12"/>
        <v>-1504713.5119607642</v>
      </c>
      <c r="AD24" s="368">
        <f t="shared" si="13"/>
        <v>374189.09031123563</v>
      </c>
      <c r="AE24" s="368">
        <f t="shared" si="3"/>
        <v>-5320.4161927079358</v>
      </c>
      <c r="AF24" s="368">
        <f t="shared" si="14"/>
        <v>379509.50650394359</v>
      </c>
      <c r="AG24" s="368">
        <f t="shared" si="15"/>
        <v>-1884223.0184647078</v>
      </c>
    </row>
    <row r="25" spans="1:40" x14ac:dyDescent="0.2">
      <c r="A25" s="367">
        <v>44136</v>
      </c>
      <c r="B25" s="368">
        <f t="shared" si="4"/>
        <v>2509404.6190744359</v>
      </c>
      <c r="C25" s="368">
        <f t="shared" si="5"/>
        <v>29727.14350515023</v>
      </c>
      <c r="D25" s="368">
        <f t="shared" si="6"/>
        <v>9117.5034493037838</v>
      </c>
      <c r="E25" s="368">
        <f t="shared" si="7"/>
        <v>20609.640055846445</v>
      </c>
      <c r="F25" s="368">
        <f t="shared" si="8"/>
        <v>2488794.9790185895</v>
      </c>
      <c r="L25" s="304">
        <f t="shared" si="0"/>
        <v>20</v>
      </c>
      <c r="M25" s="367">
        <v>43770</v>
      </c>
      <c r="N25" s="368">
        <f t="shared" si="9"/>
        <v>33656137.151881896</v>
      </c>
      <c r="O25" s="368">
        <f t="shared" si="16"/>
        <v>374189.09031123563</v>
      </c>
      <c r="P25" s="368">
        <f t="shared" si="1"/>
        <v>119002.4916128624</v>
      </c>
      <c r="Q25" s="368">
        <f t="shared" si="10"/>
        <v>255186.59869837324</v>
      </c>
      <c r="R25" s="368">
        <f t="shared" si="11"/>
        <v>33400950.553183522</v>
      </c>
      <c r="T25" s="381" t="s">
        <v>375</v>
      </c>
      <c r="U25" s="371"/>
      <c r="V25" s="382"/>
      <c r="W25" s="380">
        <f>+P21</f>
        <v>122580.00123675579</v>
      </c>
      <c r="AA25" s="304">
        <f t="shared" si="2"/>
        <v>6</v>
      </c>
      <c r="AB25" s="367">
        <v>43770</v>
      </c>
      <c r="AC25" s="368">
        <f t="shared" si="12"/>
        <v>-1884223.0184647078</v>
      </c>
      <c r="AD25" s="368">
        <f t="shared" si="13"/>
        <v>374189.09031123563</v>
      </c>
      <c r="AE25" s="368">
        <f t="shared" si="3"/>
        <v>-6662.2985561214628</v>
      </c>
      <c r="AF25" s="368">
        <f t="shared" si="14"/>
        <v>380851.38886735711</v>
      </c>
      <c r="AG25" s="368">
        <f t="shared" si="15"/>
        <v>-2265074.407332065</v>
      </c>
    </row>
    <row r="26" spans="1:40" ht="13.5" thickBot="1" x14ac:dyDescent="0.25">
      <c r="A26" s="367">
        <v>44166</v>
      </c>
      <c r="B26" s="368">
        <f t="shared" si="4"/>
        <v>2488794.9790185895</v>
      </c>
      <c r="C26" s="368">
        <f t="shared" si="5"/>
        <v>29727.14350515023</v>
      </c>
      <c r="D26" s="368">
        <f t="shared" si="6"/>
        <v>9042.6217571008747</v>
      </c>
      <c r="E26" s="368">
        <f t="shared" si="7"/>
        <v>20684.521748049356</v>
      </c>
      <c r="F26" s="368">
        <f t="shared" si="8"/>
        <v>2468110.4572705403</v>
      </c>
      <c r="L26" s="304">
        <f t="shared" si="0"/>
        <v>21</v>
      </c>
      <c r="M26" s="367">
        <v>43800</v>
      </c>
      <c r="N26" s="368">
        <f t="shared" si="9"/>
        <v>33400950.553183522</v>
      </c>
      <c r="O26" s="368">
        <f t="shared" si="16"/>
        <v>374189.09031123563</v>
      </c>
      <c r="P26" s="368">
        <f t="shared" si="1"/>
        <v>118100.19433096475</v>
      </c>
      <c r="Q26" s="368">
        <f t="shared" si="10"/>
        <v>256088.89598027087</v>
      </c>
      <c r="R26" s="368">
        <f t="shared" si="11"/>
        <v>33144861.65720325</v>
      </c>
      <c r="T26" s="383" t="s">
        <v>376</v>
      </c>
      <c r="U26" s="384"/>
      <c r="V26" s="385"/>
      <c r="W26" s="386">
        <f>+Q21</f>
        <v>251609.08907447982</v>
      </c>
      <c r="AA26" s="304">
        <f t="shared" si="2"/>
        <v>7</v>
      </c>
      <c r="AB26" s="367">
        <v>43800</v>
      </c>
      <c r="AC26" s="368">
        <f t="shared" si="12"/>
        <v>-2265074.407332065</v>
      </c>
      <c r="AD26" s="368">
        <f t="shared" si="13"/>
        <v>374189.09031123563</v>
      </c>
      <c r="AE26" s="368">
        <f t="shared" si="3"/>
        <v>-8008.9255919249599</v>
      </c>
      <c r="AF26" s="368">
        <f t="shared" si="14"/>
        <v>382198.01590316062</v>
      </c>
      <c r="AG26" s="368">
        <f t="shared" si="15"/>
        <v>-2647272.4232352255</v>
      </c>
    </row>
    <row r="27" spans="1:40" x14ac:dyDescent="0.2">
      <c r="A27" s="367">
        <v>44197</v>
      </c>
      <c r="B27" s="368">
        <f t="shared" si="4"/>
        <v>2468110.4572705403</v>
      </c>
      <c r="C27" s="368">
        <f t="shared" si="5"/>
        <v>29727.14350515023</v>
      </c>
      <c r="D27" s="368">
        <f t="shared" si="6"/>
        <v>8967.4679947496297</v>
      </c>
      <c r="E27" s="368">
        <f t="shared" si="7"/>
        <v>20759.675510400601</v>
      </c>
      <c r="F27" s="368">
        <f t="shared" si="8"/>
        <v>2447350.7817601399</v>
      </c>
      <c r="L27" s="304">
        <f t="shared" si="0"/>
        <v>22</v>
      </c>
      <c r="M27" s="367">
        <v>43831</v>
      </c>
      <c r="N27" s="368">
        <f t="shared" si="9"/>
        <v>33144861.65720325</v>
      </c>
      <c r="O27" s="368">
        <f t="shared" si="16"/>
        <v>374189.09031123563</v>
      </c>
      <c r="P27" s="368">
        <f t="shared" si="1"/>
        <v>117194.70667626116</v>
      </c>
      <c r="Q27" s="368">
        <f t="shared" si="10"/>
        <v>256994.38363497448</v>
      </c>
      <c r="R27" s="368">
        <f t="shared" si="11"/>
        <v>32887867.273568276</v>
      </c>
      <c r="AA27" s="304">
        <f t="shared" si="2"/>
        <v>8</v>
      </c>
      <c r="AB27" s="367">
        <v>43831</v>
      </c>
      <c r="AC27" s="368">
        <f t="shared" si="12"/>
        <v>-2647272.4232352255</v>
      </c>
      <c r="AD27" s="368">
        <f t="shared" si="13"/>
        <v>374189.09031123563</v>
      </c>
      <c r="AE27" s="368">
        <f t="shared" si="3"/>
        <v>-9360.3140764892178</v>
      </c>
      <c r="AF27" s="368">
        <f t="shared" si="14"/>
        <v>383549.40438772488</v>
      </c>
      <c r="AG27" s="368">
        <f t="shared" si="15"/>
        <v>-3030821.8276229505</v>
      </c>
    </row>
    <row r="28" spans="1:40" x14ac:dyDescent="0.2">
      <c r="A28" s="367">
        <v>44228</v>
      </c>
      <c r="B28" s="368">
        <f t="shared" si="4"/>
        <v>2447350.7817601399</v>
      </c>
      <c r="C28" s="368">
        <f t="shared" si="5"/>
        <v>29727.14350515023</v>
      </c>
      <c r="D28" s="368">
        <f t="shared" si="6"/>
        <v>8892.0411737285085</v>
      </c>
      <c r="E28" s="368">
        <f t="shared" si="7"/>
        <v>20835.102331421724</v>
      </c>
      <c r="F28" s="368">
        <f t="shared" si="8"/>
        <v>2426515.6794287181</v>
      </c>
      <c r="L28" s="304">
        <f t="shared" si="0"/>
        <v>23</v>
      </c>
      <c r="M28" s="367">
        <v>43862</v>
      </c>
      <c r="N28" s="368">
        <f t="shared" si="9"/>
        <v>32887867.273568276</v>
      </c>
      <c r="O28" s="368">
        <f t="shared" si="16"/>
        <v>374189.09031123563</v>
      </c>
      <c r="P28" s="368">
        <f t="shared" si="1"/>
        <v>116286.01736812516</v>
      </c>
      <c r="Q28" s="368">
        <f t="shared" si="10"/>
        <v>257903.07294311048</v>
      </c>
      <c r="R28" s="368">
        <f t="shared" si="11"/>
        <v>32629964.200625166</v>
      </c>
      <c r="AA28" s="304">
        <f t="shared" si="2"/>
        <v>9</v>
      </c>
      <c r="AB28" s="367">
        <v>43862</v>
      </c>
      <c r="AC28" s="368">
        <f t="shared" si="12"/>
        <v>-3030821.8276229505</v>
      </c>
      <c r="AD28" s="368">
        <f t="shared" si="13"/>
        <v>374189.09031123563</v>
      </c>
      <c r="AE28" s="368">
        <f t="shared" si="3"/>
        <v>-10716.480845503484</v>
      </c>
      <c r="AF28" s="368">
        <f t="shared" si="14"/>
        <v>384905.57115673914</v>
      </c>
      <c r="AG28" s="368">
        <f t="shared" si="15"/>
        <v>-3415727.3987796898</v>
      </c>
    </row>
    <row r="29" spans="1:40" x14ac:dyDescent="0.2">
      <c r="A29" s="367">
        <v>44256</v>
      </c>
      <c r="B29" s="368">
        <f t="shared" si="4"/>
        <v>2426515.6794287181</v>
      </c>
      <c r="C29" s="368">
        <f t="shared" si="5"/>
        <v>29727.14350515023</v>
      </c>
      <c r="D29" s="368">
        <f t="shared" si="6"/>
        <v>8816.3403019243433</v>
      </c>
      <c r="E29" s="368">
        <f t="shared" si="7"/>
        <v>20910.803203225885</v>
      </c>
      <c r="F29" s="368">
        <f t="shared" si="8"/>
        <v>2405604.876225492</v>
      </c>
      <c r="L29" s="304">
        <f t="shared" si="0"/>
        <v>24</v>
      </c>
      <c r="M29" s="367">
        <v>43891</v>
      </c>
      <c r="N29" s="368">
        <f t="shared" si="9"/>
        <v>32629964.200625166</v>
      </c>
      <c r="O29" s="368">
        <f t="shared" si="16"/>
        <v>374189.09031123563</v>
      </c>
      <c r="P29" s="368">
        <f t="shared" si="1"/>
        <v>115374.11508604382</v>
      </c>
      <c r="Q29" s="368">
        <f t="shared" si="10"/>
        <v>258814.9752251918</v>
      </c>
      <c r="R29" s="368">
        <f t="shared" si="11"/>
        <v>32371149.225399975</v>
      </c>
      <c r="S29" s="306"/>
      <c r="T29" s="306"/>
      <c r="U29" s="306"/>
      <c r="V29" s="306"/>
      <c r="W29" s="306"/>
      <c r="AA29" s="304">
        <f t="shared" si="2"/>
        <v>10</v>
      </c>
      <c r="AB29" s="367">
        <v>43891</v>
      </c>
      <c r="AC29" s="368">
        <f t="shared" si="12"/>
        <v>-3415727.3987796898</v>
      </c>
      <c r="AD29" s="368">
        <f t="shared" si="13"/>
        <v>374189.09031123563</v>
      </c>
      <c r="AE29" s="368">
        <f t="shared" si="3"/>
        <v>-12077.442794185188</v>
      </c>
      <c r="AF29" s="368">
        <f t="shared" si="14"/>
        <v>386266.53310542082</v>
      </c>
      <c r="AG29" s="368">
        <f t="shared" si="15"/>
        <v>-3801993.9318851107</v>
      </c>
    </row>
    <row r="30" spans="1:40" x14ac:dyDescent="0.2">
      <c r="A30" s="367">
        <v>44287</v>
      </c>
      <c r="B30" s="368">
        <f t="shared" si="4"/>
        <v>2405604.876225492</v>
      </c>
      <c r="C30" s="368">
        <f t="shared" si="5"/>
        <v>29727.14350515023</v>
      </c>
      <c r="D30" s="368">
        <f t="shared" si="6"/>
        <v>8740.3643836192878</v>
      </c>
      <c r="E30" s="368">
        <f t="shared" si="7"/>
        <v>20986.779121530941</v>
      </c>
      <c r="F30" s="368">
        <f t="shared" si="8"/>
        <v>2384618.0971039608</v>
      </c>
      <c r="L30" s="304">
        <f t="shared" si="0"/>
        <v>25</v>
      </c>
      <c r="M30" s="367">
        <v>43922</v>
      </c>
      <c r="N30" s="368">
        <f t="shared" si="9"/>
        <v>32371149.225399975</v>
      </c>
      <c r="O30" s="368">
        <f t="shared" si="16"/>
        <v>374189.09031123563</v>
      </c>
      <c r="P30" s="368">
        <f t="shared" si="1"/>
        <v>114458.98846947675</v>
      </c>
      <c r="Q30" s="368">
        <f t="shared" si="10"/>
        <v>259730.10184175888</v>
      </c>
      <c r="R30" s="368">
        <f t="shared" si="11"/>
        <v>32111419.123558216</v>
      </c>
      <c r="U30" s="306"/>
      <c r="V30" s="306"/>
      <c r="W30" s="306"/>
      <c r="AA30" s="304">
        <f t="shared" si="2"/>
        <v>11</v>
      </c>
      <c r="AB30" s="367">
        <v>43922</v>
      </c>
      <c r="AC30" s="368">
        <f t="shared" si="12"/>
        <v>-3801993.9318851107</v>
      </c>
      <c r="AD30" s="368">
        <f t="shared" si="13"/>
        <v>374189.09031123563</v>
      </c>
      <c r="AE30" s="368">
        <f t="shared" si="3"/>
        <v>-13443.216877490437</v>
      </c>
      <c r="AF30" s="368">
        <f t="shared" si="14"/>
        <v>387632.30718872609</v>
      </c>
      <c r="AG30" s="368">
        <f t="shared" si="15"/>
        <v>-4189626.2390738367</v>
      </c>
    </row>
    <row r="31" spans="1:40" x14ac:dyDescent="0.2">
      <c r="A31" s="367">
        <v>44317</v>
      </c>
      <c r="B31" s="368">
        <f t="shared" si="4"/>
        <v>2384618.0971039608</v>
      </c>
      <c r="C31" s="368">
        <f t="shared" si="5"/>
        <v>29727.14350515023</v>
      </c>
      <c r="D31" s="368">
        <f t="shared" si="6"/>
        <v>8664.112419477724</v>
      </c>
      <c r="E31" s="368">
        <f t="shared" si="7"/>
        <v>21063.031085672505</v>
      </c>
      <c r="F31" s="368">
        <f t="shared" si="8"/>
        <v>2363555.0660182885</v>
      </c>
      <c r="L31" s="304">
        <f t="shared" si="0"/>
        <v>26</v>
      </c>
      <c r="M31" s="367">
        <v>43952</v>
      </c>
      <c r="N31" s="368">
        <f t="shared" si="9"/>
        <v>32111419.123558216</v>
      </c>
      <c r="O31" s="368">
        <f t="shared" si="16"/>
        <v>374189.09031123563</v>
      </c>
      <c r="P31" s="368">
        <f t="shared" si="1"/>
        <v>113540.62611771461</v>
      </c>
      <c r="Q31" s="368">
        <f t="shared" si="10"/>
        <v>260648.46419352101</v>
      </c>
      <c r="R31" s="368">
        <f t="shared" si="11"/>
        <v>31850770.659364697</v>
      </c>
      <c r="T31" s="387"/>
      <c r="U31" s="306"/>
      <c r="V31" s="306"/>
      <c r="W31" s="306"/>
      <c r="AA31" s="304">
        <f t="shared" si="2"/>
        <v>12</v>
      </c>
      <c r="AB31" s="367">
        <v>43952</v>
      </c>
      <c r="AC31" s="368">
        <f t="shared" si="12"/>
        <v>-4189626.2390738367</v>
      </c>
      <c r="AD31" s="368">
        <f t="shared" si="13"/>
        <v>374189.09031123563</v>
      </c>
      <c r="AE31" s="368">
        <f t="shared" si="3"/>
        <v>-14813.820110325241</v>
      </c>
      <c r="AF31" s="368">
        <f t="shared" si="14"/>
        <v>389002.91042156087</v>
      </c>
      <c r="AG31" s="368">
        <f t="shared" si="15"/>
        <v>-4578629.1494953977</v>
      </c>
    </row>
    <row r="32" spans="1:40" x14ac:dyDescent="0.2">
      <c r="A32" s="367">
        <v>44348</v>
      </c>
      <c r="B32" s="368">
        <f t="shared" si="4"/>
        <v>2363555.0660182885</v>
      </c>
      <c r="C32" s="368">
        <f t="shared" si="5"/>
        <v>29727.14350515023</v>
      </c>
      <c r="D32" s="368">
        <f t="shared" si="6"/>
        <v>8587.5834065331146</v>
      </c>
      <c r="E32" s="368">
        <f t="shared" si="7"/>
        <v>21139.560098617116</v>
      </c>
      <c r="F32" s="368">
        <f t="shared" si="8"/>
        <v>2342415.5059196712</v>
      </c>
      <c r="L32" s="304">
        <f t="shared" si="0"/>
        <v>27</v>
      </c>
      <c r="M32" s="367">
        <v>43983</v>
      </c>
      <c r="N32" s="368">
        <f t="shared" si="9"/>
        <v>31850770.659364697</v>
      </c>
      <c r="O32" s="368">
        <f t="shared" si="16"/>
        <v>374189.09031123563</v>
      </c>
      <c r="P32" s="368">
        <f t="shared" si="1"/>
        <v>112619.01658973702</v>
      </c>
      <c r="Q32" s="368">
        <f t="shared" si="10"/>
        <v>261570.0737214986</v>
      </c>
      <c r="R32" s="368">
        <f t="shared" si="11"/>
        <v>31589200.585643198</v>
      </c>
      <c r="T32" s="387"/>
      <c r="U32" s="387"/>
      <c r="V32" s="387"/>
      <c r="AA32" s="304">
        <f t="shared" si="2"/>
        <v>13</v>
      </c>
      <c r="AB32" s="367">
        <v>43983</v>
      </c>
      <c r="AC32" s="368">
        <f t="shared" si="12"/>
        <v>-4578629.1494953977</v>
      </c>
      <c r="AD32" s="368">
        <f t="shared" si="13"/>
        <v>374189.09031123563</v>
      </c>
      <c r="AE32" s="368">
        <f t="shared" si="3"/>
        <v>-16189.269567757479</v>
      </c>
      <c r="AF32" s="368">
        <f t="shared" si="14"/>
        <v>390378.35987899313</v>
      </c>
      <c r="AG32" s="368">
        <f t="shared" si="15"/>
        <v>-4969007.5093743913</v>
      </c>
    </row>
    <row r="33" spans="1:33" x14ac:dyDescent="0.2">
      <c r="A33" s="367">
        <v>44378</v>
      </c>
      <c r="B33" s="368">
        <f t="shared" si="4"/>
        <v>2342415.5059196712</v>
      </c>
      <c r="C33" s="368">
        <f t="shared" si="5"/>
        <v>29727.14350515023</v>
      </c>
      <c r="D33" s="368">
        <f t="shared" si="6"/>
        <v>8510.7763381748064</v>
      </c>
      <c r="E33" s="368">
        <f t="shared" si="7"/>
        <v>21216.367166975426</v>
      </c>
      <c r="F33" s="368">
        <f t="shared" si="8"/>
        <v>2321199.1387526956</v>
      </c>
      <c r="L33" s="304">
        <f t="shared" si="0"/>
        <v>28</v>
      </c>
      <c r="M33" s="367">
        <v>44013</v>
      </c>
      <c r="N33" s="368">
        <f t="shared" si="9"/>
        <v>31589200.585643198</v>
      </c>
      <c r="O33" s="368">
        <f t="shared" si="16"/>
        <v>374189.09031123563</v>
      </c>
      <c r="P33" s="368">
        <f t="shared" si="1"/>
        <v>111694.14840407007</v>
      </c>
      <c r="Q33" s="368">
        <f t="shared" si="10"/>
        <v>262494.94190716557</v>
      </c>
      <c r="R33" s="368">
        <f t="shared" si="11"/>
        <v>31326705.643736035</v>
      </c>
      <c r="AA33" s="304">
        <f t="shared" si="2"/>
        <v>14</v>
      </c>
      <c r="AB33" s="367">
        <v>44013</v>
      </c>
      <c r="AC33" s="368">
        <f t="shared" si="12"/>
        <v>-4969007.5093743913</v>
      </c>
      <c r="AD33" s="368">
        <f t="shared" si="13"/>
        <v>374189.09031123563</v>
      </c>
      <c r="AE33" s="368">
        <f t="shared" si="3"/>
        <v>-17569.58238522962</v>
      </c>
      <c r="AF33" s="368">
        <f t="shared" si="14"/>
        <v>391758.67269646528</v>
      </c>
      <c r="AG33" s="368">
        <f t="shared" si="15"/>
        <v>-5360766.1820708569</v>
      </c>
    </row>
    <row r="34" spans="1:33" x14ac:dyDescent="0.2">
      <c r="A34" s="367">
        <v>44409</v>
      </c>
      <c r="B34" s="368">
        <f t="shared" si="4"/>
        <v>2321199.1387526956</v>
      </c>
      <c r="C34" s="368">
        <f t="shared" si="5"/>
        <v>29727.14350515023</v>
      </c>
      <c r="D34" s="368">
        <f t="shared" si="6"/>
        <v>8433.6902041347948</v>
      </c>
      <c r="E34" s="368">
        <f t="shared" si="7"/>
        <v>21293.453301015434</v>
      </c>
      <c r="F34" s="368">
        <f t="shared" si="8"/>
        <v>2299905.6854516803</v>
      </c>
      <c r="L34" s="304">
        <f t="shared" si="0"/>
        <v>29</v>
      </c>
      <c r="M34" s="367">
        <v>44044</v>
      </c>
      <c r="N34" s="368">
        <f t="shared" si="9"/>
        <v>31326705.643736035</v>
      </c>
      <c r="O34" s="368">
        <f t="shared" si="16"/>
        <v>374189.09031123563</v>
      </c>
      <c r="P34" s="368">
        <f t="shared" si="1"/>
        <v>110766.01003864333</v>
      </c>
      <c r="Q34" s="368">
        <f t="shared" si="10"/>
        <v>263423.08027259231</v>
      </c>
      <c r="R34" s="368">
        <f t="shared" si="11"/>
        <v>31063282.563463442</v>
      </c>
      <c r="AA34" s="304">
        <f t="shared" si="2"/>
        <v>15</v>
      </c>
      <c r="AB34" s="367">
        <v>44044</v>
      </c>
      <c r="AC34" s="368">
        <f t="shared" si="12"/>
        <v>-5360766.1820708569</v>
      </c>
      <c r="AD34" s="368">
        <f t="shared" si="13"/>
        <v>374189.09031123563</v>
      </c>
      <c r="AE34" s="368">
        <f t="shared" si="3"/>
        <v>-18954.775758772204</v>
      </c>
      <c r="AF34" s="368">
        <f t="shared" si="14"/>
        <v>393143.86607000785</v>
      </c>
      <c r="AG34" s="368">
        <f t="shared" si="15"/>
        <v>-5753910.0481408648</v>
      </c>
    </row>
    <row r="35" spans="1:33" x14ac:dyDescent="0.2">
      <c r="A35" s="367">
        <v>44440</v>
      </c>
      <c r="B35" s="368">
        <f t="shared" si="4"/>
        <v>2299905.6854516803</v>
      </c>
      <c r="C35" s="368">
        <f t="shared" si="5"/>
        <v>29727.14350515023</v>
      </c>
      <c r="D35" s="368">
        <f t="shared" si="6"/>
        <v>8356.3239904744387</v>
      </c>
      <c r="E35" s="368">
        <f t="shared" si="7"/>
        <v>21370.819514675793</v>
      </c>
      <c r="F35" s="368">
        <f t="shared" si="8"/>
        <v>2278534.8659370043</v>
      </c>
      <c r="L35" s="304">
        <f t="shared" si="0"/>
        <v>30</v>
      </c>
      <c r="M35" s="367">
        <v>44075</v>
      </c>
      <c r="N35" s="368">
        <f t="shared" si="9"/>
        <v>31063282.563463442</v>
      </c>
      <c r="O35" s="368">
        <f t="shared" si="16"/>
        <v>374189.09031123563</v>
      </c>
      <c r="P35" s="368">
        <f t="shared" si="1"/>
        <v>109834.58993064617</v>
      </c>
      <c r="Q35" s="368">
        <f t="shared" si="10"/>
        <v>264354.50038058945</v>
      </c>
      <c r="R35" s="368">
        <f t="shared" si="11"/>
        <v>30798928.063082851</v>
      </c>
      <c r="AA35" s="304">
        <f t="shared" si="2"/>
        <v>16</v>
      </c>
      <c r="AB35" s="367">
        <v>44075</v>
      </c>
      <c r="AC35" s="368">
        <f t="shared" si="12"/>
        <v>-5753910.0481408648</v>
      </c>
      <c r="AD35" s="368">
        <f t="shared" si="13"/>
        <v>374189.09031123563</v>
      </c>
      <c r="AE35" s="368">
        <f t="shared" si="3"/>
        <v>-20344.866945218077</v>
      </c>
      <c r="AF35" s="368">
        <f t="shared" si="14"/>
        <v>394533.95725645369</v>
      </c>
      <c r="AG35" s="368">
        <f t="shared" si="15"/>
        <v>-6148444.0053973189</v>
      </c>
    </row>
    <row r="36" spans="1:33" x14ac:dyDescent="0.2">
      <c r="A36" s="367">
        <v>44470</v>
      </c>
      <c r="B36" s="368">
        <f t="shared" si="4"/>
        <v>2278534.8659370043</v>
      </c>
      <c r="C36" s="368">
        <f t="shared" si="5"/>
        <v>29727.14350515023</v>
      </c>
      <c r="D36" s="368">
        <f t="shared" si="6"/>
        <v>8278.6766795711155</v>
      </c>
      <c r="E36" s="368">
        <f t="shared" si="7"/>
        <v>21448.466825579115</v>
      </c>
      <c r="F36" s="368">
        <f t="shared" si="8"/>
        <v>2257086.399111425</v>
      </c>
      <c r="L36" s="304">
        <f t="shared" si="0"/>
        <v>31</v>
      </c>
      <c r="M36" s="367">
        <v>44105</v>
      </c>
      <c r="N36" s="368">
        <f t="shared" si="9"/>
        <v>30798928.063082851</v>
      </c>
      <c r="O36" s="368">
        <f t="shared" si="16"/>
        <v>374189.09031123563</v>
      </c>
      <c r="P36" s="368">
        <f t="shared" si="1"/>
        <v>108899.87647638378</v>
      </c>
      <c r="Q36" s="368">
        <f t="shared" si="10"/>
        <v>265289.21383485186</v>
      </c>
      <c r="R36" s="368">
        <f t="shared" si="11"/>
        <v>30533638.849247999</v>
      </c>
      <c r="AA36" s="304">
        <f t="shared" si="2"/>
        <v>17</v>
      </c>
      <c r="AB36" s="367">
        <v>44105</v>
      </c>
      <c r="AC36" s="368">
        <f t="shared" si="12"/>
        <v>-6148444.0053973189</v>
      </c>
      <c r="AD36" s="368">
        <f t="shared" si="13"/>
        <v>374189.09031123563</v>
      </c>
      <c r="AE36" s="368">
        <f t="shared" si="3"/>
        <v>-21739.873262417354</v>
      </c>
      <c r="AF36" s="368">
        <f t="shared" si="14"/>
        <v>395928.96357365296</v>
      </c>
      <c r="AG36" s="368">
        <f t="shared" si="15"/>
        <v>-6544372.9689709721</v>
      </c>
    </row>
    <row r="37" spans="1:33" x14ac:dyDescent="0.2">
      <c r="A37" s="367">
        <v>44501</v>
      </c>
      <c r="B37" s="368">
        <f t="shared" si="4"/>
        <v>2257086.399111425</v>
      </c>
      <c r="C37" s="368">
        <f t="shared" si="5"/>
        <v>29727.14350515023</v>
      </c>
      <c r="D37" s="368">
        <f t="shared" si="6"/>
        <v>8200.7472501048451</v>
      </c>
      <c r="E37" s="368">
        <f t="shared" si="7"/>
        <v>21526.396255045387</v>
      </c>
      <c r="F37" s="368">
        <f t="shared" si="8"/>
        <v>2235560.0028563798</v>
      </c>
      <c r="L37" s="304">
        <f t="shared" si="0"/>
        <v>32</v>
      </c>
      <c r="M37" s="367">
        <v>44136</v>
      </c>
      <c r="N37" s="368">
        <f t="shared" si="9"/>
        <v>30533638.849247999</v>
      </c>
      <c r="O37" s="368">
        <f t="shared" si="16"/>
        <v>374189.09031123563</v>
      </c>
      <c r="P37" s="368">
        <f t="shared" si="1"/>
        <v>107961.85803113272</v>
      </c>
      <c r="Q37" s="368">
        <f t="shared" si="10"/>
        <v>266227.23228010291</v>
      </c>
      <c r="R37" s="368">
        <f t="shared" si="11"/>
        <v>30267411.616967898</v>
      </c>
      <c r="AA37" s="304">
        <f t="shared" si="2"/>
        <v>18</v>
      </c>
      <c r="AB37" s="367">
        <v>44136</v>
      </c>
      <c r="AC37" s="368">
        <f t="shared" si="12"/>
        <v>-6544372.9689709721</v>
      </c>
      <c r="AD37" s="368">
        <f t="shared" si="13"/>
        <v>374189.09031123563</v>
      </c>
      <c r="AE37" s="368">
        <f t="shared" si="3"/>
        <v>-23139.8120894532</v>
      </c>
      <c r="AF37" s="368">
        <f t="shared" si="14"/>
        <v>397328.90240068885</v>
      </c>
      <c r="AG37" s="368">
        <f t="shared" si="15"/>
        <v>-6941701.8713716613</v>
      </c>
    </row>
    <row r="38" spans="1:33" x14ac:dyDescent="0.2">
      <c r="A38" s="367">
        <v>44531</v>
      </c>
      <c r="B38" s="368">
        <f t="shared" si="4"/>
        <v>2235560.0028563798</v>
      </c>
      <c r="C38" s="368">
        <f t="shared" si="5"/>
        <v>29727.14350515023</v>
      </c>
      <c r="D38" s="368">
        <f t="shared" si="6"/>
        <v>8122.5346770448459</v>
      </c>
      <c r="E38" s="368">
        <f t="shared" si="7"/>
        <v>21604.608828105385</v>
      </c>
      <c r="F38" s="368">
        <f t="shared" si="8"/>
        <v>2213955.3940282743</v>
      </c>
      <c r="L38" s="304">
        <f t="shared" si="0"/>
        <v>33</v>
      </c>
      <c r="M38" s="367">
        <v>44166</v>
      </c>
      <c r="N38" s="368">
        <f t="shared" si="9"/>
        <v>30267411.616967898</v>
      </c>
      <c r="O38" s="368">
        <f t="shared" si="16"/>
        <v>374189.09031123563</v>
      </c>
      <c r="P38" s="368">
        <f t="shared" si="1"/>
        <v>107020.52290899567</v>
      </c>
      <c r="Q38" s="368">
        <f t="shared" si="10"/>
        <v>267168.56740223995</v>
      </c>
      <c r="R38" s="368">
        <f t="shared" si="11"/>
        <v>30000243.049565658</v>
      </c>
      <c r="AA38" s="304">
        <f t="shared" si="2"/>
        <v>19</v>
      </c>
      <c r="AB38" s="367">
        <v>44166</v>
      </c>
      <c r="AC38" s="368">
        <f t="shared" si="12"/>
        <v>-6941701.8713716613</v>
      </c>
      <c r="AD38" s="368">
        <f t="shared" si="13"/>
        <v>374189.09031123563</v>
      </c>
      <c r="AE38" s="368">
        <f t="shared" si="3"/>
        <v>-24544.7008668583</v>
      </c>
      <c r="AF38" s="368">
        <f t="shared" si="14"/>
        <v>398733.79117809393</v>
      </c>
      <c r="AG38" s="368">
        <f t="shared" si="15"/>
        <v>-7340435.6625497555</v>
      </c>
    </row>
    <row r="39" spans="1:33" x14ac:dyDescent="0.2">
      <c r="A39" s="367">
        <v>44562</v>
      </c>
      <c r="B39" s="368">
        <f t="shared" si="4"/>
        <v>2213955.3940282743</v>
      </c>
      <c r="C39" s="368">
        <f t="shared" si="5"/>
        <v>29727.14350515023</v>
      </c>
      <c r="D39" s="368">
        <f t="shared" si="6"/>
        <v>8044.0379316360631</v>
      </c>
      <c r="E39" s="368">
        <f t="shared" si="7"/>
        <v>21683.105573514167</v>
      </c>
      <c r="F39" s="368">
        <f t="shared" si="8"/>
        <v>2192272.2884547603</v>
      </c>
      <c r="L39" s="304">
        <f t="shared" si="0"/>
        <v>34</v>
      </c>
      <c r="M39" s="367">
        <v>44197</v>
      </c>
      <c r="N39" s="368">
        <f t="shared" si="9"/>
        <v>30000243.049565658</v>
      </c>
      <c r="O39" s="368">
        <f t="shared" si="16"/>
        <v>374189.09031123563</v>
      </c>
      <c r="P39" s="368">
        <f t="shared" si="1"/>
        <v>106075.85938275592</v>
      </c>
      <c r="Q39" s="368">
        <f t="shared" si="10"/>
        <v>268113.23092847969</v>
      </c>
      <c r="R39" s="368">
        <f t="shared" si="11"/>
        <v>29732129.818637177</v>
      </c>
      <c r="AA39" s="304">
        <f t="shared" si="2"/>
        <v>20</v>
      </c>
      <c r="AB39" s="367">
        <v>44197</v>
      </c>
      <c r="AC39" s="368">
        <f t="shared" si="12"/>
        <v>-7340435.6625497555</v>
      </c>
      <c r="AD39" s="368">
        <f t="shared" si="13"/>
        <v>374189.09031123563</v>
      </c>
      <c r="AE39" s="368">
        <f t="shared" si="3"/>
        <v>-25954.557096832181</v>
      </c>
      <c r="AF39" s="368">
        <f t="shared" si="14"/>
        <v>400143.64740806783</v>
      </c>
      <c r="AG39" s="368">
        <f t="shared" si="15"/>
        <v>-7740579.3099578237</v>
      </c>
    </row>
    <row r="40" spans="1:33" x14ac:dyDescent="0.2">
      <c r="A40" s="367">
        <v>44593</v>
      </c>
      <c r="B40" s="368">
        <f t="shared" si="4"/>
        <v>2192272.2884547603</v>
      </c>
      <c r="C40" s="368">
        <f t="shared" si="5"/>
        <v>29727.14350515023</v>
      </c>
      <c r="D40" s="368">
        <f t="shared" si="6"/>
        <v>7965.2559813856287</v>
      </c>
      <c r="E40" s="368">
        <f t="shared" si="7"/>
        <v>21761.887523764603</v>
      </c>
      <c r="F40" s="368">
        <f t="shared" si="8"/>
        <v>2170510.4009309956</v>
      </c>
      <c r="L40" s="304">
        <f t="shared" si="0"/>
        <v>35</v>
      </c>
      <c r="M40" s="367">
        <v>44228</v>
      </c>
      <c r="N40" s="368">
        <f t="shared" si="9"/>
        <v>29732129.818637177</v>
      </c>
      <c r="O40" s="368">
        <f t="shared" si="16"/>
        <v>374189.09031123563</v>
      </c>
      <c r="P40" s="368">
        <f t="shared" si="1"/>
        <v>105127.85568373128</v>
      </c>
      <c r="Q40" s="368">
        <f t="shared" si="10"/>
        <v>269061.23462750437</v>
      </c>
      <c r="R40" s="368">
        <f t="shared" si="11"/>
        <v>29463068.584009673</v>
      </c>
      <c r="AA40" s="304">
        <f t="shared" si="2"/>
        <v>21</v>
      </c>
      <c r="AB40" s="367">
        <v>44228</v>
      </c>
      <c r="AC40" s="368">
        <f t="shared" si="12"/>
        <v>-7740579.3099578237</v>
      </c>
      <c r="AD40" s="368">
        <f t="shared" si="13"/>
        <v>374189.09031123563</v>
      </c>
      <c r="AE40" s="368">
        <f t="shared" si="3"/>
        <v>-27369.398343459208</v>
      </c>
      <c r="AF40" s="368">
        <f t="shared" si="14"/>
        <v>401558.48865469487</v>
      </c>
      <c r="AG40" s="368">
        <f t="shared" si="15"/>
        <v>-8142137.7986125182</v>
      </c>
    </row>
    <row r="41" spans="1:33" x14ac:dyDescent="0.2">
      <c r="A41" s="367">
        <v>44621</v>
      </c>
      <c r="B41" s="368">
        <f t="shared" si="4"/>
        <v>2170510.4009309956</v>
      </c>
      <c r="C41" s="368">
        <f t="shared" si="5"/>
        <v>29727.14350515023</v>
      </c>
      <c r="D41" s="368">
        <f t="shared" si="6"/>
        <v>7886.1877900492836</v>
      </c>
      <c r="E41" s="368">
        <f t="shared" si="7"/>
        <v>21840.955715100947</v>
      </c>
      <c r="F41" s="368">
        <f t="shared" si="8"/>
        <v>2148669.4452158948</v>
      </c>
      <c r="L41" s="304">
        <f t="shared" si="0"/>
        <v>36</v>
      </c>
      <c r="M41" s="367">
        <v>44256</v>
      </c>
      <c r="N41" s="368">
        <f t="shared" si="9"/>
        <v>29463068.584009673</v>
      </c>
      <c r="O41" s="368">
        <f t="shared" si="16"/>
        <v>374189.09031123563</v>
      </c>
      <c r="P41" s="368">
        <f t="shared" si="1"/>
        <v>104176.50000162754</v>
      </c>
      <c r="Q41" s="368">
        <f t="shared" si="10"/>
        <v>270012.59030960809</v>
      </c>
      <c r="R41" s="368">
        <f t="shared" si="11"/>
        <v>29193055.993700065</v>
      </c>
      <c r="AA41" s="304">
        <f t="shared" si="2"/>
        <v>22</v>
      </c>
      <c r="AB41" s="367">
        <v>44256</v>
      </c>
      <c r="AC41" s="368">
        <f t="shared" si="12"/>
        <v>-8142137.7986125182</v>
      </c>
      <c r="AD41" s="368">
        <f t="shared" si="13"/>
        <v>374189.09031123563</v>
      </c>
      <c r="AE41" s="368">
        <f t="shared" si="3"/>
        <v>-28789.24223292743</v>
      </c>
      <c r="AF41" s="368">
        <f t="shared" si="14"/>
        <v>402978.33254416304</v>
      </c>
      <c r="AG41" s="368">
        <f t="shared" si="15"/>
        <v>-8545116.1311566811</v>
      </c>
    </row>
    <row r="42" spans="1:33" x14ac:dyDescent="0.2">
      <c r="A42" s="367">
        <v>44652</v>
      </c>
      <c r="B42" s="368">
        <f t="shared" si="4"/>
        <v>2148669.4452158948</v>
      </c>
      <c r="C42" s="368">
        <f t="shared" si="5"/>
        <v>29727.14350515023</v>
      </c>
      <c r="D42" s="368">
        <f t="shared" si="6"/>
        <v>7806.832317617751</v>
      </c>
      <c r="E42" s="368">
        <f t="shared" si="7"/>
        <v>21920.311187532479</v>
      </c>
      <c r="F42" s="368">
        <f t="shared" si="8"/>
        <v>2126749.1340283626</v>
      </c>
      <c r="L42" s="304">
        <f t="shared" si="0"/>
        <v>37</v>
      </c>
      <c r="M42" s="367">
        <v>44287</v>
      </c>
      <c r="N42" s="368">
        <f t="shared" si="9"/>
        <v>29193055.993700065</v>
      </c>
      <c r="O42" s="368">
        <f t="shared" si="16"/>
        <v>374189.09031123563</v>
      </c>
      <c r="P42" s="368">
        <f t="shared" si="1"/>
        <v>103221.78048439114</v>
      </c>
      <c r="Q42" s="368">
        <f t="shared" si="10"/>
        <v>270967.30982684449</v>
      </c>
      <c r="R42" s="368">
        <f t="shared" si="11"/>
        <v>28922088.683873221</v>
      </c>
      <c r="AA42" s="304">
        <f t="shared" si="2"/>
        <v>23</v>
      </c>
      <c r="AB42" s="367">
        <v>44287</v>
      </c>
      <c r="AC42" s="368">
        <f t="shared" si="12"/>
        <v>-8545116.1311566811</v>
      </c>
      <c r="AD42" s="368">
        <f t="shared" si="13"/>
        <v>374189.09031123563</v>
      </c>
      <c r="AE42" s="368">
        <f t="shared" si="3"/>
        <v>-30214.106453748169</v>
      </c>
      <c r="AF42" s="368">
        <f t="shared" si="14"/>
        <v>404403.19676498382</v>
      </c>
      <c r="AG42" s="368">
        <f t="shared" si="15"/>
        <v>-8949519.3279216643</v>
      </c>
    </row>
    <row r="43" spans="1:33" x14ac:dyDescent="0.2">
      <c r="A43" s="367">
        <v>44682</v>
      </c>
      <c r="B43" s="368">
        <f t="shared" si="4"/>
        <v>2126749.1340283626</v>
      </c>
      <c r="C43" s="368">
        <f t="shared" si="5"/>
        <v>29727.14350515023</v>
      </c>
      <c r="D43" s="368">
        <f t="shared" si="6"/>
        <v>7727.1885203030506</v>
      </c>
      <c r="E43" s="368">
        <f t="shared" si="7"/>
        <v>21999.95498484718</v>
      </c>
      <c r="F43" s="368">
        <f t="shared" si="8"/>
        <v>2104749.1790435156</v>
      </c>
      <c r="L43" s="304">
        <f t="shared" si="0"/>
        <v>38</v>
      </c>
      <c r="M43" s="367">
        <v>44317</v>
      </c>
      <c r="N43" s="368">
        <f t="shared" si="9"/>
        <v>28922088.683873221</v>
      </c>
      <c r="O43" s="368">
        <f t="shared" si="16"/>
        <v>374189.09031123563</v>
      </c>
      <c r="P43" s="368">
        <f t="shared" si="1"/>
        <v>102263.68523806175</v>
      </c>
      <c r="Q43" s="368">
        <f t="shared" si="10"/>
        <v>271925.40507317387</v>
      </c>
      <c r="R43" s="368">
        <f t="shared" si="11"/>
        <v>28650163.278800048</v>
      </c>
      <c r="AA43" s="304">
        <f t="shared" si="2"/>
        <v>24</v>
      </c>
      <c r="AB43" s="367">
        <v>44317</v>
      </c>
      <c r="AC43" s="368">
        <f t="shared" si="12"/>
        <v>-8949519.3279216643</v>
      </c>
      <c r="AD43" s="368">
        <f t="shared" si="13"/>
        <v>374189.09031123563</v>
      </c>
      <c r="AE43" s="368">
        <f t="shared" si="3"/>
        <v>-31644.008756976353</v>
      </c>
      <c r="AF43" s="368">
        <f t="shared" si="14"/>
        <v>405833.09906821197</v>
      </c>
      <c r="AG43" s="368">
        <f t="shared" si="15"/>
        <v>-9355352.4269898757</v>
      </c>
    </row>
    <row r="44" spans="1:33" x14ac:dyDescent="0.2">
      <c r="A44" s="367">
        <v>44713</v>
      </c>
      <c r="B44" s="368">
        <f t="shared" si="4"/>
        <v>2104749.1790435156</v>
      </c>
      <c r="C44" s="368">
        <f t="shared" si="5"/>
        <v>29727.14350515023</v>
      </c>
      <c r="D44" s="368">
        <f t="shared" si="6"/>
        <v>7647.2553505247733</v>
      </c>
      <c r="E44" s="368">
        <f t="shared" si="7"/>
        <v>22079.888154625456</v>
      </c>
      <c r="F44" s="368">
        <f t="shared" si="8"/>
        <v>2082669.2908888902</v>
      </c>
      <c r="L44" s="304">
        <f t="shared" si="0"/>
        <v>39</v>
      </c>
      <c r="M44" s="367">
        <v>44348</v>
      </c>
      <c r="N44" s="368">
        <f t="shared" si="9"/>
        <v>28650163.278800048</v>
      </c>
      <c r="O44" s="368">
        <f t="shared" si="16"/>
        <v>374189.09031123563</v>
      </c>
      <c r="P44" s="368">
        <f t="shared" si="1"/>
        <v>101302.20232662384</v>
      </c>
      <c r="Q44" s="368">
        <f t="shared" si="10"/>
        <v>272886.88798461179</v>
      </c>
      <c r="R44" s="368">
        <f t="shared" si="11"/>
        <v>28377276.390815437</v>
      </c>
      <c r="AA44" s="304">
        <f t="shared" si="2"/>
        <v>25</v>
      </c>
      <c r="AB44" s="367">
        <v>44348</v>
      </c>
      <c r="AC44" s="368">
        <f t="shared" si="12"/>
        <v>-9355352.4269898757</v>
      </c>
      <c r="AD44" s="368">
        <f t="shared" si="13"/>
        <v>374189.09031123563</v>
      </c>
      <c r="AE44" s="368">
        <f t="shared" si="3"/>
        <v>-33078.966956431708</v>
      </c>
      <c r="AF44" s="368">
        <f t="shared" si="14"/>
        <v>407268.05726766732</v>
      </c>
      <c r="AG44" s="368">
        <f t="shared" si="15"/>
        <v>-9762620.4842575435</v>
      </c>
    </row>
    <row r="45" spans="1:33" x14ac:dyDescent="0.2">
      <c r="A45" s="367">
        <v>44743</v>
      </c>
      <c r="B45" s="368">
        <f t="shared" si="4"/>
        <v>2082669.2908888902</v>
      </c>
      <c r="C45" s="368">
        <f t="shared" si="5"/>
        <v>29727.14350515023</v>
      </c>
      <c r="D45" s="368">
        <f t="shared" si="6"/>
        <v>7567.031756896301</v>
      </c>
      <c r="E45" s="368">
        <f t="shared" si="7"/>
        <v>22160.11174825393</v>
      </c>
      <c r="F45" s="368">
        <f t="shared" si="8"/>
        <v>2060509.1791406362</v>
      </c>
      <c r="L45" s="304">
        <f t="shared" si="0"/>
        <v>40</v>
      </c>
      <c r="M45" s="367">
        <v>44378</v>
      </c>
      <c r="N45" s="368">
        <f t="shared" si="9"/>
        <v>28377276.390815437</v>
      </c>
      <c r="O45" s="368">
        <f t="shared" si="16"/>
        <v>374189.09031123563</v>
      </c>
      <c r="P45" s="368">
        <f t="shared" si="1"/>
        <v>100337.31977185827</v>
      </c>
      <c r="Q45" s="368">
        <f t="shared" si="10"/>
        <v>273851.77053937735</v>
      </c>
      <c r="R45" s="368">
        <f t="shared" si="11"/>
        <v>28103424.62027606</v>
      </c>
      <c r="AA45" s="304">
        <f t="shared" si="2"/>
        <v>26</v>
      </c>
      <c r="AB45" s="367">
        <v>44378</v>
      </c>
      <c r="AC45" s="368">
        <f t="shared" si="12"/>
        <v>-9762620.4842575435</v>
      </c>
      <c r="AD45" s="368">
        <f t="shared" si="13"/>
        <v>374189.09031123563</v>
      </c>
      <c r="AE45" s="368">
        <f t="shared" si="3"/>
        <v>-34518.998928920635</v>
      </c>
      <c r="AF45" s="368">
        <f t="shared" si="14"/>
        <v>408708.08924015629</v>
      </c>
      <c r="AG45" s="368">
        <f t="shared" si="15"/>
        <v>-10171328.5734977</v>
      </c>
    </row>
    <row r="46" spans="1:33" x14ac:dyDescent="0.2">
      <c r="A46" s="367">
        <v>44774</v>
      </c>
      <c r="B46" s="368">
        <f t="shared" si="4"/>
        <v>2060509.1791406362</v>
      </c>
      <c r="C46" s="368">
        <f t="shared" si="5"/>
        <v>29727.14350515023</v>
      </c>
      <c r="D46" s="368">
        <f t="shared" si="6"/>
        <v>7486.5166842109784</v>
      </c>
      <c r="E46" s="368">
        <f t="shared" si="7"/>
        <v>22240.626820939251</v>
      </c>
      <c r="F46" s="368">
        <f t="shared" si="8"/>
        <v>2038268.5523196969</v>
      </c>
      <c r="L46" s="304">
        <f t="shared" si="0"/>
        <v>41</v>
      </c>
      <c r="M46" s="367">
        <v>44409</v>
      </c>
      <c r="N46" s="368">
        <f t="shared" si="9"/>
        <v>28103424.62027606</v>
      </c>
      <c r="O46" s="368">
        <f t="shared" si="16"/>
        <v>374189.09031123563</v>
      </c>
      <c r="P46" s="368">
        <f t="shared" si="1"/>
        <v>99369.025553192769</v>
      </c>
      <c r="Q46" s="368">
        <f t="shared" si="10"/>
        <v>274820.06475804286</v>
      </c>
      <c r="R46" s="368">
        <f t="shared" si="11"/>
        <v>27828604.555518016</v>
      </c>
      <c r="AA46" s="304">
        <f t="shared" si="2"/>
        <v>27</v>
      </c>
      <c r="AB46" s="367">
        <v>44409</v>
      </c>
      <c r="AC46" s="368">
        <f t="shared" si="12"/>
        <v>-10171328.5734977</v>
      </c>
      <c r="AD46" s="368">
        <f t="shared" si="13"/>
        <v>374189.09031123563</v>
      </c>
      <c r="AE46" s="368">
        <f t="shared" si="3"/>
        <v>-35964.122614458953</v>
      </c>
      <c r="AF46" s="368">
        <f t="shared" si="14"/>
        <v>410153.21292569459</v>
      </c>
      <c r="AG46" s="368">
        <f t="shared" si="15"/>
        <v>-10581481.786423394</v>
      </c>
    </row>
    <row r="47" spans="1:33" x14ac:dyDescent="0.2">
      <c r="A47" s="367">
        <v>44805</v>
      </c>
      <c r="B47" s="368">
        <f t="shared" si="4"/>
        <v>2038268.5523196969</v>
      </c>
      <c r="C47" s="368">
        <f t="shared" si="5"/>
        <v>29727.14350515023</v>
      </c>
      <c r="D47" s="368">
        <f t="shared" si="6"/>
        <v>7405.7090734282319</v>
      </c>
      <c r="E47" s="368">
        <f t="shared" si="7"/>
        <v>22321.434431721998</v>
      </c>
      <c r="F47" s="368">
        <f t="shared" si="8"/>
        <v>2015947.1178879749</v>
      </c>
      <c r="L47" s="304">
        <f t="shared" si="0"/>
        <v>42</v>
      </c>
      <c r="M47" s="367">
        <v>44440</v>
      </c>
      <c r="N47" s="368">
        <f t="shared" si="9"/>
        <v>27828604.555518016</v>
      </c>
      <c r="O47" s="368">
        <f t="shared" si="16"/>
        <v>374189.09031123563</v>
      </c>
      <c r="P47" s="368">
        <f t="shared" si="1"/>
        <v>98397.307607552459</v>
      </c>
      <c r="Q47" s="368">
        <f t="shared" si="10"/>
        <v>275791.78270368319</v>
      </c>
      <c r="R47" s="368">
        <f t="shared" si="11"/>
        <v>27552812.772814333</v>
      </c>
      <c r="AA47" s="304">
        <f t="shared" si="2"/>
        <v>28</v>
      </c>
      <c r="AB47" s="367">
        <v>44440</v>
      </c>
      <c r="AC47" s="368">
        <f t="shared" si="12"/>
        <v>-10581481.786423394</v>
      </c>
      <c r="AD47" s="368">
        <f t="shared" si="13"/>
        <v>374189.09031123563</v>
      </c>
      <c r="AE47" s="368">
        <f t="shared" si="3"/>
        <v>-37414.356016495389</v>
      </c>
      <c r="AF47" s="368">
        <f t="shared" si="14"/>
        <v>411603.44632773101</v>
      </c>
      <c r="AG47" s="368">
        <f t="shared" si="15"/>
        <v>-10993085.232751125</v>
      </c>
    </row>
    <row r="48" spans="1:33" x14ac:dyDescent="0.2">
      <c r="A48" s="367">
        <v>44835</v>
      </c>
      <c r="B48" s="368">
        <f t="shared" si="4"/>
        <v>2015947.1178879749</v>
      </c>
      <c r="C48" s="368">
        <f t="shared" si="5"/>
        <v>29727.14350515023</v>
      </c>
      <c r="D48" s="368">
        <f t="shared" si="6"/>
        <v>7324.6078616596424</v>
      </c>
      <c r="E48" s="368">
        <f t="shared" si="7"/>
        <v>22402.535643490588</v>
      </c>
      <c r="F48" s="368">
        <f t="shared" si="8"/>
        <v>1993544.5822444845</v>
      </c>
      <c r="L48" s="304">
        <f t="shared" si="0"/>
        <v>43</v>
      </c>
      <c r="M48" s="367">
        <v>44470</v>
      </c>
      <c r="N48" s="368">
        <f t="shared" si="9"/>
        <v>27552812.772814333</v>
      </c>
      <c r="O48" s="368">
        <f t="shared" si="16"/>
        <v>374189.09031123563</v>
      </c>
      <c r="P48" s="368">
        <f t="shared" si="1"/>
        <v>97422.153829209346</v>
      </c>
      <c r="Q48" s="368">
        <f t="shared" si="10"/>
        <v>276766.9364820263</v>
      </c>
      <c r="R48" s="368">
        <f t="shared" si="11"/>
        <v>27276045.836332306</v>
      </c>
      <c r="AA48" s="304">
        <f t="shared" si="2"/>
        <v>29</v>
      </c>
      <c r="AB48" s="367">
        <v>44470</v>
      </c>
      <c r="AC48" s="368">
        <f t="shared" si="12"/>
        <v>-10993085.232751125</v>
      </c>
      <c r="AD48" s="368">
        <f t="shared" si="13"/>
        <v>374189.09031123563</v>
      </c>
      <c r="AE48" s="368">
        <f t="shared" si="3"/>
        <v>-38869.717202135856</v>
      </c>
      <c r="AF48" s="368">
        <f t="shared" si="14"/>
        <v>413058.80751337146</v>
      </c>
      <c r="AG48" s="368">
        <f t="shared" si="15"/>
        <v>-11406144.040264497</v>
      </c>
    </row>
    <row r="49" spans="1:33" x14ac:dyDescent="0.2">
      <c r="A49" s="367">
        <v>44866</v>
      </c>
      <c r="B49" s="368">
        <f t="shared" si="4"/>
        <v>1993544.5822444845</v>
      </c>
      <c r="C49" s="368">
        <f t="shared" si="5"/>
        <v>29727.14350515023</v>
      </c>
      <c r="D49" s="368">
        <f t="shared" si="6"/>
        <v>7243.2119821549604</v>
      </c>
      <c r="E49" s="368">
        <f t="shared" si="7"/>
        <v>22483.93152299527</v>
      </c>
      <c r="F49" s="368">
        <f t="shared" si="8"/>
        <v>1971060.6507214892</v>
      </c>
      <c r="L49" s="304">
        <f t="shared" si="0"/>
        <v>44</v>
      </c>
      <c r="M49" s="367">
        <v>44501</v>
      </c>
      <c r="N49" s="368">
        <f t="shared" si="9"/>
        <v>27276045.836332306</v>
      </c>
      <c r="O49" s="368">
        <f t="shared" si="16"/>
        <v>374189.09031123563</v>
      </c>
      <c r="P49" s="368">
        <f t="shared" si="1"/>
        <v>96443.552069631653</v>
      </c>
      <c r="Q49" s="368">
        <f t="shared" si="10"/>
        <v>277745.53824160399</v>
      </c>
      <c r="R49" s="368">
        <f t="shared" si="11"/>
        <v>26998300.298090704</v>
      </c>
      <c r="AA49" s="304">
        <f t="shared" si="2"/>
        <v>30</v>
      </c>
      <c r="AB49" s="367">
        <v>44501</v>
      </c>
      <c r="AC49" s="368">
        <f t="shared" si="12"/>
        <v>-11406144.040264497</v>
      </c>
      <c r="AD49" s="368">
        <f t="shared" si="13"/>
        <v>374189.09031123563</v>
      </c>
      <c r="AE49" s="368">
        <f t="shared" si="3"/>
        <v>-40330.224302368551</v>
      </c>
      <c r="AF49" s="368">
        <f t="shared" si="14"/>
        <v>414519.31461360416</v>
      </c>
      <c r="AG49" s="368">
        <f t="shared" si="15"/>
        <v>-11820663.354878101</v>
      </c>
    </row>
    <row r="50" spans="1:33" x14ac:dyDescent="0.2">
      <c r="A50" s="367">
        <v>44896</v>
      </c>
      <c r="B50" s="368">
        <f t="shared" si="4"/>
        <v>1971060.6507214892</v>
      </c>
      <c r="C50" s="368">
        <f t="shared" si="5"/>
        <v>29727.14350515023</v>
      </c>
      <c r="D50" s="368">
        <f t="shared" si="6"/>
        <v>7161.520364288077</v>
      </c>
      <c r="E50" s="368">
        <f t="shared" si="7"/>
        <v>22565.623140862153</v>
      </c>
      <c r="F50" s="368">
        <f t="shared" si="8"/>
        <v>1948495.027580627</v>
      </c>
      <c r="L50" s="304">
        <f t="shared" si="0"/>
        <v>45</v>
      </c>
      <c r="M50" s="367">
        <v>44531</v>
      </c>
      <c r="N50" s="368">
        <f t="shared" si="9"/>
        <v>26998300.298090704</v>
      </c>
      <c r="O50" s="368">
        <f t="shared" si="16"/>
        <v>374189.09031123563</v>
      </c>
      <c r="P50" s="368">
        <f t="shared" si="1"/>
        <v>95461.490137332396</v>
      </c>
      <c r="Q50" s="368">
        <f t="shared" si="10"/>
        <v>278727.60017390322</v>
      </c>
      <c r="R50" s="368">
        <f t="shared" si="11"/>
        <v>26719572.697916802</v>
      </c>
      <c r="AA50" s="304">
        <f t="shared" si="2"/>
        <v>31</v>
      </c>
      <c r="AB50" s="367">
        <v>44531</v>
      </c>
      <c r="AC50" s="368">
        <f t="shared" si="12"/>
        <v>-11820663.354878101</v>
      </c>
      <c r="AD50" s="368">
        <f t="shared" si="13"/>
        <v>374189.09031123563</v>
      </c>
      <c r="AE50" s="368">
        <f t="shared" si="3"/>
        <v>-41795.895512289826</v>
      </c>
      <c r="AF50" s="368">
        <f t="shared" si="14"/>
        <v>415984.98582352547</v>
      </c>
      <c r="AG50" s="368">
        <f t="shared" si="15"/>
        <v>-12236648.340701627</v>
      </c>
    </row>
    <row r="51" spans="1:33" x14ac:dyDescent="0.2">
      <c r="A51" s="367">
        <v>44927</v>
      </c>
      <c r="B51" s="368">
        <f t="shared" si="4"/>
        <v>1948495.027580627</v>
      </c>
      <c r="C51" s="368">
        <f t="shared" si="5"/>
        <v>29727.14350515023</v>
      </c>
      <c r="D51" s="368">
        <f t="shared" si="6"/>
        <v>7079.5319335429449</v>
      </c>
      <c r="E51" s="368">
        <f t="shared" si="7"/>
        <v>22647.611571607285</v>
      </c>
      <c r="F51" s="368">
        <f t="shared" si="8"/>
        <v>1925847.4160090198</v>
      </c>
      <c r="L51" s="304">
        <f t="shared" si="0"/>
        <v>46</v>
      </c>
      <c r="M51" s="367">
        <v>44562</v>
      </c>
      <c r="N51" s="368">
        <f t="shared" si="9"/>
        <v>26719572.697916802</v>
      </c>
      <c r="O51" s="368">
        <f t="shared" si="16"/>
        <v>374189.09031123563</v>
      </c>
      <c r="P51" s="368">
        <f t="shared" si="1"/>
        <v>94475.955797717499</v>
      </c>
      <c r="Q51" s="368">
        <f t="shared" si="10"/>
        <v>279713.13451351813</v>
      </c>
      <c r="R51" s="368">
        <f t="shared" si="11"/>
        <v>26439859.563403282</v>
      </c>
      <c r="AA51" s="304">
        <f t="shared" si="2"/>
        <v>32</v>
      </c>
      <c r="AB51" s="367">
        <v>44562</v>
      </c>
      <c r="AC51" s="368">
        <f t="shared" si="12"/>
        <v>-12236648.340701627</v>
      </c>
      <c r="AD51" s="368">
        <f t="shared" si="13"/>
        <v>374189.09031123563</v>
      </c>
      <c r="AE51" s="368">
        <f t="shared" si="3"/>
        <v>-43266.749091330836</v>
      </c>
      <c r="AF51" s="368">
        <f t="shared" si="14"/>
        <v>417455.83940256649</v>
      </c>
      <c r="AG51" s="368">
        <f t="shared" si="15"/>
        <v>-12654104.180104192</v>
      </c>
    </row>
    <row r="52" spans="1:33" x14ac:dyDescent="0.2">
      <c r="A52" s="367">
        <v>44958</v>
      </c>
      <c r="B52" s="368">
        <f t="shared" si="4"/>
        <v>1925847.4160090198</v>
      </c>
      <c r="C52" s="368">
        <f t="shared" si="5"/>
        <v>29727.14350515023</v>
      </c>
      <c r="D52" s="368">
        <f t="shared" si="6"/>
        <v>6997.2456114994384</v>
      </c>
      <c r="E52" s="368">
        <f t="shared" si="7"/>
        <v>22729.897893650792</v>
      </c>
      <c r="F52" s="368">
        <f t="shared" si="8"/>
        <v>1903117.5181153691</v>
      </c>
      <c r="L52" s="304">
        <f t="shared" si="0"/>
        <v>47</v>
      </c>
      <c r="M52" s="367">
        <v>44593</v>
      </c>
      <c r="N52" s="368">
        <f t="shared" si="9"/>
        <v>26439859.563403282</v>
      </c>
      <c r="O52" s="368">
        <f t="shared" si="16"/>
        <v>374189.09031123563</v>
      </c>
      <c r="P52" s="368">
        <f t="shared" si="1"/>
        <v>93486.936772933448</v>
      </c>
      <c r="Q52" s="368">
        <f t="shared" si="10"/>
        <v>280702.15353830217</v>
      </c>
      <c r="R52" s="368">
        <f t="shared" si="11"/>
        <v>26159157.409864981</v>
      </c>
      <c r="AA52" s="304">
        <f t="shared" si="2"/>
        <v>33</v>
      </c>
      <c r="AB52" s="367">
        <v>44593</v>
      </c>
      <c r="AC52" s="368">
        <f t="shared" si="12"/>
        <v>-12654104.180104192</v>
      </c>
      <c r="AD52" s="368">
        <f t="shared" si="13"/>
        <v>374189.09031123563</v>
      </c>
      <c r="AE52" s="368">
        <f t="shared" si="3"/>
        <v>-44742.80336348508</v>
      </c>
      <c r="AF52" s="368">
        <f t="shared" si="14"/>
        <v>418931.89367472072</v>
      </c>
      <c r="AG52" s="368">
        <f t="shared" si="15"/>
        <v>-13073036.073778912</v>
      </c>
    </row>
    <row r="53" spans="1:33" x14ac:dyDescent="0.2">
      <c r="A53" s="367">
        <v>44986</v>
      </c>
      <c r="B53" s="368">
        <f t="shared" si="4"/>
        <v>1903117.5181153691</v>
      </c>
      <c r="C53" s="368">
        <f t="shared" si="5"/>
        <v>29727.14350515023</v>
      </c>
      <c r="D53" s="368">
        <f t="shared" si="6"/>
        <v>6914.6603158191747</v>
      </c>
      <c r="E53" s="368">
        <f t="shared" si="7"/>
        <v>22812.483189331055</v>
      </c>
      <c r="F53" s="368">
        <f t="shared" si="8"/>
        <v>1880305.034926038</v>
      </c>
      <c r="L53" s="304">
        <f t="shared" si="0"/>
        <v>48</v>
      </c>
      <c r="M53" s="367">
        <v>44621</v>
      </c>
      <c r="N53" s="368">
        <f t="shared" si="9"/>
        <v>26159157.409864981</v>
      </c>
      <c r="O53" s="368">
        <f t="shared" si="16"/>
        <v>374189.09031123563</v>
      </c>
      <c r="P53" s="368">
        <f t="shared" si="1"/>
        <v>92494.420741714261</v>
      </c>
      <c r="Q53" s="368">
        <f t="shared" si="10"/>
        <v>281694.66956952139</v>
      </c>
      <c r="R53" s="368">
        <f t="shared" si="11"/>
        <v>25877462.740295459</v>
      </c>
      <c r="AA53" s="304">
        <f t="shared" si="2"/>
        <v>34</v>
      </c>
      <c r="AB53" s="367">
        <v>44621</v>
      </c>
      <c r="AC53" s="368">
        <f t="shared" si="12"/>
        <v>-13073036.073778912</v>
      </c>
      <c r="AD53" s="368">
        <f t="shared" si="13"/>
        <v>374189.09031123563</v>
      </c>
      <c r="AE53" s="368">
        <f t="shared" si="3"/>
        <v>-46224.076717536605</v>
      </c>
      <c r="AF53" s="368">
        <f t="shared" si="14"/>
        <v>420413.16702877224</v>
      </c>
      <c r="AG53" s="368">
        <f t="shared" si="15"/>
        <v>-13493449.240807684</v>
      </c>
    </row>
    <row r="54" spans="1:33" x14ac:dyDescent="0.2">
      <c r="A54" s="367">
        <v>45017</v>
      </c>
      <c r="B54" s="368">
        <f t="shared" si="4"/>
        <v>1880305.034926038</v>
      </c>
      <c r="C54" s="368">
        <f t="shared" si="5"/>
        <v>29727.14350515023</v>
      </c>
      <c r="D54" s="368">
        <f t="shared" si="6"/>
        <v>6831.7749602312715</v>
      </c>
      <c r="E54" s="368">
        <f t="shared" si="7"/>
        <v>22895.368544918958</v>
      </c>
      <c r="F54" s="368">
        <f t="shared" si="8"/>
        <v>1857409.6663811191</v>
      </c>
      <c r="L54" s="304">
        <f t="shared" si="0"/>
        <v>49</v>
      </c>
      <c r="M54" s="367">
        <v>44652</v>
      </c>
      <c r="N54" s="368">
        <f t="shared" si="9"/>
        <v>25877462.740295459</v>
      </c>
      <c r="O54" s="368">
        <f t="shared" si="16"/>
        <v>374189.09031123563</v>
      </c>
      <c r="P54" s="368">
        <f t="shared" si="1"/>
        <v>91498.395339228038</v>
      </c>
      <c r="Q54" s="368">
        <f t="shared" si="10"/>
        <v>282690.69497200759</v>
      </c>
      <c r="R54" s="368">
        <f t="shared" si="11"/>
        <v>25594772.04532345</v>
      </c>
      <c r="AA54" s="304">
        <f t="shared" si="2"/>
        <v>35</v>
      </c>
      <c r="AB54" s="367">
        <v>44652</v>
      </c>
      <c r="AC54" s="368">
        <f t="shared" si="12"/>
        <v>-13493449.240807684</v>
      </c>
      <c r="AD54" s="368">
        <f t="shared" si="13"/>
        <v>374189.09031123563</v>
      </c>
      <c r="AE54" s="368">
        <f t="shared" si="3"/>
        <v>-47710.58760728917</v>
      </c>
      <c r="AF54" s="368">
        <f t="shared" si="14"/>
        <v>421899.67791852483</v>
      </c>
      <c r="AG54" s="368">
        <f t="shared" si="15"/>
        <v>-13915348.91872621</v>
      </c>
    </row>
    <row r="55" spans="1:33" x14ac:dyDescent="0.2">
      <c r="A55" s="367">
        <v>45047</v>
      </c>
      <c r="B55" s="368">
        <f t="shared" si="4"/>
        <v>1857409.6663811191</v>
      </c>
      <c r="C55" s="368">
        <f t="shared" si="5"/>
        <v>29727.14350515023</v>
      </c>
      <c r="D55" s="368">
        <f t="shared" si="6"/>
        <v>6748.5884545180661</v>
      </c>
      <c r="E55" s="368">
        <f t="shared" si="7"/>
        <v>22978.555050632163</v>
      </c>
      <c r="F55" s="368">
        <f t="shared" si="8"/>
        <v>1834431.1113304868</v>
      </c>
      <c r="L55" s="304">
        <f t="shared" si="0"/>
        <v>50</v>
      </c>
      <c r="M55" s="367">
        <v>44682</v>
      </c>
      <c r="N55" s="368">
        <f t="shared" si="9"/>
        <v>25594772.04532345</v>
      </c>
      <c r="O55" s="368">
        <f t="shared" si="16"/>
        <v>374189.09031123563</v>
      </c>
      <c r="P55" s="368">
        <f t="shared" si="1"/>
        <v>90498.848156922846</v>
      </c>
      <c r="Q55" s="368">
        <f t="shared" si="10"/>
        <v>283690.24215431279</v>
      </c>
      <c r="R55" s="368">
        <f t="shared" si="11"/>
        <v>25311081.803169139</v>
      </c>
      <c r="AA55" s="304">
        <f t="shared" si="2"/>
        <v>36</v>
      </c>
      <c r="AB55" s="367">
        <v>44682</v>
      </c>
      <c r="AC55" s="368">
        <f t="shared" si="12"/>
        <v>-13915348.91872621</v>
      </c>
      <c r="AD55" s="368">
        <f t="shared" si="13"/>
        <v>374189.09031123563</v>
      </c>
      <c r="AE55" s="368">
        <f t="shared" si="3"/>
        <v>-49202.354551796096</v>
      </c>
      <c r="AF55" s="368">
        <f t="shared" si="14"/>
        <v>423391.44486303173</v>
      </c>
      <c r="AG55" s="368">
        <f t="shared" si="15"/>
        <v>-14338740.363589242</v>
      </c>
    </row>
    <row r="56" spans="1:33" x14ac:dyDescent="0.2">
      <c r="A56" s="367">
        <v>45078</v>
      </c>
      <c r="B56" s="368">
        <f t="shared" si="4"/>
        <v>1834431.1113304868</v>
      </c>
      <c r="C56" s="368">
        <f t="shared" si="5"/>
        <v>29727.14350515023</v>
      </c>
      <c r="D56" s="368">
        <f t="shared" si="6"/>
        <v>6665.0997045007689</v>
      </c>
      <c r="E56" s="368">
        <f t="shared" si="7"/>
        <v>23062.043800649462</v>
      </c>
      <c r="F56" s="368">
        <f t="shared" si="8"/>
        <v>1811369.0675298374</v>
      </c>
      <c r="L56" s="304">
        <f t="shared" si="0"/>
        <v>51</v>
      </c>
      <c r="M56" s="367">
        <v>44713</v>
      </c>
      <c r="N56" s="368">
        <f t="shared" si="9"/>
        <v>25311081.803169139</v>
      </c>
      <c r="O56" s="368">
        <f t="shared" si="16"/>
        <v>374189.09031123563</v>
      </c>
      <c r="P56" s="368">
        <f t="shared" si="1"/>
        <v>89495.766742372231</v>
      </c>
      <c r="Q56" s="368">
        <f t="shared" si="10"/>
        <v>284693.32356886339</v>
      </c>
      <c r="R56" s="368">
        <f t="shared" si="11"/>
        <v>25026388.479600277</v>
      </c>
      <c r="AA56" s="304">
        <f t="shared" si="2"/>
        <v>37</v>
      </c>
      <c r="AB56" s="367">
        <v>44713</v>
      </c>
      <c r="AC56" s="368">
        <f t="shared" si="12"/>
        <v>-14338740.363589242</v>
      </c>
      <c r="AD56" s="368">
        <f t="shared" si="13"/>
        <v>374189.09031123563</v>
      </c>
      <c r="AE56" s="368">
        <f t="shared" si="3"/>
        <v>-50699.396135590963</v>
      </c>
      <c r="AF56" s="368">
        <f t="shared" si="14"/>
        <v>424888.4864468266</v>
      </c>
      <c r="AG56" s="368">
        <f t="shared" si="15"/>
        <v>-14763628.850036068</v>
      </c>
    </row>
    <row r="57" spans="1:33" x14ac:dyDescent="0.2">
      <c r="A57" s="367">
        <v>45108</v>
      </c>
      <c r="B57" s="368">
        <f t="shared" si="4"/>
        <v>1811369.0675298374</v>
      </c>
      <c r="C57" s="368">
        <f t="shared" si="5"/>
        <v>29727.14350515023</v>
      </c>
      <c r="D57" s="368">
        <f t="shared" si="6"/>
        <v>6581.3076120250762</v>
      </c>
      <c r="E57" s="368">
        <f t="shared" si="7"/>
        <v>23145.835893125153</v>
      </c>
      <c r="F57" s="368">
        <f t="shared" si="8"/>
        <v>1788223.2316367123</v>
      </c>
      <c r="L57" s="304">
        <f t="shared" si="0"/>
        <v>52</v>
      </c>
      <c r="M57" s="367">
        <v>44743</v>
      </c>
      <c r="N57" s="368">
        <f t="shared" si="9"/>
        <v>25026388.479600277</v>
      </c>
      <c r="O57" s="368">
        <f t="shared" si="16"/>
        <v>374189.09031123563</v>
      </c>
      <c r="P57" s="368">
        <f t="shared" si="1"/>
        <v>88489.138599119979</v>
      </c>
      <c r="Q57" s="368">
        <f t="shared" si="10"/>
        <v>285699.95171211567</v>
      </c>
      <c r="R57" s="368">
        <f t="shared" si="11"/>
        <v>24740688.52788816</v>
      </c>
      <c r="AA57" s="304">
        <f t="shared" si="2"/>
        <v>38</v>
      </c>
      <c r="AB57" s="367">
        <v>44743</v>
      </c>
      <c r="AC57" s="368">
        <f t="shared" si="12"/>
        <v>-14763628.850036068</v>
      </c>
      <c r="AD57" s="368">
        <f t="shared" si="13"/>
        <v>374189.09031123563</v>
      </c>
      <c r="AE57" s="368">
        <f t="shared" si="3"/>
        <v>-52201.731008919196</v>
      </c>
      <c r="AF57" s="368">
        <f t="shared" si="14"/>
        <v>426390.82132015482</v>
      </c>
      <c r="AG57" s="368">
        <f t="shared" si="15"/>
        <v>-15190019.671356224</v>
      </c>
    </row>
    <row r="58" spans="1:33" x14ac:dyDescent="0.2">
      <c r="A58" s="367">
        <v>45139</v>
      </c>
      <c r="B58" s="368">
        <f t="shared" si="4"/>
        <v>1788223.2316367123</v>
      </c>
      <c r="C58" s="368">
        <f t="shared" si="5"/>
        <v>29727.14350515023</v>
      </c>
      <c r="D58" s="368">
        <f t="shared" si="6"/>
        <v>6497.2110749467211</v>
      </c>
      <c r="E58" s="368">
        <f t="shared" si="7"/>
        <v>23229.932430203509</v>
      </c>
      <c r="F58" s="368">
        <f t="shared" si="8"/>
        <v>1764993.2992065088</v>
      </c>
      <c r="L58" s="304">
        <f t="shared" si="0"/>
        <v>53</v>
      </c>
      <c r="M58" s="367">
        <v>44774</v>
      </c>
      <c r="N58" s="368">
        <f t="shared" si="9"/>
        <v>24740688.52788816</v>
      </c>
      <c r="O58" s="368">
        <f t="shared" si="16"/>
        <v>374189.09031123563</v>
      </c>
      <c r="P58" s="368">
        <f t="shared" si="1"/>
        <v>87478.951186524544</v>
      </c>
      <c r="Q58" s="368">
        <f t="shared" si="10"/>
        <v>286710.1391247111</v>
      </c>
      <c r="R58" s="368">
        <f t="shared" si="11"/>
        <v>24453978.38876345</v>
      </c>
      <c r="AA58" s="304">
        <f t="shared" si="2"/>
        <v>39</v>
      </c>
      <c r="AB58" s="367">
        <v>44774</v>
      </c>
      <c r="AC58" s="368">
        <f t="shared" si="12"/>
        <v>-15190019.671356224</v>
      </c>
      <c r="AD58" s="368">
        <f t="shared" si="13"/>
        <v>374189.09031123563</v>
      </c>
      <c r="AE58" s="368">
        <f t="shared" si="3"/>
        <v>-53709.377887970382</v>
      </c>
      <c r="AF58" s="368">
        <f t="shared" si="14"/>
        <v>427898.46819920599</v>
      </c>
      <c r="AG58" s="368">
        <f t="shared" si="15"/>
        <v>-15617918.13955543</v>
      </c>
    </row>
    <row r="59" spans="1:33" x14ac:dyDescent="0.2">
      <c r="A59" s="367">
        <v>45170</v>
      </c>
      <c r="B59" s="368">
        <f t="shared" si="4"/>
        <v>1764993.2992065088</v>
      </c>
      <c r="C59" s="368">
        <f t="shared" si="5"/>
        <v>29727.14350515023</v>
      </c>
      <c r="D59" s="368">
        <f t="shared" si="6"/>
        <v>6412.8089871169823</v>
      </c>
      <c r="E59" s="368">
        <f t="shared" si="7"/>
        <v>23314.334518033247</v>
      </c>
      <c r="F59" s="368">
        <f t="shared" si="8"/>
        <v>1741678.9646884755</v>
      </c>
      <c r="L59" s="304">
        <f t="shared" si="0"/>
        <v>54</v>
      </c>
      <c r="M59" s="367">
        <v>44805</v>
      </c>
      <c r="N59" s="368">
        <f t="shared" si="9"/>
        <v>24453978.38876345</v>
      </c>
      <c r="O59" s="368">
        <f t="shared" si="16"/>
        <v>374189.09031123563</v>
      </c>
      <c r="P59" s="368">
        <f t="shared" si="1"/>
        <v>86465.191919602774</v>
      </c>
      <c r="Q59" s="368">
        <f t="shared" si="10"/>
        <v>287723.89839163283</v>
      </c>
      <c r="R59" s="368">
        <f t="shared" si="11"/>
        <v>24166254.490371816</v>
      </c>
      <c r="AA59" s="304">
        <f t="shared" si="2"/>
        <v>40</v>
      </c>
      <c r="AB59" s="367">
        <v>44805</v>
      </c>
      <c r="AC59" s="368">
        <f t="shared" si="12"/>
        <v>-15617918.13955543</v>
      </c>
      <c r="AD59" s="368">
        <f t="shared" si="13"/>
        <v>374189.09031123563</v>
      </c>
      <c r="AE59" s="368">
        <f t="shared" si="3"/>
        <v>-55222.355555111404</v>
      </c>
      <c r="AF59" s="368">
        <f t="shared" si="14"/>
        <v>429411.44586634706</v>
      </c>
      <c r="AG59" s="368">
        <f t="shared" si="15"/>
        <v>-16047329.585421776</v>
      </c>
    </row>
    <row r="60" spans="1:33" x14ac:dyDescent="0.2">
      <c r="A60" s="367">
        <v>45200</v>
      </c>
      <c r="B60" s="368">
        <f t="shared" si="4"/>
        <v>1741678.9646884755</v>
      </c>
      <c r="C60" s="368">
        <f t="shared" si="5"/>
        <v>29727.14350515023</v>
      </c>
      <c r="D60" s="368">
        <f t="shared" si="6"/>
        <v>6328.1002383681271</v>
      </c>
      <c r="E60" s="368">
        <f t="shared" si="7"/>
        <v>23399.043266782104</v>
      </c>
      <c r="F60" s="368">
        <f t="shared" si="8"/>
        <v>1718279.9214216934</v>
      </c>
      <c r="L60" s="304">
        <f t="shared" si="0"/>
        <v>55</v>
      </c>
      <c r="M60" s="367">
        <v>44835</v>
      </c>
      <c r="N60" s="368">
        <f t="shared" si="9"/>
        <v>24166254.490371816</v>
      </c>
      <c r="O60" s="368">
        <f t="shared" si="16"/>
        <v>374189.09031123563</v>
      </c>
      <c r="P60" s="368">
        <f t="shared" si="1"/>
        <v>85447.84816887301</v>
      </c>
      <c r="Q60" s="368">
        <f t="shared" si="10"/>
        <v>288741.24214236264</v>
      </c>
      <c r="R60" s="368">
        <f t="shared" si="11"/>
        <v>23877513.248229451</v>
      </c>
      <c r="AA60" s="304">
        <f t="shared" si="2"/>
        <v>41</v>
      </c>
      <c r="AB60" s="367">
        <v>44835</v>
      </c>
      <c r="AC60" s="368">
        <f t="shared" si="12"/>
        <v>-16047329.585421776</v>
      </c>
      <c r="AD60" s="368">
        <f t="shared" si="13"/>
        <v>374189.09031123563</v>
      </c>
      <c r="AE60" s="368">
        <f t="shared" si="3"/>
        <v>-56740.682859120505</v>
      </c>
      <c r="AF60" s="368">
        <f t="shared" si="14"/>
        <v>430929.77317035611</v>
      </c>
      <c r="AG60" s="368">
        <f t="shared" si="15"/>
        <v>-16478259.358592132</v>
      </c>
    </row>
    <row r="61" spans="1:33" x14ac:dyDescent="0.2">
      <c r="A61" s="367">
        <v>45231</v>
      </c>
      <c r="B61" s="368">
        <f t="shared" si="4"/>
        <v>1718279.9214216934</v>
      </c>
      <c r="C61" s="368">
        <f t="shared" si="5"/>
        <v>29727.14350515023</v>
      </c>
      <c r="D61" s="368">
        <f t="shared" si="6"/>
        <v>6243.0837144988191</v>
      </c>
      <c r="E61" s="368">
        <f t="shared" si="7"/>
        <v>23484.059790651412</v>
      </c>
      <c r="F61" s="368">
        <f t="shared" si="8"/>
        <v>1694795.8616310421</v>
      </c>
      <c r="L61" s="304">
        <f t="shared" si="0"/>
        <v>56</v>
      </c>
      <c r="M61" s="367">
        <v>44866</v>
      </c>
      <c r="N61" s="368">
        <f t="shared" si="9"/>
        <v>23877513.248229451</v>
      </c>
      <c r="O61" s="368">
        <f t="shared" si="16"/>
        <v>374189.09031123563</v>
      </c>
      <c r="P61" s="368">
        <f t="shared" si="1"/>
        <v>84426.907260197971</v>
      </c>
      <c r="Q61" s="368">
        <f t="shared" si="10"/>
        <v>289762.18305103766</v>
      </c>
      <c r="R61" s="368">
        <f t="shared" si="11"/>
        <v>23587751.065178413</v>
      </c>
      <c r="AA61" s="304">
        <f t="shared" si="2"/>
        <v>42</v>
      </c>
      <c r="AB61" s="367">
        <v>44866</v>
      </c>
      <c r="AC61" s="368">
        <f t="shared" si="12"/>
        <v>-16478259.358592132</v>
      </c>
      <c r="AD61" s="368">
        <f t="shared" si="13"/>
        <v>374189.09031123563</v>
      </c>
      <c r="AE61" s="368">
        <f t="shared" si="3"/>
        <v>-58264.378715422012</v>
      </c>
      <c r="AF61" s="368">
        <f t="shared" si="14"/>
        <v>432453.46902665764</v>
      </c>
      <c r="AG61" s="368">
        <f t="shared" si="15"/>
        <v>-16910712.827618789</v>
      </c>
    </row>
    <row r="62" spans="1:33" x14ac:dyDescent="0.2">
      <c r="A62" s="367">
        <v>45261</v>
      </c>
      <c r="B62" s="368">
        <f t="shared" si="4"/>
        <v>1694795.8616310421</v>
      </c>
      <c r="C62" s="368">
        <f t="shared" si="5"/>
        <v>29727.14350515023</v>
      </c>
      <c r="D62" s="368">
        <f t="shared" si="6"/>
        <v>6157.7582972594528</v>
      </c>
      <c r="E62" s="368">
        <f t="shared" si="7"/>
        <v>23569.385207890777</v>
      </c>
      <c r="F62" s="368">
        <f t="shared" si="8"/>
        <v>1671226.4764231513</v>
      </c>
      <c r="L62" s="304">
        <f t="shared" si="0"/>
        <v>57</v>
      </c>
      <c r="M62" s="367">
        <v>44896</v>
      </c>
      <c r="N62" s="368">
        <f t="shared" si="9"/>
        <v>23587751.065178413</v>
      </c>
      <c r="O62" s="368">
        <f t="shared" si="16"/>
        <v>374189.09031123563</v>
      </c>
      <c r="P62" s="368">
        <f t="shared" si="1"/>
        <v>83402.356474626678</v>
      </c>
      <c r="Q62" s="368">
        <f t="shared" si="10"/>
        <v>290786.73383660894</v>
      </c>
      <c r="R62" s="368">
        <f t="shared" si="11"/>
        <v>23296964.331341803</v>
      </c>
      <c r="AA62" s="304">
        <f t="shared" si="2"/>
        <v>43</v>
      </c>
      <c r="AB62" s="367">
        <v>44896</v>
      </c>
      <c r="AC62" s="368">
        <f t="shared" si="12"/>
        <v>-16910712.827618789</v>
      </c>
      <c r="AD62" s="368">
        <f t="shared" si="13"/>
        <v>374189.09031123563</v>
      </c>
      <c r="AE62" s="368">
        <f t="shared" si="3"/>
        <v>-59793.462106322106</v>
      </c>
      <c r="AF62" s="368">
        <f t="shared" si="14"/>
        <v>433982.55241755774</v>
      </c>
      <c r="AG62" s="368">
        <f t="shared" si="15"/>
        <v>-17344695.380036347</v>
      </c>
    </row>
    <row r="63" spans="1:33" x14ac:dyDescent="0.2">
      <c r="A63" s="367">
        <v>45292</v>
      </c>
      <c r="B63" s="368">
        <f t="shared" si="4"/>
        <v>1671226.4764231513</v>
      </c>
      <c r="C63" s="368">
        <f t="shared" si="5"/>
        <v>29727.14350515023</v>
      </c>
      <c r="D63" s="368">
        <f t="shared" si="6"/>
        <v>6072.1228643374498</v>
      </c>
      <c r="E63" s="368">
        <f t="shared" si="7"/>
        <v>23655.020640812781</v>
      </c>
      <c r="F63" s="368">
        <f t="shared" si="8"/>
        <v>1647571.4557823385</v>
      </c>
      <c r="L63" s="304">
        <f t="shared" si="0"/>
        <v>58</v>
      </c>
      <c r="M63" s="367">
        <v>44927</v>
      </c>
      <c r="N63" s="368">
        <f t="shared" si="9"/>
        <v>23296964.331341803</v>
      </c>
      <c r="O63" s="368">
        <f t="shared" si="16"/>
        <v>374189.09031123563</v>
      </c>
      <c r="P63" s="368">
        <f t="shared" si="1"/>
        <v>82374.183048236067</v>
      </c>
      <c r="Q63" s="368">
        <f t="shared" si="10"/>
        <v>291814.90726299956</v>
      </c>
      <c r="R63" s="368">
        <f t="shared" si="11"/>
        <v>23005149.424078804</v>
      </c>
      <c r="AA63" s="304">
        <f t="shared" si="2"/>
        <v>44</v>
      </c>
      <c r="AB63" s="367">
        <v>44927</v>
      </c>
      <c r="AC63" s="368">
        <f t="shared" si="12"/>
        <v>-17344695.380036347</v>
      </c>
      <c r="AD63" s="368">
        <f t="shared" si="13"/>
        <v>374189.09031123563</v>
      </c>
      <c r="AE63" s="368">
        <f t="shared" si="3"/>
        <v>-61327.952081245188</v>
      </c>
      <c r="AF63" s="368">
        <f t="shared" si="14"/>
        <v>435517.04239248083</v>
      </c>
      <c r="AG63" s="368">
        <f t="shared" si="15"/>
        <v>-17780212.422428828</v>
      </c>
    </row>
    <row r="64" spans="1:33" x14ac:dyDescent="0.2">
      <c r="A64" s="367">
        <v>45323</v>
      </c>
      <c r="B64" s="368">
        <f t="shared" si="4"/>
        <v>1647571.4557823385</v>
      </c>
      <c r="C64" s="368">
        <f t="shared" si="5"/>
        <v>29727.14350515023</v>
      </c>
      <c r="D64" s="368">
        <f t="shared" si="6"/>
        <v>5986.1762893424966</v>
      </c>
      <c r="E64" s="368">
        <f t="shared" si="7"/>
        <v>23740.967215807734</v>
      </c>
      <c r="F64" s="368">
        <f t="shared" si="8"/>
        <v>1623830.4885665309</v>
      </c>
      <c r="L64" s="304">
        <f t="shared" si="0"/>
        <v>59</v>
      </c>
      <c r="M64" s="367">
        <v>44958</v>
      </c>
      <c r="N64" s="368">
        <f t="shared" si="9"/>
        <v>23005149.424078804</v>
      </c>
      <c r="O64" s="368">
        <f t="shared" si="16"/>
        <v>374189.09031123563</v>
      </c>
      <c r="P64" s="368">
        <f t="shared" si="1"/>
        <v>81342.374171971969</v>
      </c>
      <c r="Q64" s="368">
        <f t="shared" si="10"/>
        <v>292846.71613926365</v>
      </c>
      <c r="R64" s="368">
        <f t="shared" si="11"/>
        <v>22712302.707939539</v>
      </c>
      <c r="AA64" s="304">
        <f t="shared" si="2"/>
        <v>45</v>
      </c>
      <c r="AB64" s="367">
        <v>44958</v>
      </c>
      <c r="AC64" s="368">
        <f t="shared" si="12"/>
        <v>-17780212.422428828</v>
      </c>
      <c r="AD64" s="368">
        <f t="shared" si="13"/>
        <v>374189.09031123563</v>
      </c>
      <c r="AE64" s="368">
        <f t="shared" si="3"/>
        <v>-62867.867756971267</v>
      </c>
      <c r="AF64" s="368">
        <f t="shared" si="14"/>
        <v>437056.95806820691</v>
      </c>
      <c r="AG64" s="368">
        <f t="shared" si="15"/>
        <v>-18217269.380497035</v>
      </c>
    </row>
    <row r="65" spans="1:33" x14ac:dyDescent="0.2">
      <c r="A65" s="367">
        <v>45352</v>
      </c>
      <c r="B65" s="368">
        <f t="shared" si="4"/>
        <v>1623830.4885665309</v>
      </c>
      <c r="C65" s="368">
        <f t="shared" si="5"/>
        <v>29727.14350515023</v>
      </c>
      <c r="D65" s="368">
        <f t="shared" si="6"/>
        <v>5899.9174417917284</v>
      </c>
      <c r="E65" s="368">
        <f t="shared" si="7"/>
        <v>23827.226063358503</v>
      </c>
      <c r="F65" s="368">
        <f t="shared" si="8"/>
        <v>1600003.2625031723</v>
      </c>
      <c r="L65" s="304">
        <f t="shared" si="0"/>
        <v>60</v>
      </c>
      <c r="M65" s="367">
        <v>44986</v>
      </c>
      <c r="N65" s="368">
        <f t="shared" si="9"/>
        <v>22712302.707939539</v>
      </c>
      <c r="O65" s="368">
        <f t="shared" si="16"/>
        <v>374189.09031123563</v>
      </c>
      <c r="P65" s="368">
        <f t="shared" si="1"/>
        <v>80306.916991489561</v>
      </c>
      <c r="Q65" s="368">
        <f t="shared" si="10"/>
        <v>293882.17331974604</v>
      </c>
      <c r="R65" s="368">
        <f t="shared" si="11"/>
        <v>22418420.534619793</v>
      </c>
      <c r="AA65" s="304">
        <f t="shared" si="2"/>
        <v>46</v>
      </c>
      <c r="AB65" s="367">
        <v>44986</v>
      </c>
      <c r="AC65" s="368">
        <f t="shared" si="12"/>
        <v>-18217269.380497035</v>
      </c>
      <c r="AD65" s="368">
        <f t="shared" si="13"/>
        <v>374189.09031123563</v>
      </c>
      <c r="AE65" s="368">
        <f t="shared" si="3"/>
        <v>-64413.228317874105</v>
      </c>
      <c r="AF65" s="368">
        <f t="shared" si="14"/>
        <v>438602.31862910977</v>
      </c>
      <c r="AG65" s="368">
        <f t="shared" si="15"/>
        <v>-18655871.699126143</v>
      </c>
    </row>
    <row r="66" spans="1:33" x14ac:dyDescent="0.2">
      <c r="A66" s="367">
        <v>45383</v>
      </c>
      <c r="B66" s="368">
        <f t="shared" si="4"/>
        <v>1600003.2625031723</v>
      </c>
      <c r="C66" s="368">
        <f t="shared" si="5"/>
        <v>29727.14350515023</v>
      </c>
      <c r="D66" s="368">
        <f t="shared" si="6"/>
        <v>5813.3451870948593</v>
      </c>
      <c r="E66" s="368">
        <f t="shared" si="7"/>
        <v>23913.798318055371</v>
      </c>
      <c r="F66" s="368">
        <f t="shared" si="8"/>
        <v>1576089.4641851168</v>
      </c>
      <c r="L66" s="304">
        <f t="shared" si="0"/>
        <v>61</v>
      </c>
      <c r="M66" s="367">
        <v>45017</v>
      </c>
      <c r="N66" s="368">
        <f t="shared" si="9"/>
        <v>22418420.534619793</v>
      </c>
      <c r="O66" s="368">
        <f t="shared" si="16"/>
        <v>374189.09031123563</v>
      </c>
      <c r="P66" s="368">
        <f t="shared" si="1"/>
        <v>79267.79860699315</v>
      </c>
      <c r="Q66" s="368">
        <f t="shared" si="10"/>
        <v>294921.29170424247</v>
      </c>
      <c r="R66" s="368">
        <f t="shared" si="11"/>
        <v>22123499.242915552</v>
      </c>
      <c r="AA66" s="304">
        <f t="shared" si="2"/>
        <v>47</v>
      </c>
      <c r="AB66" s="367">
        <v>45017</v>
      </c>
      <c r="AC66" s="368">
        <f t="shared" si="12"/>
        <v>-18655871.699126143</v>
      </c>
      <c r="AD66" s="368">
        <f t="shared" si="13"/>
        <v>374189.09031123563</v>
      </c>
      <c r="AE66" s="368">
        <f t="shared" si="3"/>
        <v>-65964.053016160193</v>
      </c>
      <c r="AF66" s="368">
        <f t="shared" si="14"/>
        <v>440153.14332739584</v>
      </c>
      <c r="AG66" s="368">
        <f t="shared" si="15"/>
        <v>-19096024.842453539</v>
      </c>
    </row>
    <row r="67" spans="1:33" x14ac:dyDescent="0.2">
      <c r="A67" s="367">
        <v>45413</v>
      </c>
      <c r="B67" s="368">
        <f t="shared" si="4"/>
        <v>1576089.4641851168</v>
      </c>
      <c r="C67" s="368">
        <f t="shared" si="5"/>
        <v>29727.14350515023</v>
      </c>
      <c r="D67" s="368">
        <f t="shared" si="6"/>
        <v>5726.4583865392569</v>
      </c>
      <c r="E67" s="368">
        <f t="shared" si="7"/>
        <v>24000.685118610974</v>
      </c>
      <c r="F67" s="368">
        <f t="shared" si="8"/>
        <v>1552088.7790665058</v>
      </c>
      <c r="L67" s="304">
        <f t="shared" si="0"/>
        <v>62</v>
      </c>
      <c r="M67" s="367">
        <v>45047</v>
      </c>
      <c r="N67" s="368">
        <f t="shared" si="9"/>
        <v>22123499.242915552</v>
      </c>
      <c r="O67" s="368">
        <f t="shared" si="16"/>
        <v>374189.09031123563</v>
      </c>
      <c r="P67" s="368">
        <f t="shared" si="1"/>
        <v>78225.006073075579</v>
      </c>
      <c r="Q67" s="368">
        <f t="shared" si="10"/>
        <v>295964.08423816005</v>
      </c>
      <c r="R67" s="368">
        <f t="shared" si="11"/>
        <v>21827535.158677392</v>
      </c>
      <c r="AA67" s="304">
        <f t="shared" si="2"/>
        <v>48</v>
      </c>
      <c r="AB67" s="367">
        <v>45047</v>
      </c>
      <c r="AC67" s="368">
        <f t="shared" si="12"/>
        <v>-19096024.842453539</v>
      </c>
      <c r="AD67" s="368">
        <f t="shared" si="13"/>
        <v>374189.09031123563</v>
      </c>
      <c r="AE67" s="368">
        <f t="shared" si="3"/>
        <v>-67520.361172108634</v>
      </c>
      <c r="AF67" s="368">
        <f t="shared" si="14"/>
        <v>441709.45148334425</v>
      </c>
      <c r="AG67" s="368">
        <f t="shared" si="15"/>
        <v>-19537734.293936882</v>
      </c>
    </row>
    <row r="68" spans="1:33" x14ac:dyDescent="0.2">
      <c r="A68" s="367">
        <v>45444</v>
      </c>
      <c r="B68" s="368">
        <f t="shared" si="4"/>
        <v>1552088.7790665058</v>
      </c>
      <c r="C68" s="368">
        <f t="shared" si="5"/>
        <v>29727.14350515023</v>
      </c>
      <c r="D68" s="368">
        <f t="shared" si="6"/>
        <v>5639.2558972749712</v>
      </c>
      <c r="E68" s="368">
        <f t="shared" si="7"/>
        <v>24087.887607875258</v>
      </c>
      <c r="F68" s="368">
        <f t="shared" si="8"/>
        <v>1528000.8914586306</v>
      </c>
      <c r="L68" s="304">
        <f t="shared" si="0"/>
        <v>63</v>
      </c>
      <c r="M68" s="367">
        <v>45078</v>
      </c>
      <c r="N68" s="368">
        <f t="shared" si="9"/>
        <v>21827535.158677392</v>
      </c>
      <c r="O68" s="368">
        <f t="shared" si="16"/>
        <v>374189.09031123563</v>
      </c>
      <c r="P68" s="368">
        <f t="shared" si="1"/>
        <v>77178.526398556816</v>
      </c>
      <c r="Q68" s="368">
        <f t="shared" si="10"/>
        <v>297010.5639126788</v>
      </c>
      <c r="R68" s="368">
        <f t="shared" si="11"/>
        <v>21530524.594764713</v>
      </c>
      <c r="AA68" s="304">
        <f t="shared" si="2"/>
        <v>49</v>
      </c>
      <c r="AB68" s="367">
        <v>45078</v>
      </c>
      <c r="AC68" s="368">
        <f t="shared" si="12"/>
        <v>-19537734.293936882</v>
      </c>
      <c r="AD68" s="368">
        <f t="shared" si="13"/>
        <v>374189.09031123563</v>
      </c>
      <c r="AE68" s="368">
        <f t="shared" si="3"/>
        <v>-69082.172174311825</v>
      </c>
      <c r="AF68" s="368">
        <f t="shared" si="14"/>
        <v>443271.26248554746</v>
      </c>
      <c r="AG68" s="368">
        <f t="shared" si="15"/>
        <v>-19981005.556422431</v>
      </c>
    </row>
    <row r="69" spans="1:33" x14ac:dyDescent="0.2">
      <c r="A69" s="367">
        <v>45474</v>
      </c>
      <c r="B69" s="368">
        <f t="shared" si="4"/>
        <v>1528000.8914586306</v>
      </c>
      <c r="C69" s="368">
        <f t="shared" si="5"/>
        <v>29727.14350515023</v>
      </c>
      <c r="D69" s="368">
        <f t="shared" si="6"/>
        <v>5551.736572299691</v>
      </c>
      <c r="E69" s="368">
        <f t="shared" si="7"/>
        <v>24175.406932850539</v>
      </c>
      <c r="F69" s="368">
        <f t="shared" si="8"/>
        <v>1503825.48452578</v>
      </c>
      <c r="L69" s="304">
        <f t="shared" si="0"/>
        <v>64</v>
      </c>
      <c r="M69" s="367">
        <v>45108</v>
      </c>
      <c r="N69" s="368">
        <f t="shared" si="9"/>
        <v>21530524.594764713</v>
      </c>
      <c r="O69" s="368">
        <f t="shared" si="16"/>
        <v>374189.09031123563</v>
      </c>
      <c r="P69" s="368">
        <f t="shared" si="1"/>
        <v>76128.346546322238</v>
      </c>
      <c r="Q69" s="368">
        <f t="shared" si="10"/>
        <v>298060.74376491341</v>
      </c>
      <c r="R69" s="368">
        <f t="shared" si="11"/>
        <v>21232463.850999799</v>
      </c>
      <c r="AA69" s="304">
        <f t="shared" si="2"/>
        <v>50</v>
      </c>
      <c r="AB69" s="367">
        <v>45108</v>
      </c>
      <c r="AC69" s="368">
        <f t="shared" si="12"/>
        <v>-19981005.556422431</v>
      </c>
      <c r="AD69" s="368">
        <f t="shared" si="13"/>
        <v>374189.09031123563</v>
      </c>
      <c r="AE69" s="368">
        <f t="shared" si="3"/>
        <v>-70649.505479916974</v>
      </c>
      <c r="AF69" s="368">
        <f t="shared" si="14"/>
        <v>444838.59579115262</v>
      </c>
      <c r="AG69" s="368">
        <f t="shared" si="15"/>
        <v>-20425844.152213585</v>
      </c>
    </row>
    <row r="70" spans="1:33" x14ac:dyDescent="0.2">
      <c r="A70" s="367">
        <v>45505</v>
      </c>
      <c r="B70" s="368">
        <f t="shared" si="4"/>
        <v>1503825.48452578</v>
      </c>
      <c r="C70" s="368">
        <f t="shared" si="5"/>
        <v>29727.14350515023</v>
      </c>
      <c r="D70" s="368">
        <f t="shared" si="6"/>
        <v>5463.8992604436671</v>
      </c>
      <c r="E70" s="368">
        <f t="shared" si="7"/>
        <v>24263.244244706562</v>
      </c>
      <c r="F70" s="368">
        <f t="shared" si="8"/>
        <v>1479562.2402810734</v>
      </c>
      <c r="L70" s="304">
        <f t="shared" si="0"/>
        <v>65</v>
      </c>
      <c r="M70" s="367">
        <v>45139</v>
      </c>
      <c r="N70" s="368">
        <f t="shared" si="9"/>
        <v>21232463.850999799</v>
      </c>
      <c r="O70" s="368">
        <f t="shared" si="16"/>
        <v>374189.09031123563</v>
      </c>
      <c r="P70" s="368">
        <f t="shared" si="1"/>
        <v>75074.453433160132</v>
      </c>
      <c r="Q70" s="368">
        <f t="shared" si="10"/>
        <v>299114.63687807549</v>
      </c>
      <c r="R70" s="368">
        <f t="shared" si="11"/>
        <v>20933349.214121722</v>
      </c>
      <c r="AA70" s="304">
        <f t="shared" si="2"/>
        <v>51</v>
      </c>
      <c r="AB70" s="367">
        <v>45139</v>
      </c>
      <c r="AC70" s="368">
        <f t="shared" si="12"/>
        <v>-20425844.152213585</v>
      </c>
      <c r="AD70" s="368">
        <f t="shared" si="13"/>
        <v>374189.09031123563</v>
      </c>
      <c r="AE70" s="368">
        <f t="shared" si="3"/>
        <v>-72222.38061486854</v>
      </c>
      <c r="AF70" s="368">
        <f t="shared" si="14"/>
        <v>446411.47092610417</v>
      </c>
      <c r="AG70" s="368">
        <f t="shared" si="15"/>
        <v>-20872255.623139691</v>
      </c>
    </row>
    <row r="71" spans="1:33" x14ac:dyDescent="0.2">
      <c r="A71" s="367">
        <v>45536</v>
      </c>
      <c r="B71" s="368">
        <f t="shared" si="4"/>
        <v>1479562.2402810734</v>
      </c>
      <c r="C71" s="368">
        <f t="shared" si="5"/>
        <v>29727.14350515023</v>
      </c>
      <c r="D71" s="368">
        <f t="shared" si="6"/>
        <v>5375.7428063545667</v>
      </c>
      <c r="E71" s="368">
        <f t="shared" si="7"/>
        <v>24351.400698795664</v>
      </c>
      <c r="F71" s="368">
        <f t="shared" si="8"/>
        <v>1455210.8395822777</v>
      </c>
      <c r="L71" s="304">
        <f t="shared" ref="L71:L132" si="17">+L70+1</f>
        <v>66</v>
      </c>
      <c r="M71" s="367">
        <v>45170</v>
      </c>
      <c r="N71" s="368">
        <f t="shared" si="9"/>
        <v>20933349.214121722</v>
      </c>
      <c r="O71" s="368">
        <f t="shared" si="16"/>
        <v>374189.09031123563</v>
      </c>
      <c r="P71" s="368">
        <f t="shared" ref="P71:P132" si="18">+N71*0.04243/12</f>
        <v>74016.833929598724</v>
      </c>
      <c r="Q71" s="368">
        <f t="shared" si="10"/>
        <v>300172.25638163689</v>
      </c>
      <c r="R71" s="368">
        <f t="shared" si="11"/>
        <v>20633176.957740083</v>
      </c>
      <c r="AA71" s="304">
        <f t="shared" ref="AA71:AA125" si="19">+AA70+1</f>
        <v>52</v>
      </c>
      <c r="AB71" s="367">
        <v>45170</v>
      </c>
      <c r="AC71" s="368">
        <f t="shared" si="12"/>
        <v>-20872255.623139691</v>
      </c>
      <c r="AD71" s="368">
        <f t="shared" si="13"/>
        <v>374189.09031123563</v>
      </c>
      <c r="AE71" s="368">
        <f t="shared" ref="AE71:AE125" si="20">+AC71*0.04243/12</f>
        <v>-73800.817174151423</v>
      </c>
      <c r="AF71" s="368">
        <f t="shared" si="14"/>
        <v>447989.90748538706</v>
      </c>
      <c r="AG71" s="368">
        <f t="shared" si="15"/>
        <v>-21320245.530625079</v>
      </c>
    </row>
    <row r="72" spans="1:33" x14ac:dyDescent="0.2">
      <c r="A72" s="367">
        <v>45566</v>
      </c>
      <c r="B72" s="368">
        <f t="shared" ref="B72:B125" si="21">+F71</f>
        <v>1455210.8395822777</v>
      </c>
      <c r="C72" s="368">
        <f t="shared" ref="C72:C125" si="22">+C$6</f>
        <v>29727.14350515023</v>
      </c>
      <c r="D72" s="368">
        <f t="shared" ref="D72:D125" si="23">+B72*0.0436/12</f>
        <v>5287.2660504822752</v>
      </c>
      <c r="E72" s="368">
        <f t="shared" ref="E72:E125" si="24">+C72-D72</f>
        <v>24439.877454667956</v>
      </c>
      <c r="F72" s="368">
        <f t="shared" ref="F72:F125" si="25">+B72-E72</f>
        <v>1430770.9621276096</v>
      </c>
      <c r="L72" s="304">
        <f t="shared" si="17"/>
        <v>67</v>
      </c>
      <c r="M72" s="367">
        <v>45200</v>
      </c>
      <c r="N72" s="368">
        <f t="shared" ref="N72:N132" si="26">+R71</f>
        <v>20633176.957740083</v>
      </c>
      <c r="O72" s="368">
        <f t="shared" si="16"/>
        <v>374189.09031123563</v>
      </c>
      <c r="P72" s="368">
        <f t="shared" si="18"/>
        <v>72955.474859742651</v>
      </c>
      <c r="Q72" s="368">
        <f t="shared" ref="Q72:Q132" si="27">+O72-P72</f>
        <v>301233.61545149295</v>
      </c>
      <c r="R72" s="368">
        <f t="shared" ref="R72:R132" si="28">+N72-Q72</f>
        <v>20331943.342288591</v>
      </c>
      <c r="AA72" s="304">
        <f t="shared" si="19"/>
        <v>53</v>
      </c>
      <c r="AB72" s="367">
        <v>45200</v>
      </c>
      <c r="AC72" s="368">
        <f t="shared" ref="AC72:AC125" si="29">+AG71</f>
        <v>-21320245.530625079</v>
      </c>
      <c r="AD72" s="368">
        <f t="shared" ref="AD72:AD125" si="30">+AD$6</f>
        <v>374189.09031123563</v>
      </c>
      <c r="AE72" s="368">
        <f t="shared" si="20"/>
        <v>-75384.834822035176</v>
      </c>
      <c r="AF72" s="368">
        <f t="shared" ref="AF72:AF125" si="31">+AD72-AE72</f>
        <v>449573.92513327079</v>
      </c>
      <c r="AG72" s="368">
        <f t="shared" ref="AG72:AG125" si="32">+AC72-AF72</f>
        <v>-21769819.455758348</v>
      </c>
    </row>
    <row r="73" spans="1:33" x14ac:dyDescent="0.2">
      <c r="A73" s="367">
        <v>45597</v>
      </c>
      <c r="B73" s="368">
        <f t="shared" si="21"/>
        <v>1430770.9621276096</v>
      </c>
      <c r="C73" s="368">
        <f t="shared" si="22"/>
        <v>29727.14350515023</v>
      </c>
      <c r="D73" s="368">
        <f t="shared" si="23"/>
        <v>5198.4678290636484</v>
      </c>
      <c r="E73" s="368">
        <f t="shared" si="24"/>
        <v>24528.675676086583</v>
      </c>
      <c r="F73" s="368">
        <f t="shared" si="25"/>
        <v>1406242.286451523</v>
      </c>
      <c r="L73" s="304">
        <f t="shared" si="17"/>
        <v>68</v>
      </c>
      <c r="M73" s="367">
        <v>45231</v>
      </c>
      <c r="N73" s="368">
        <f t="shared" si="26"/>
        <v>20331943.342288591</v>
      </c>
      <c r="O73" s="368">
        <f t="shared" ref="O73:O132" si="33">+O$7</f>
        <v>374189.09031123563</v>
      </c>
      <c r="P73" s="368">
        <f t="shared" si="18"/>
        <v>71890.363001108752</v>
      </c>
      <c r="Q73" s="368">
        <f t="shared" si="27"/>
        <v>302298.72731012688</v>
      </c>
      <c r="R73" s="368">
        <f t="shared" si="28"/>
        <v>20029644.614978462</v>
      </c>
      <c r="AA73" s="304">
        <f t="shared" si="19"/>
        <v>54</v>
      </c>
      <c r="AB73" s="367">
        <v>45231</v>
      </c>
      <c r="AC73" s="368">
        <f t="shared" si="29"/>
        <v>-21769819.455758348</v>
      </c>
      <c r="AD73" s="368">
        <f t="shared" si="30"/>
        <v>374189.09031123563</v>
      </c>
      <c r="AE73" s="368">
        <f t="shared" si="20"/>
        <v>-76974.453292318896</v>
      </c>
      <c r="AF73" s="368">
        <f t="shared" si="31"/>
        <v>451163.54360355454</v>
      </c>
      <c r="AG73" s="368">
        <f t="shared" si="32"/>
        <v>-22220982.999361902</v>
      </c>
    </row>
    <row r="74" spans="1:33" x14ac:dyDescent="0.2">
      <c r="A74" s="367">
        <v>45627</v>
      </c>
      <c r="B74" s="368">
        <f t="shared" si="21"/>
        <v>1406242.286451523</v>
      </c>
      <c r="C74" s="368">
        <f t="shared" si="22"/>
        <v>29727.14350515023</v>
      </c>
      <c r="D74" s="368">
        <f t="shared" si="23"/>
        <v>5109.3469741072004</v>
      </c>
      <c r="E74" s="368">
        <f t="shared" si="24"/>
        <v>24617.79653104303</v>
      </c>
      <c r="F74" s="368">
        <f t="shared" si="25"/>
        <v>1381624.4899204799</v>
      </c>
      <c r="L74" s="304">
        <f t="shared" si="17"/>
        <v>69</v>
      </c>
      <c r="M74" s="367">
        <v>45261</v>
      </c>
      <c r="N74" s="368">
        <f t="shared" si="26"/>
        <v>20029644.614978462</v>
      </c>
      <c r="O74" s="368">
        <f t="shared" si="33"/>
        <v>374189.09031123563</v>
      </c>
      <c r="P74" s="368">
        <f t="shared" si="18"/>
        <v>70821.485084461354</v>
      </c>
      <c r="Q74" s="368">
        <f t="shared" si="27"/>
        <v>303367.60522677429</v>
      </c>
      <c r="R74" s="368">
        <f t="shared" si="28"/>
        <v>19726277.009751689</v>
      </c>
      <c r="AA74" s="304">
        <f t="shared" si="19"/>
        <v>55</v>
      </c>
      <c r="AB74" s="367">
        <v>45261</v>
      </c>
      <c r="AC74" s="368">
        <f t="shared" si="29"/>
        <v>-22220982.999361902</v>
      </c>
      <c r="AD74" s="368">
        <f t="shared" si="30"/>
        <v>374189.09031123563</v>
      </c>
      <c r="AE74" s="368">
        <f t="shared" si="20"/>
        <v>-78569.692388577139</v>
      </c>
      <c r="AF74" s="368">
        <f t="shared" si="31"/>
        <v>452758.78269981279</v>
      </c>
      <c r="AG74" s="368">
        <f t="shared" si="32"/>
        <v>-22673741.782061715</v>
      </c>
    </row>
    <row r="75" spans="1:33" x14ac:dyDescent="0.2">
      <c r="A75" s="367">
        <v>45658</v>
      </c>
      <c r="B75" s="368">
        <f t="shared" si="21"/>
        <v>1381624.4899204799</v>
      </c>
      <c r="C75" s="368">
        <f t="shared" si="22"/>
        <v>29727.14350515023</v>
      </c>
      <c r="D75" s="368">
        <f t="shared" si="23"/>
        <v>5019.9023133777437</v>
      </c>
      <c r="E75" s="368">
        <f t="shared" si="24"/>
        <v>24707.241191772486</v>
      </c>
      <c r="F75" s="368">
        <f t="shared" si="25"/>
        <v>1356917.2487287074</v>
      </c>
      <c r="L75" s="304">
        <f t="shared" si="17"/>
        <v>70</v>
      </c>
      <c r="M75" s="367">
        <v>45292</v>
      </c>
      <c r="N75" s="368">
        <f t="shared" si="26"/>
        <v>19726277.009751689</v>
      </c>
      <c r="O75" s="368">
        <f t="shared" si="33"/>
        <v>374189.09031123563</v>
      </c>
      <c r="P75" s="368">
        <f t="shared" si="18"/>
        <v>69748.827793647026</v>
      </c>
      <c r="Q75" s="368">
        <f t="shared" si="27"/>
        <v>304440.26251758862</v>
      </c>
      <c r="R75" s="368">
        <f t="shared" si="28"/>
        <v>19421836.747234099</v>
      </c>
      <c r="AA75" s="304">
        <f t="shared" si="19"/>
        <v>56</v>
      </c>
      <c r="AB75" s="367">
        <v>45292</v>
      </c>
      <c r="AC75" s="368">
        <f t="shared" si="29"/>
        <v>-22673741.782061715</v>
      </c>
      <c r="AD75" s="368">
        <f t="shared" si="30"/>
        <v>374189.09031123563</v>
      </c>
      <c r="AE75" s="368">
        <f t="shared" si="20"/>
        <v>-80170.571984406546</v>
      </c>
      <c r="AF75" s="368">
        <f t="shared" si="31"/>
        <v>454359.66229564219</v>
      </c>
      <c r="AG75" s="368">
        <f t="shared" si="32"/>
        <v>-23128101.444357358</v>
      </c>
    </row>
    <row r="76" spans="1:33" x14ac:dyDescent="0.2">
      <c r="A76" s="367">
        <v>45689</v>
      </c>
      <c r="B76" s="368">
        <f t="shared" si="21"/>
        <v>1356917.2487287074</v>
      </c>
      <c r="C76" s="368">
        <f t="shared" si="22"/>
        <v>29727.14350515023</v>
      </c>
      <c r="D76" s="368">
        <f t="shared" si="23"/>
        <v>4930.1326703809709</v>
      </c>
      <c r="E76" s="368">
        <f t="shared" si="24"/>
        <v>24797.010834769259</v>
      </c>
      <c r="F76" s="368">
        <f t="shared" si="25"/>
        <v>1332120.2378939381</v>
      </c>
      <c r="L76" s="304">
        <f t="shared" si="17"/>
        <v>71</v>
      </c>
      <c r="M76" s="367">
        <v>45323</v>
      </c>
      <c r="N76" s="368">
        <f t="shared" si="26"/>
        <v>19421836.747234099</v>
      </c>
      <c r="O76" s="368">
        <f t="shared" si="33"/>
        <v>374189.09031123563</v>
      </c>
      <c r="P76" s="368">
        <f t="shared" si="18"/>
        <v>68672.37776542858</v>
      </c>
      <c r="Q76" s="368">
        <f t="shared" si="27"/>
        <v>305516.71254580707</v>
      </c>
      <c r="R76" s="368">
        <f t="shared" si="28"/>
        <v>19116320.03468829</v>
      </c>
      <c r="AA76" s="304">
        <f t="shared" si="19"/>
        <v>57</v>
      </c>
      <c r="AB76" s="367">
        <v>45323</v>
      </c>
      <c r="AC76" s="368">
        <f t="shared" si="29"/>
        <v>-23128101.444357358</v>
      </c>
      <c r="AD76" s="368">
        <f t="shared" si="30"/>
        <v>374189.09031123563</v>
      </c>
      <c r="AE76" s="368">
        <f t="shared" si="20"/>
        <v>-81777.112023673559</v>
      </c>
      <c r="AF76" s="368">
        <f t="shared" si="31"/>
        <v>455966.20233490918</v>
      </c>
      <c r="AG76" s="368">
        <f t="shared" si="32"/>
        <v>-23584067.646692269</v>
      </c>
    </row>
    <row r="77" spans="1:33" x14ac:dyDescent="0.2">
      <c r="A77" s="367">
        <v>45717</v>
      </c>
      <c r="B77" s="368">
        <f t="shared" si="21"/>
        <v>1332120.2378939381</v>
      </c>
      <c r="C77" s="368">
        <f t="shared" si="22"/>
        <v>29727.14350515023</v>
      </c>
      <c r="D77" s="368">
        <f t="shared" si="23"/>
        <v>4840.0368643479751</v>
      </c>
      <c r="E77" s="368">
        <f t="shared" si="24"/>
        <v>24887.106640802256</v>
      </c>
      <c r="F77" s="368">
        <f t="shared" si="25"/>
        <v>1307233.1312531359</v>
      </c>
      <c r="L77" s="304">
        <f t="shared" si="17"/>
        <v>72</v>
      </c>
      <c r="M77" s="367">
        <v>45352</v>
      </c>
      <c r="N77" s="368">
        <f t="shared" si="26"/>
        <v>19116320.03468829</v>
      </c>
      <c r="O77" s="368">
        <f t="shared" si="33"/>
        <v>374189.09031123563</v>
      </c>
      <c r="P77" s="368">
        <f t="shared" si="18"/>
        <v>67592.121589318689</v>
      </c>
      <c r="Q77" s="368">
        <f t="shared" si="27"/>
        <v>306596.96872191696</v>
      </c>
      <c r="R77" s="368">
        <f t="shared" si="28"/>
        <v>18809723.065966371</v>
      </c>
      <c r="AA77" s="304">
        <f t="shared" si="19"/>
        <v>58</v>
      </c>
      <c r="AB77" s="367">
        <v>45352</v>
      </c>
      <c r="AC77" s="368">
        <f t="shared" si="29"/>
        <v>-23584067.646692269</v>
      </c>
      <c r="AD77" s="368">
        <f t="shared" si="30"/>
        <v>374189.09031123563</v>
      </c>
      <c r="AE77" s="368">
        <f t="shared" si="20"/>
        <v>-83389.332520762749</v>
      </c>
      <c r="AF77" s="368">
        <f t="shared" si="31"/>
        <v>457578.42283199838</v>
      </c>
      <c r="AG77" s="368">
        <f t="shared" si="32"/>
        <v>-24041646.069524266</v>
      </c>
    </row>
    <row r="78" spans="1:33" x14ac:dyDescent="0.2">
      <c r="A78" s="367">
        <v>45748</v>
      </c>
      <c r="B78" s="368">
        <f t="shared" si="21"/>
        <v>1307233.1312531359</v>
      </c>
      <c r="C78" s="368">
        <f t="shared" si="22"/>
        <v>29727.14350515023</v>
      </c>
      <c r="D78" s="368">
        <f t="shared" si="23"/>
        <v>4749.6137102197272</v>
      </c>
      <c r="E78" s="368">
        <f t="shared" si="24"/>
        <v>24977.529794930502</v>
      </c>
      <c r="F78" s="368">
        <f t="shared" si="25"/>
        <v>1282255.6014582054</v>
      </c>
      <c r="L78" s="304">
        <f t="shared" si="17"/>
        <v>73</v>
      </c>
      <c r="M78" s="367">
        <v>45383</v>
      </c>
      <c r="N78" s="368">
        <f t="shared" si="26"/>
        <v>18809723.065966371</v>
      </c>
      <c r="O78" s="368">
        <f t="shared" si="33"/>
        <v>374189.09031123563</v>
      </c>
      <c r="P78" s="368">
        <f t="shared" si="18"/>
        <v>66508.045807412767</v>
      </c>
      <c r="Q78" s="368">
        <f t="shared" si="27"/>
        <v>307681.04450382286</v>
      </c>
      <c r="R78" s="368">
        <f t="shared" si="28"/>
        <v>18502042.021462549</v>
      </c>
      <c r="AA78" s="304">
        <f t="shared" si="19"/>
        <v>59</v>
      </c>
      <c r="AB78" s="367">
        <v>45383</v>
      </c>
      <c r="AC78" s="368">
        <f t="shared" si="29"/>
        <v>-24041646.069524266</v>
      </c>
      <c r="AD78" s="368">
        <f t="shared" si="30"/>
        <v>374189.09031123563</v>
      </c>
      <c r="AE78" s="368">
        <f t="shared" si="20"/>
        <v>-85007.253560826226</v>
      </c>
      <c r="AF78" s="368">
        <f t="shared" si="31"/>
        <v>459196.34387206187</v>
      </c>
      <c r="AG78" s="368">
        <f t="shared" si="32"/>
        <v>-24500842.413396329</v>
      </c>
    </row>
    <row r="79" spans="1:33" x14ac:dyDescent="0.2">
      <c r="A79" s="367">
        <v>45778</v>
      </c>
      <c r="B79" s="368">
        <f t="shared" si="21"/>
        <v>1282255.6014582054</v>
      </c>
      <c r="C79" s="368">
        <f t="shared" si="22"/>
        <v>29727.14350515023</v>
      </c>
      <c r="D79" s="368">
        <f t="shared" si="23"/>
        <v>4658.8620186314793</v>
      </c>
      <c r="E79" s="368">
        <f t="shared" si="24"/>
        <v>25068.28148651875</v>
      </c>
      <c r="F79" s="368">
        <f t="shared" si="25"/>
        <v>1257187.3199716867</v>
      </c>
      <c r="L79" s="304">
        <f t="shared" si="17"/>
        <v>74</v>
      </c>
      <c r="M79" s="367">
        <v>45413</v>
      </c>
      <c r="N79" s="368">
        <f t="shared" si="26"/>
        <v>18502042.021462549</v>
      </c>
      <c r="O79" s="368">
        <f t="shared" si="33"/>
        <v>374189.09031123563</v>
      </c>
      <c r="P79" s="368">
        <f t="shared" si="18"/>
        <v>65420.13691422133</v>
      </c>
      <c r="Q79" s="368">
        <f t="shared" si="27"/>
        <v>308768.95339701429</v>
      </c>
      <c r="R79" s="368">
        <f t="shared" si="28"/>
        <v>18193273.068065535</v>
      </c>
      <c r="AA79" s="304">
        <f t="shared" si="19"/>
        <v>60</v>
      </c>
      <c r="AB79" s="367">
        <v>45413</v>
      </c>
      <c r="AC79" s="368">
        <f t="shared" si="29"/>
        <v>-24500842.413396329</v>
      </c>
      <c r="AD79" s="368">
        <f t="shared" si="30"/>
        <v>374189.09031123563</v>
      </c>
      <c r="AE79" s="368">
        <f t="shared" si="20"/>
        <v>-86630.895300033866</v>
      </c>
      <c r="AF79" s="368">
        <f t="shared" si="31"/>
        <v>460819.98561126948</v>
      </c>
      <c r="AG79" s="368">
        <f t="shared" si="32"/>
        <v>-24961662.3990076</v>
      </c>
    </row>
    <row r="80" spans="1:33" x14ac:dyDescent="0.2">
      <c r="A80" s="367">
        <v>45809</v>
      </c>
      <c r="B80" s="368">
        <f t="shared" si="21"/>
        <v>1257187.3199716867</v>
      </c>
      <c r="C80" s="368">
        <f t="shared" si="22"/>
        <v>29727.14350515023</v>
      </c>
      <c r="D80" s="368">
        <f t="shared" si="23"/>
        <v>4567.7805958971285</v>
      </c>
      <c r="E80" s="368">
        <f t="shared" si="24"/>
        <v>25159.362909253101</v>
      </c>
      <c r="F80" s="368">
        <f t="shared" si="25"/>
        <v>1232027.9570624337</v>
      </c>
      <c r="L80" s="304">
        <f t="shared" si="17"/>
        <v>75</v>
      </c>
      <c r="M80" s="367">
        <v>45444</v>
      </c>
      <c r="N80" s="368">
        <f t="shared" si="26"/>
        <v>18193273.068065535</v>
      </c>
      <c r="O80" s="368">
        <f t="shared" si="33"/>
        <v>374189.09031123563</v>
      </c>
      <c r="P80" s="368">
        <f t="shared" si="18"/>
        <v>64328.381356501726</v>
      </c>
      <c r="Q80" s="368">
        <f t="shared" si="27"/>
        <v>309860.70895473391</v>
      </c>
      <c r="R80" s="368">
        <f t="shared" si="28"/>
        <v>17883412.359110802</v>
      </c>
      <c r="AA80" s="304">
        <f t="shared" si="19"/>
        <v>61</v>
      </c>
      <c r="AB80" s="367">
        <v>45444</v>
      </c>
      <c r="AC80" s="368">
        <f t="shared" si="29"/>
        <v>-24961662.3990076</v>
      </c>
      <c r="AD80" s="368">
        <f t="shared" si="30"/>
        <v>374189.09031123563</v>
      </c>
      <c r="AE80" s="368">
        <f t="shared" si="20"/>
        <v>-88260.277965824367</v>
      </c>
      <c r="AF80" s="368">
        <f t="shared" si="31"/>
        <v>462449.36827705998</v>
      </c>
      <c r="AG80" s="368">
        <f t="shared" si="32"/>
        <v>-25424111.767284662</v>
      </c>
    </row>
    <row r="81" spans="1:33" x14ac:dyDescent="0.2">
      <c r="A81" s="367">
        <v>45839</v>
      </c>
      <c r="B81" s="368">
        <f t="shared" si="21"/>
        <v>1232027.9570624337</v>
      </c>
      <c r="C81" s="368">
        <f t="shared" si="22"/>
        <v>29727.14350515023</v>
      </c>
      <c r="D81" s="368">
        <f t="shared" si="23"/>
        <v>4476.3682439935092</v>
      </c>
      <c r="E81" s="368">
        <f t="shared" si="24"/>
        <v>25250.775261156719</v>
      </c>
      <c r="F81" s="368">
        <f t="shared" si="25"/>
        <v>1206777.181801277</v>
      </c>
      <c r="L81" s="304">
        <f t="shared" si="17"/>
        <v>76</v>
      </c>
      <c r="M81" s="367">
        <v>45474</v>
      </c>
      <c r="N81" s="368">
        <f t="shared" si="26"/>
        <v>17883412.359110802</v>
      </c>
      <c r="O81" s="368">
        <f t="shared" si="33"/>
        <v>374189.09031123563</v>
      </c>
      <c r="P81" s="368">
        <f t="shared" si="18"/>
        <v>63232.765533089281</v>
      </c>
      <c r="Q81" s="368">
        <f t="shared" si="27"/>
        <v>310956.32477814634</v>
      </c>
      <c r="R81" s="368">
        <f t="shared" si="28"/>
        <v>17572456.034332655</v>
      </c>
      <c r="AA81" s="304">
        <f t="shared" si="19"/>
        <v>62</v>
      </c>
      <c r="AB81" s="367">
        <v>45474</v>
      </c>
      <c r="AC81" s="368">
        <f t="shared" si="29"/>
        <v>-25424111.767284662</v>
      </c>
      <c r="AD81" s="368">
        <f t="shared" si="30"/>
        <v>374189.09031123563</v>
      </c>
      <c r="AE81" s="368">
        <f t="shared" si="20"/>
        <v>-89895.421857157358</v>
      </c>
      <c r="AF81" s="368">
        <f t="shared" si="31"/>
        <v>464084.512168393</v>
      </c>
      <c r="AG81" s="368">
        <f t="shared" si="32"/>
        <v>-25888196.279453054</v>
      </c>
    </row>
    <row r="82" spans="1:33" x14ac:dyDescent="0.2">
      <c r="A82" s="367">
        <v>45870</v>
      </c>
      <c r="B82" s="368">
        <f t="shared" si="21"/>
        <v>1206777.181801277</v>
      </c>
      <c r="C82" s="368">
        <f t="shared" si="22"/>
        <v>29727.14350515023</v>
      </c>
      <c r="D82" s="368">
        <f t="shared" si="23"/>
        <v>4384.6237605446395</v>
      </c>
      <c r="E82" s="368">
        <f t="shared" si="24"/>
        <v>25342.51974460559</v>
      </c>
      <c r="F82" s="368">
        <f t="shared" si="25"/>
        <v>1181434.6620566715</v>
      </c>
      <c r="L82" s="304">
        <f t="shared" si="17"/>
        <v>77</v>
      </c>
      <c r="M82" s="367">
        <v>45505</v>
      </c>
      <c r="N82" s="368">
        <f t="shared" si="26"/>
        <v>17572456.034332655</v>
      </c>
      <c r="O82" s="368">
        <f t="shared" si="33"/>
        <v>374189.09031123563</v>
      </c>
      <c r="P82" s="368">
        <f t="shared" si="18"/>
        <v>62133.275794727881</v>
      </c>
      <c r="Q82" s="368">
        <f t="shared" si="27"/>
        <v>312055.81451650773</v>
      </c>
      <c r="R82" s="368">
        <f t="shared" si="28"/>
        <v>17260400.219816148</v>
      </c>
      <c r="AA82" s="304">
        <f t="shared" si="19"/>
        <v>63</v>
      </c>
      <c r="AB82" s="367">
        <v>45505</v>
      </c>
      <c r="AC82" s="368">
        <f t="shared" si="29"/>
        <v>-25888196.279453054</v>
      </c>
      <c r="AD82" s="368">
        <f t="shared" si="30"/>
        <v>374189.09031123563</v>
      </c>
      <c r="AE82" s="368">
        <f t="shared" si="20"/>
        <v>-91536.347344766094</v>
      </c>
      <c r="AF82" s="368">
        <f t="shared" si="31"/>
        <v>465725.43765600171</v>
      </c>
      <c r="AG82" s="368">
        <f t="shared" si="32"/>
        <v>-26353921.717109054</v>
      </c>
    </row>
    <row r="83" spans="1:33" x14ac:dyDescent="0.2">
      <c r="A83" s="367">
        <v>45901</v>
      </c>
      <c r="B83" s="368">
        <f t="shared" si="21"/>
        <v>1181434.6620566715</v>
      </c>
      <c r="C83" s="368">
        <f t="shared" si="22"/>
        <v>29727.14350515023</v>
      </c>
      <c r="D83" s="368">
        <f t="shared" si="23"/>
        <v>4292.5459388059062</v>
      </c>
      <c r="E83" s="368">
        <f t="shared" si="24"/>
        <v>25434.597566344324</v>
      </c>
      <c r="F83" s="368">
        <f t="shared" si="25"/>
        <v>1156000.0644903271</v>
      </c>
      <c r="L83" s="304">
        <f t="shared" si="17"/>
        <v>78</v>
      </c>
      <c r="M83" s="367">
        <v>45536</v>
      </c>
      <c r="N83" s="368">
        <f t="shared" si="26"/>
        <v>17260400.219816148</v>
      </c>
      <c r="O83" s="368">
        <f t="shared" si="33"/>
        <v>374189.09031123563</v>
      </c>
      <c r="P83" s="368">
        <f t="shared" si="18"/>
        <v>61029.898443899932</v>
      </c>
      <c r="Q83" s="368">
        <f t="shared" si="27"/>
        <v>313159.1918673357</v>
      </c>
      <c r="R83" s="368">
        <f t="shared" si="28"/>
        <v>16947241.027948812</v>
      </c>
      <c r="AA83" s="304">
        <f t="shared" si="19"/>
        <v>64</v>
      </c>
      <c r="AB83" s="367">
        <v>45536</v>
      </c>
      <c r="AC83" s="368">
        <f t="shared" si="29"/>
        <v>-26353921.717109054</v>
      </c>
      <c r="AD83" s="368">
        <f t="shared" si="30"/>
        <v>374189.09031123563</v>
      </c>
      <c r="AE83" s="368">
        <f t="shared" si="20"/>
        <v>-93183.074871411431</v>
      </c>
      <c r="AF83" s="368">
        <f t="shared" si="31"/>
        <v>467372.16518264706</v>
      </c>
      <c r="AG83" s="368">
        <f t="shared" si="32"/>
        <v>-26821293.882291701</v>
      </c>
    </row>
    <row r="84" spans="1:33" x14ac:dyDescent="0.2">
      <c r="A84" s="367">
        <v>45931</v>
      </c>
      <c r="B84" s="368">
        <f t="shared" si="21"/>
        <v>1156000.0644903271</v>
      </c>
      <c r="C84" s="368">
        <f t="shared" si="22"/>
        <v>29727.14350515023</v>
      </c>
      <c r="D84" s="368">
        <f t="shared" si="23"/>
        <v>4200.1335676481885</v>
      </c>
      <c r="E84" s="368">
        <f t="shared" si="24"/>
        <v>25527.009937502044</v>
      </c>
      <c r="F84" s="368">
        <f t="shared" si="25"/>
        <v>1130473.0545528252</v>
      </c>
      <c r="L84" s="304">
        <f t="shared" si="17"/>
        <v>79</v>
      </c>
      <c r="M84" s="367">
        <v>45566</v>
      </c>
      <c r="N84" s="368">
        <f t="shared" si="26"/>
        <v>16947241.027948812</v>
      </c>
      <c r="O84" s="368">
        <f t="shared" si="33"/>
        <v>374189.09031123563</v>
      </c>
      <c r="P84" s="368">
        <f t="shared" si="18"/>
        <v>59922.61973465568</v>
      </c>
      <c r="Q84" s="368">
        <f t="shared" si="27"/>
        <v>314266.47057657997</v>
      </c>
      <c r="R84" s="368">
        <f t="shared" si="28"/>
        <v>16632974.557372231</v>
      </c>
      <c r="AA84" s="304">
        <f t="shared" si="19"/>
        <v>65</v>
      </c>
      <c r="AB84" s="367">
        <v>45566</v>
      </c>
      <c r="AC84" s="368">
        <f t="shared" si="29"/>
        <v>-26821293.882291701</v>
      </c>
      <c r="AD84" s="368">
        <f t="shared" si="30"/>
        <v>374189.09031123563</v>
      </c>
      <c r="AE84" s="368">
        <f t="shared" si="20"/>
        <v>-94835.624952136408</v>
      </c>
      <c r="AF84" s="368">
        <f t="shared" si="31"/>
        <v>469024.71526337205</v>
      </c>
      <c r="AG84" s="368">
        <f t="shared" si="32"/>
        <v>-27290318.597555071</v>
      </c>
    </row>
    <row r="85" spans="1:33" x14ac:dyDescent="0.2">
      <c r="A85" s="367">
        <v>45962</v>
      </c>
      <c r="B85" s="368">
        <f t="shared" si="21"/>
        <v>1130473.0545528252</v>
      </c>
      <c r="C85" s="368">
        <f t="shared" si="22"/>
        <v>29727.14350515023</v>
      </c>
      <c r="D85" s="368">
        <f t="shared" si="23"/>
        <v>4107.3854315419312</v>
      </c>
      <c r="E85" s="368">
        <f t="shared" si="24"/>
        <v>25619.7580736083</v>
      </c>
      <c r="F85" s="368">
        <f t="shared" si="25"/>
        <v>1104853.2964792168</v>
      </c>
      <c r="L85" s="304">
        <f t="shared" si="17"/>
        <v>80</v>
      </c>
      <c r="M85" s="367">
        <v>45597</v>
      </c>
      <c r="N85" s="368">
        <f t="shared" si="26"/>
        <v>16632974.557372231</v>
      </c>
      <c r="O85" s="368">
        <f t="shared" si="33"/>
        <v>374189.09031123563</v>
      </c>
      <c r="P85" s="368">
        <f t="shared" si="18"/>
        <v>58811.425872441985</v>
      </c>
      <c r="Q85" s="368">
        <f t="shared" si="27"/>
        <v>315377.66443879367</v>
      </c>
      <c r="R85" s="368">
        <f t="shared" si="28"/>
        <v>16317596.892933438</v>
      </c>
      <c r="AA85" s="304">
        <f t="shared" si="19"/>
        <v>66</v>
      </c>
      <c r="AB85" s="367">
        <v>45597</v>
      </c>
      <c r="AC85" s="368">
        <f t="shared" si="29"/>
        <v>-27290318.597555071</v>
      </c>
      <c r="AD85" s="368">
        <f t="shared" si="30"/>
        <v>374189.09031123563</v>
      </c>
      <c r="AE85" s="368">
        <f t="shared" si="20"/>
        <v>-96494.018174521814</v>
      </c>
      <c r="AF85" s="368">
        <f t="shared" si="31"/>
        <v>470683.10848575743</v>
      </c>
      <c r="AG85" s="368">
        <f t="shared" si="32"/>
        <v>-27761001.706040829</v>
      </c>
    </row>
    <row r="86" spans="1:33" x14ac:dyDescent="0.2">
      <c r="A86" s="367">
        <v>45992</v>
      </c>
      <c r="B86" s="368">
        <f t="shared" si="21"/>
        <v>1104853.2964792168</v>
      </c>
      <c r="C86" s="368">
        <f t="shared" si="22"/>
        <v>29727.14350515023</v>
      </c>
      <c r="D86" s="368">
        <f t="shared" si="23"/>
        <v>4014.300310541154</v>
      </c>
      <c r="E86" s="368">
        <f t="shared" si="24"/>
        <v>25712.843194609075</v>
      </c>
      <c r="F86" s="368">
        <f t="shared" si="25"/>
        <v>1079140.4532846077</v>
      </c>
      <c r="L86" s="304">
        <f t="shared" si="17"/>
        <v>81</v>
      </c>
      <c r="M86" s="367">
        <v>45627</v>
      </c>
      <c r="N86" s="368">
        <f t="shared" si="26"/>
        <v>16317596.892933438</v>
      </c>
      <c r="O86" s="368">
        <f t="shared" si="33"/>
        <v>374189.09031123563</v>
      </c>
      <c r="P86" s="368">
        <f t="shared" si="18"/>
        <v>57696.303013930483</v>
      </c>
      <c r="Q86" s="368">
        <f t="shared" si="27"/>
        <v>316492.78729730513</v>
      </c>
      <c r="R86" s="368">
        <f t="shared" si="28"/>
        <v>16001104.105636133</v>
      </c>
      <c r="AA86" s="304">
        <f t="shared" si="19"/>
        <v>67</v>
      </c>
      <c r="AB86" s="367">
        <v>45627</v>
      </c>
      <c r="AC86" s="368">
        <f t="shared" si="29"/>
        <v>-27761001.706040829</v>
      </c>
      <c r="AD86" s="368">
        <f t="shared" si="30"/>
        <v>374189.09031123563</v>
      </c>
      <c r="AE86" s="368">
        <f t="shared" si="20"/>
        <v>-98158.275198942705</v>
      </c>
      <c r="AF86" s="368">
        <f t="shared" si="31"/>
        <v>472347.36551017832</v>
      </c>
      <c r="AG86" s="368">
        <f t="shared" si="32"/>
        <v>-28233349.071551006</v>
      </c>
    </row>
    <row r="87" spans="1:33" x14ac:dyDescent="0.2">
      <c r="A87" s="367">
        <v>46023</v>
      </c>
      <c r="B87" s="368">
        <f t="shared" si="21"/>
        <v>1079140.4532846077</v>
      </c>
      <c r="C87" s="368">
        <f t="shared" si="22"/>
        <v>29727.14350515023</v>
      </c>
      <c r="D87" s="368">
        <f t="shared" si="23"/>
        <v>3920.8769802674083</v>
      </c>
      <c r="E87" s="368">
        <f t="shared" si="24"/>
        <v>25806.266524882823</v>
      </c>
      <c r="F87" s="368">
        <f t="shared" si="25"/>
        <v>1053334.186759725</v>
      </c>
      <c r="L87" s="304">
        <f t="shared" si="17"/>
        <v>82</v>
      </c>
      <c r="M87" s="367">
        <v>45658</v>
      </c>
      <c r="N87" s="368">
        <f t="shared" si="26"/>
        <v>16001104.105636133</v>
      </c>
      <c r="O87" s="368">
        <f t="shared" si="33"/>
        <v>374189.09031123563</v>
      </c>
      <c r="P87" s="368">
        <f t="shared" si="18"/>
        <v>56577.237266845099</v>
      </c>
      <c r="Q87" s="368">
        <f t="shared" si="27"/>
        <v>317611.85304439056</v>
      </c>
      <c r="R87" s="368">
        <f t="shared" si="28"/>
        <v>15683492.252591742</v>
      </c>
      <c r="AA87" s="304">
        <f t="shared" si="19"/>
        <v>68</v>
      </c>
      <c r="AB87" s="367">
        <v>45658</v>
      </c>
      <c r="AC87" s="368">
        <f t="shared" si="29"/>
        <v>-28233349.071551006</v>
      </c>
      <c r="AD87" s="368">
        <f t="shared" si="30"/>
        <v>374189.09031123563</v>
      </c>
      <c r="AE87" s="368">
        <f t="shared" si="20"/>
        <v>-99828.41675882577</v>
      </c>
      <c r="AF87" s="368">
        <f t="shared" si="31"/>
        <v>474017.5070700614</v>
      </c>
      <c r="AG87" s="368">
        <f t="shared" si="32"/>
        <v>-28707366.578621067</v>
      </c>
    </row>
    <row r="88" spans="1:33" x14ac:dyDescent="0.2">
      <c r="A88" s="367">
        <v>46054</v>
      </c>
      <c r="B88" s="368">
        <f t="shared" si="21"/>
        <v>1053334.186759725</v>
      </c>
      <c r="C88" s="368">
        <f t="shared" si="22"/>
        <v>29727.14350515023</v>
      </c>
      <c r="D88" s="368">
        <f t="shared" si="23"/>
        <v>3827.1142118936673</v>
      </c>
      <c r="E88" s="368">
        <f t="shared" si="24"/>
        <v>25900.029293256564</v>
      </c>
      <c r="F88" s="368">
        <f t="shared" si="25"/>
        <v>1027434.1574664684</v>
      </c>
      <c r="L88" s="304">
        <f t="shared" si="17"/>
        <v>83</v>
      </c>
      <c r="M88" s="367">
        <v>45689</v>
      </c>
      <c r="N88" s="368">
        <f t="shared" si="26"/>
        <v>15683492.252591742</v>
      </c>
      <c r="O88" s="368">
        <f t="shared" si="33"/>
        <v>374189.09031123563</v>
      </c>
      <c r="P88" s="368">
        <f t="shared" si="18"/>
        <v>55454.214689788969</v>
      </c>
      <c r="Q88" s="368">
        <f t="shared" si="27"/>
        <v>318734.87562144664</v>
      </c>
      <c r="R88" s="368">
        <f t="shared" si="28"/>
        <v>15364757.376970295</v>
      </c>
      <c r="AA88" s="304">
        <f t="shared" si="19"/>
        <v>69</v>
      </c>
      <c r="AB88" s="367">
        <v>45689</v>
      </c>
      <c r="AC88" s="368">
        <f t="shared" si="29"/>
        <v>-28707366.578621067</v>
      </c>
      <c r="AD88" s="368">
        <f t="shared" si="30"/>
        <v>374189.09031123563</v>
      </c>
      <c r="AE88" s="368">
        <f t="shared" si="20"/>
        <v>-101504.46366090766</v>
      </c>
      <c r="AF88" s="368">
        <f t="shared" si="31"/>
        <v>475693.55397214327</v>
      </c>
      <c r="AG88" s="368">
        <f t="shared" si="32"/>
        <v>-29183060.132593211</v>
      </c>
    </row>
    <row r="89" spans="1:33" x14ac:dyDescent="0.2">
      <c r="A89" s="367">
        <v>46082</v>
      </c>
      <c r="B89" s="368">
        <f t="shared" si="21"/>
        <v>1027434.1574664684</v>
      </c>
      <c r="C89" s="368">
        <f t="shared" si="22"/>
        <v>29727.14350515023</v>
      </c>
      <c r="D89" s="368">
        <f t="shared" si="23"/>
        <v>3733.0107721281688</v>
      </c>
      <c r="E89" s="368">
        <f t="shared" si="24"/>
        <v>25994.132733022063</v>
      </c>
      <c r="F89" s="368">
        <f t="shared" si="25"/>
        <v>1001440.0247334463</v>
      </c>
      <c r="L89" s="304">
        <f t="shared" si="17"/>
        <v>84</v>
      </c>
      <c r="M89" s="367">
        <v>45717</v>
      </c>
      <c r="N89" s="368">
        <f t="shared" si="26"/>
        <v>15364757.376970295</v>
      </c>
      <c r="O89" s="368">
        <f t="shared" si="33"/>
        <v>374189.09031123563</v>
      </c>
      <c r="P89" s="368">
        <f t="shared" si="18"/>
        <v>54327.221292070804</v>
      </c>
      <c r="Q89" s="368">
        <f t="shared" si="27"/>
        <v>319861.86901916482</v>
      </c>
      <c r="R89" s="368">
        <f t="shared" si="28"/>
        <v>15044895.507951129</v>
      </c>
      <c r="AA89" s="304">
        <f t="shared" si="19"/>
        <v>70</v>
      </c>
      <c r="AB89" s="367">
        <v>45717</v>
      </c>
      <c r="AC89" s="368">
        <f t="shared" si="29"/>
        <v>-29183060.132593211</v>
      </c>
      <c r="AD89" s="368">
        <f t="shared" si="30"/>
        <v>374189.09031123563</v>
      </c>
      <c r="AE89" s="368">
        <f t="shared" si="20"/>
        <v>-103186.43678549417</v>
      </c>
      <c r="AF89" s="368">
        <f t="shared" si="31"/>
        <v>477375.52709672978</v>
      </c>
      <c r="AG89" s="368">
        <f t="shared" si="32"/>
        <v>-29660435.659689941</v>
      </c>
    </row>
    <row r="90" spans="1:33" x14ac:dyDescent="0.2">
      <c r="A90" s="367">
        <v>46113</v>
      </c>
      <c r="B90" s="368">
        <f t="shared" si="21"/>
        <v>1001440.0247334463</v>
      </c>
      <c r="C90" s="368">
        <f t="shared" si="22"/>
        <v>29727.14350515023</v>
      </c>
      <c r="D90" s="368">
        <f t="shared" si="23"/>
        <v>3638.565423198188</v>
      </c>
      <c r="E90" s="368">
        <f t="shared" si="24"/>
        <v>26088.578081952044</v>
      </c>
      <c r="F90" s="368">
        <f t="shared" si="25"/>
        <v>975351.44665149425</v>
      </c>
      <c r="L90" s="304">
        <f t="shared" si="17"/>
        <v>85</v>
      </c>
      <c r="M90" s="367">
        <v>45748</v>
      </c>
      <c r="N90" s="368">
        <f t="shared" si="26"/>
        <v>15044895.507951129</v>
      </c>
      <c r="O90" s="368">
        <f t="shared" si="33"/>
        <v>374189.09031123563</v>
      </c>
      <c r="P90" s="368">
        <f t="shared" si="18"/>
        <v>53196.24303353054</v>
      </c>
      <c r="Q90" s="368">
        <f t="shared" si="27"/>
        <v>320992.84727770509</v>
      </c>
      <c r="R90" s="368">
        <f t="shared" si="28"/>
        <v>14723902.660673425</v>
      </c>
      <c r="AA90" s="304">
        <f t="shared" si="19"/>
        <v>71</v>
      </c>
      <c r="AB90" s="367">
        <v>45748</v>
      </c>
      <c r="AC90" s="368">
        <f t="shared" si="29"/>
        <v>-29660435.659689941</v>
      </c>
      <c r="AD90" s="368">
        <f t="shared" si="30"/>
        <v>374189.09031123563</v>
      </c>
      <c r="AE90" s="368">
        <f t="shared" si="20"/>
        <v>-104874.35708672035</v>
      </c>
      <c r="AF90" s="368">
        <f t="shared" si="31"/>
        <v>479063.44739795598</v>
      </c>
      <c r="AG90" s="368">
        <f t="shared" si="32"/>
        <v>-30139499.107087895</v>
      </c>
    </row>
    <row r="91" spans="1:33" x14ac:dyDescent="0.2">
      <c r="A91" s="367">
        <v>46143</v>
      </c>
      <c r="B91" s="368">
        <f t="shared" si="21"/>
        <v>975351.44665149425</v>
      </c>
      <c r="C91" s="368">
        <f t="shared" si="22"/>
        <v>29727.14350515023</v>
      </c>
      <c r="D91" s="368">
        <f t="shared" si="23"/>
        <v>3543.7769228337625</v>
      </c>
      <c r="E91" s="368">
        <f t="shared" si="24"/>
        <v>26183.366582316467</v>
      </c>
      <c r="F91" s="368">
        <f t="shared" si="25"/>
        <v>949168.08006917778</v>
      </c>
      <c r="L91" s="304">
        <f t="shared" si="17"/>
        <v>86</v>
      </c>
      <c r="M91" s="367">
        <v>45778</v>
      </c>
      <c r="N91" s="368">
        <f t="shared" si="26"/>
        <v>14723902.660673425</v>
      </c>
      <c r="O91" s="368">
        <f t="shared" si="33"/>
        <v>374189.09031123563</v>
      </c>
      <c r="P91" s="368">
        <f t="shared" si="18"/>
        <v>52061.265824364447</v>
      </c>
      <c r="Q91" s="368">
        <f t="shared" si="27"/>
        <v>322127.82448687119</v>
      </c>
      <c r="R91" s="368">
        <f t="shared" si="28"/>
        <v>14401774.836186554</v>
      </c>
      <c r="AA91" s="304">
        <f t="shared" si="19"/>
        <v>72</v>
      </c>
      <c r="AB91" s="367">
        <v>45778</v>
      </c>
      <c r="AC91" s="368">
        <f t="shared" si="29"/>
        <v>-30139499.107087895</v>
      </c>
      <c r="AD91" s="368">
        <f t="shared" si="30"/>
        <v>374189.09031123563</v>
      </c>
      <c r="AE91" s="368">
        <f t="shared" si="20"/>
        <v>-106568.24559281163</v>
      </c>
      <c r="AF91" s="368">
        <f t="shared" si="31"/>
        <v>480757.33590404724</v>
      </c>
      <c r="AG91" s="368">
        <f t="shared" si="32"/>
        <v>-30620256.442991942</v>
      </c>
    </row>
    <row r="92" spans="1:33" x14ac:dyDescent="0.2">
      <c r="A92" s="367">
        <v>46174</v>
      </c>
      <c r="B92" s="368">
        <f t="shared" si="21"/>
        <v>949168.08006917778</v>
      </c>
      <c r="C92" s="368">
        <f t="shared" si="22"/>
        <v>29727.14350515023</v>
      </c>
      <c r="D92" s="368">
        <f t="shared" si="23"/>
        <v>3448.6440242513459</v>
      </c>
      <c r="E92" s="368">
        <f t="shared" si="24"/>
        <v>26278.499480898885</v>
      </c>
      <c r="F92" s="368">
        <f t="shared" si="25"/>
        <v>922889.58058827894</v>
      </c>
      <c r="L92" s="304">
        <f t="shared" si="17"/>
        <v>87</v>
      </c>
      <c r="M92" s="367">
        <v>45809</v>
      </c>
      <c r="N92" s="368">
        <f t="shared" si="26"/>
        <v>14401774.836186554</v>
      </c>
      <c r="O92" s="368">
        <f t="shared" si="33"/>
        <v>374189.09031123563</v>
      </c>
      <c r="P92" s="368">
        <f t="shared" si="18"/>
        <v>50922.275524949626</v>
      </c>
      <c r="Q92" s="368">
        <f t="shared" si="27"/>
        <v>323266.81478628598</v>
      </c>
      <c r="R92" s="368">
        <f t="shared" si="28"/>
        <v>14078508.021400269</v>
      </c>
      <c r="AA92" s="304">
        <f t="shared" si="19"/>
        <v>73</v>
      </c>
      <c r="AB92" s="367">
        <v>45809</v>
      </c>
      <c r="AC92" s="368">
        <f t="shared" si="29"/>
        <v>-30620256.442991942</v>
      </c>
      <c r="AD92" s="368">
        <f t="shared" si="30"/>
        <v>374189.09031123563</v>
      </c>
      <c r="AE92" s="368">
        <f t="shared" si="20"/>
        <v>-108268.12340634568</v>
      </c>
      <c r="AF92" s="368">
        <f t="shared" si="31"/>
        <v>482457.2137175813</v>
      </c>
      <c r="AG92" s="368">
        <f t="shared" si="32"/>
        <v>-31102713.656709522</v>
      </c>
    </row>
    <row r="93" spans="1:33" x14ac:dyDescent="0.2">
      <c r="A93" s="367">
        <v>46204</v>
      </c>
      <c r="B93" s="368">
        <f t="shared" si="21"/>
        <v>922889.58058827894</v>
      </c>
      <c r="C93" s="368">
        <f t="shared" si="22"/>
        <v>29727.14350515023</v>
      </c>
      <c r="D93" s="368">
        <f t="shared" si="23"/>
        <v>3353.1654761374134</v>
      </c>
      <c r="E93" s="368">
        <f t="shared" si="24"/>
        <v>26373.978029012818</v>
      </c>
      <c r="F93" s="368">
        <f t="shared" si="25"/>
        <v>896515.60255926615</v>
      </c>
      <c r="L93" s="304">
        <f t="shared" si="17"/>
        <v>88</v>
      </c>
      <c r="M93" s="367">
        <v>45839</v>
      </c>
      <c r="N93" s="368">
        <f t="shared" si="26"/>
        <v>14078508.021400269</v>
      </c>
      <c r="O93" s="368">
        <f t="shared" si="33"/>
        <v>374189.09031123563</v>
      </c>
      <c r="P93" s="368">
        <f t="shared" si="18"/>
        <v>49779.257945667785</v>
      </c>
      <c r="Q93" s="368">
        <f t="shared" si="27"/>
        <v>324409.83236556785</v>
      </c>
      <c r="R93" s="368">
        <f t="shared" si="28"/>
        <v>13754098.1890347</v>
      </c>
      <c r="AA93" s="304">
        <f t="shared" si="19"/>
        <v>74</v>
      </c>
      <c r="AB93" s="367">
        <v>45839</v>
      </c>
      <c r="AC93" s="368">
        <f t="shared" si="29"/>
        <v>-31102713.656709522</v>
      </c>
      <c r="AD93" s="368">
        <f t="shared" si="30"/>
        <v>374189.09031123563</v>
      </c>
      <c r="AE93" s="368">
        <f t="shared" si="20"/>
        <v>-109974.01170451543</v>
      </c>
      <c r="AF93" s="368">
        <f t="shared" si="31"/>
        <v>484163.10201575106</v>
      </c>
      <c r="AG93" s="368">
        <f t="shared" si="32"/>
        <v>-31586876.758725274</v>
      </c>
    </row>
    <row r="94" spans="1:33" x14ac:dyDescent="0.2">
      <c r="A94" s="367">
        <v>46235</v>
      </c>
      <c r="B94" s="368">
        <f t="shared" si="21"/>
        <v>896515.60255926615</v>
      </c>
      <c r="C94" s="368">
        <f t="shared" si="22"/>
        <v>29727.14350515023</v>
      </c>
      <c r="D94" s="368">
        <f t="shared" si="23"/>
        <v>3257.3400226320005</v>
      </c>
      <c r="E94" s="368">
        <f t="shared" si="24"/>
        <v>26469.803482518229</v>
      </c>
      <c r="F94" s="368">
        <f t="shared" si="25"/>
        <v>870045.79907674796</v>
      </c>
      <c r="L94" s="304">
        <f t="shared" si="17"/>
        <v>89</v>
      </c>
      <c r="M94" s="367">
        <v>45870</v>
      </c>
      <c r="N94" s="368">
        <f t="shared" si="26"/>
        <v>13754098.1890347</v>
      </c>
      <c r="O94" s="368">
        <f t="shared" si="33"/>
        <v>374189.09031123563</v>
      </c>
      <c r="P94" s="368">
        <f t="shared" si="18"/>
        <v>48632.198846728534</v>
      </c>
      <c r="Q94" s="368">
        <f t="shared" si="27"/>
        <v>325556.89146450709</v>
      </c>
      <c r="R94" s="368">
        <f t="shared" si="28"/>
        <v>13428541.297570193</v>
      </c>
      <c r="AA94" s="304">
        <f t="shared" si="19"/>
        <v>75</v>
      </c>
      <c r="AB94" s="367">
        <v>45870</v>
      </c>
      <c r="AC94" s="368">
        <f t="shared" si="29"/>
        <v>-31586876.758725274</v>
      </c>
      <c r="AD94" s="368">
        <f t="shared" si="30"/>
        <v>374189.09031123563</v>
      </c>
      <c r="AE94" s="368">
        <f t="shared" si="20"/>
        <v>-111685.93173939279</v>
      </c>
      <c r="AF94" s="368">
        <f t="shared" si="31"/>
        <v>485875.02205062844</v>
      </c>
      <c r="AG94" s="368">
        <f t="shared" si="32"/>
        <v>-32072751.780775905</v>
      </c>
    </row>
    <row r="95" spans="1:33" x14ac:dyDescent="0.2">
      <c r="A95" s="367">
        <v>46266</v>
      </c>
      <c r="B95" s="368">
        <f t="shared" si="21"/>
        <v>870045.79907674796</v>
      </c>
      <c r="C95" s="368">
        <f t="shared" si="22"/>
        <v>29727.14350515023</v>
      </c>
      <c r="D95" s="368">
        <f t="shared" si="23"/>
        <v>3161.1664033121847</v>
      </c>
      <c r="E95" s="368">
        <f t="shared" si="24"/>
        <v>26565.977101838045</v>
      </c>
      <c r="F95" s="368">
        <f t="shared" si="25"/>
        <v>843479.82197490986</v>
      </c>
      <c r="L95" s="304">
        <f t="shared" si="17"/>
        <v>90</v>
      </c>
      <c r="M95" s="367">
        <v>45901</v>
      </c>
      <c r="N95" s="368">
        <f t="shared" si="26"/>
        <v>13428541.297570193</v>
      </c>
      <c r="O95" s="368">
        <f t="shared" si="33"/>
        <v>374189.09031123563</v>
      </c>
      <c r="P95" s="368">
        <f t="shared" si="18"/>
        <v>47481.083937991942</v>
      </c>
      <c r="Q95" s="368">
        <f t="shared" si="27"/>
        <v>326708.0063732437</v>
      </c>
      <c r="R95" s="368">
        <f t="shared" si="28"/>
        <v>13101833.29119695</v>
      </c>
      <c r="AA95" s="304">
        <f t="shared" si="19"/>
        <v>76</v>
      </c>
      <c r="AB95" s="367">
        <v>45901</v>
      </c>
      <c r="AC95" s="368">
        <f t="shared" si="29"/>
        <v>-32072751.780775905</v>
      </c>
      <c r="AD95" s="368">
        <f t="shared" si="30"/>
        <v>374189.09031123563</v>
      </c>
      <c r="AE95" s="368">
        <f t="shared" si="20"/>
        <v>-113403.90483819348</v>
      </c>
      <c r="AF95" s="368">
        <f t="shared" si="31"/>
        <v>487592.99514942913</v>
      </c>
      <c r="AG95" s="368">
        <f t="shared" si="32"/>
        <v>-32560344.775925335</v>
      </c>
    </row>
    <row r="96" spans="1:33" x14ac:dyDescent="0.2">
      <c r="A96" s="367">
        <v>46296</v>
      </c>
      <c r="B96" s="368">
        <f t="shared" si="21"/>
        <v>843479.82197490986</v>
      </c>
      <c r="C96" s="368">
        <f t="shared" si="22"/>
        <v>29727.14350515023</v>
      </c>
      <c r="D96" s="368">
        <f t="shared" si="23"/>
        <v>3064.643353175506</v>
      </c>
      <c r="E96" s="368">
        <f t="shared" si="24"/>
        <v>26662.500151974724</v>
      </c>
      <c r="F96" s="368">
        <f t="shared" si="25"/>
        <v>816817.32182293513</v>
      </c>
      <c r="L96" s="304">
        <f t="shared" si="17"/>
        <v>91</v>
      </c>
      <c r="M96" s="367">
        <v>45931</v>
      </c>
      <c r="N96" s="368">
        <f t="shared" si="26"/>
        <v>13101833.29119695</v>
      </c>
      <c r="O96" s="368">
        <f t="shared" si="33"/>
        <v>374189.09031123563</v>
      </c>
      <c r="P96" s="368">
        <f t="shared" si="18"/>
        <v>46325.898878790555</v>
      </c>
      <c r="Q96" s="368">
        <f t="shared" si="27"/>
        <v>327863.19143244508</v>
      </c>
      <c r="R96" s="368">
        <f t="shared" si="28"/>
        <v>12773970.099764505</v>
      </c>
      <c r="AA96" s="304">
        <f t="shared" si="19"/>
        <v>77</v>
      </c>
      <c r="AB96" s="367">
        <v>45931</v>
      </c>
      <c r="AC96" s="368">
        <f t="shared" si="29"/>
        <v>-32560344.775925335</v>
      </c>
      <c r="AD96" s="368">
        <f t="shared" si="30"/>
        <v>374189.09031123563</v>
      </c>
      <c r="AE96" s="368">
        <f t="shared" si="20"/>
        <v>-115127.95240354266</v>
      </c>
      <c r="AF96" s="368">
        <f t="shared" si="31"/>
        <v>489317.04271477828</v>
      </c>
      <c r="AG96" s="368">
        <f t="shared" si="32"/>
        <v>-33049661.818640113</v>
      </c>
    </row>
    <row r="97" spans="1:33" x14ac:dyDescent="0.2">
      <c r="A97" s="367">
        <v>46327</v>
      </c>
      <c r="B97" s="368">
        <f t="shared" si="21"/>
        <v>816817.32182293513</v>
      </c>
      <c r="C97" s="368">
        <f t="shared" si="22"/>
        <v>29727.14350515023</v>
      </c>
      <c r="D97" s="368">
        <f t="shared" si="23"/>
        <v>2967.7696026233311</v>
      </c>
      <c r="E97" s="368">
        <f t="shared" si="24"/>
        <v>26759.373902526899</v>
      </c>
      <c r="F97" s="368">
        <f t="shared" si="25"/>
        <v>790057.94792040822</v>
      </c>
      <c r="L97" s="304">
        <f t="shared" si="17"/>
        <v>92</v>
      </c>
      <c r="M97" s="367">
        <v>45962</v>
      </c>
      <c r="N97" s="368">
        <f t="shared" si="26"/>
        <v>12773970.099764505</v>
      </c>
      <c r="O97" s="368">
        <f t="shared" si="33"/>
        <v>374189.09031123563</v>
      </c>
      <c r="P97" s="368">
        <f t="shared" si="18"/>
        <v>45166.629277750668</v>
      </c>
      <c r="Q97" s="368">
        <f t="shared" si="27"/>
        <v>329022.46103348496</v>
      </c>
      <c r="R97" s="368">
        <f t="shared" si="28"/>
        <v>12444947.63873102</v>
      </c>
      <c r="AA97" s="304">
        <f t="shared" si="19"/>
        <v>78</v>
      </c>
      <c r="AB97" s="367">
        <v>45962</v>
      </c>
      <c r="AC97" s="368">
        <f t="shared" si="29"/>
        <v>-33049661.818640113</v>
      </c>
      <c r="AD97" s="368">
        <f t="shared" si="30"/>
        <v>374189.09031123563</v>
      </c>
      <c r="AE97" s="368">
        <f t="shared" si="20"/>
        <v>-116858.09591374168</v>
      </c>
      <c r="AF97" s="368">
        <f t="shared" si="31"/>
        <v>491047.18622497731</v>
      </c>
      <c r="AG97" s="368">
        <f t="shared" si="32"/>
        <v>-33540709.004865091</v>
      </c>
    </row>
    <row r="98" spans="1:33" x14ac:dyDescent="0.2">
      <c r="A98" s="367">
        <v>46357</v>
      </c>
      <c r="B98" s="368">
        <f t="shared" si="21"/>
        <v>790057.94792040822</v>
      </c>
      <c r="C98" s="368">
        <f t="shared" si="22"/>
        <v>29727.14350515023</v>
      </c>
      <c r="D98" s="368">
        <f t="shared" si="23"/>
        <v>2870.54387744415</v>
      </c>
      <c r="E98" s="368">
        <f t="shared" si="24"/>
        <v>26856.59962770608</v>
      </c>
      <c r="F98" s="368">
        <f t="shared" si="25"/>
        <v>763201.34829270211</v>
      </c>
      <c r="L98" s="304">
        <f t="shared" si="17"/>
        <v>93</v>
      </c>
      <c r="M98" s="367">
        <v>45992</v>
      </c>
      <c r="N98" s="368">
        <f t="shared" si="26"/>
        <v>12444947.63873102</v>
      </c>
      <c r="O98" s="368">
        <f t="shared" si="33"/>
        <v>374189.09031123563</v>
      </c>
      <c r="P98" s="368">
        <f t="shared" si="18"/>
        <v>44003.260692613105</v>
      </c>
      <c r="Q98" s="368">
        <f t="shared" si="27"/>
        <v>330185.82961862255</v>
      </c>
      <c r="R98" s="368">
        <f t="shared" si="28"/>
        <v>12114761.809112396</v>
      </c>
      <c r="AA98" s="304">
        <f t="shared" si="19"/>
        <v>79</v>
      </c>
      <c r="AB98" s="367">
        <v>45992</v>
      </c>
      <c r="AC98" s="368">
        <f t="shared" si="29"/>
        <v>-33540709.004865091</v>
      </c>
      <c r="AD98" s="368">
        <f t="shared" si="30"/>
        <v>374189.09031123563</v>
      </c>
      <c r="AE98" s="368">
        <f t="shared" si="20"/>
        <v>-118594.35692303551</v>
      </c>
      <c r="AF98" s="368">
        <f t="shared" si="31"/>
        <v>492783.44723427115</v>
      </c>
      <c r="AG98" s="368">
        <f t="shared" si="32"/>
        <v>-34033492.452099361</v>
      </c>
    </row>
    <row r="99" spans="1:33" x14ac:dyDescent="0.2">
      <c r="A99" s="367">
        <v>46388</v>
      </c>
      <c r="B99" s="368">
        <f t="shared" si="21"/>
        <v>763201.34829270211</v>
      </c>
      <c r="C99" s="368">
        <f t="shared" si="22"/>
        <v>29727.14350515023</v>
      </c>
      <c r="D99" s="368">
        <f t="shared" si="23"/>
        <v>2772.9648987968176</v>
      </c>
      <c r="E99" s="368">
        <f t="shared" si="24"/>
        <v>26954.178606353413</v>
      </c>
      <c r="F99" s="368">
        <f t="shared" si="25"/>
        <v>736247.16968634864</v>
      </c>
      <c r="L99" s="304">
        <f t="shared" si="17"/>
        <v>94</v>
      </c>
      <c r="M99" s="367">
        <v>46023</v>
      </c>
      <c r="N99" s="368">
        <f t="shared" si="26"/>
        <v>12114761.809112396</v>
      </c>
      <c r="O99" s="368">
        <f t="shared" si="33"/>
        <v>374189.09031123563</v>
      </c>
      <c r="P99" s="368">
        <f t="shared" si="18"/>
        <v>42835.778630053253</v>
      </c>
      <c r="Q99" s="368">
        <f t="shared" si="27"/>
        <v>331353.31168118236</v>
      </c>
      <c r="R99" s="368">
        <f t="shared" si="28"/>
        <v>11783408.497431213</v>
      </c>
      <c r="AA99" s="304">
        <f t="shared" si="19"/>
        <v>80</v>
      </c>
      <c r="AB99" s="367">
        <v>46023</v>
      </c>
      <c r="AC99" s="368">
        <f t="shared" si="29"/>
        <v>-34033492.452099361</v>
      </c>
      <c r="AD99" s="368">
        <f t="shared" si="30"/>
        <v>374189.09031123563</v>
      </c>
      <c r="AE99" s="368">
        <f t="shared" si="20"/>
        <v>-120336.75706188132</v>
      </c>
      <c r="AF99" s="368">
        <f t="shared" si="31"/>
        <v>494525.84737311694</v>
      </c>
      <c r="AG99" s="368">
        <f t="shared" si="32"/>
        <v>-34528018.299472481</v>
      </c>
    </row>
    <row r="100" spans="1:33" x14ac:dyDescent="0.2">
      <c r="A100" s="367">
        <v>46419</v>
      </c>
      <c r="B100" s="368">
        <f t="shared" si="21"/>
        <v>736247.16968634864</v>
      </c>
      <c r="C100" s="368">
        <f t="shared" si="22"/>
        <v>29727.14350515023</v>
      </c>
      <c r="D100" s="368">
        <f t="shared" si="23"/>
        <v>2675.0313831937333</v>
      </c>
      <c r="E100" s="368">
        <f t="shared" si="24"/>
        <v>27052.112121956496</v>
      </c>
      <c r="F100" s="368">
        <f t="shared" si="25"/>
        <v>709195.0575643921</v>
      </c>
      <c r="L100" s="304">
        <f t="shared" si="17"/>
        <v>95</v>
      </c>
      <c r="M100" s="367">
        <v>46054</v>
      </c>
      <c r="N100" s="368">
        <f t="shared" si="26"/>
        <v>11783408.497431213</v>
      </c>
      <c r="O100" s="368">
        <f t="shared" si="33"/>
        <v>374189.09031123563</v>
      </c>
      <c r="P100" s="368">
        <f t="shared" si="18"/>
        <v>41664.168545500535</v>
      </c>
      <c r="Q100" s="368">
        <f t="shared" si="27"/>
        <v>332524.92176573508</v>
      </c>
      <c r="R100" s="368">
        <f t="shared" si="28"/>
        <v>11450883.575665478</v>
      </c>
      <c r="AA100" s="304">
        <f t="shared" si="19"/>
        <v>81</v>
      </c>
      <c r="AB100" s="367">
        <v>46054</v>
      </c>
      <c r="AC100" s="368">
        <f t="shared" si="29"/>
        <v>-34528018.299472481</v>
      </c>
      <c r="AD100" s="368">
        <f t="shared" si="30"/>
        <v>374189.09031123563</v>
      </c>
      <c r="AE100" s="368">
        <f t="shared" si="20"/>
        <v>-122085.31803721812</v>
      </c>
      <c r="AF100" s="368">
        <f t="shared" si="31"/>
        <v>496274.40834845376</v>
      </c>
      <c r="AG100" s="368">
        <f t="shared" si="32"/>
        <v>-35024292.707820937</v>
      </c>
    </row>
    <row r="101" spans="1:33" x14ac:dyDescent="0.2">
      <c r="A101" s="367">
        <v>46447</v>
      </c>
      <c r="B101" s="368">
        <f t="shared" si="21"/>
        <v>709195.0575643921</v>
      </c>
      <c r="C101" s="368">
        <f t="shared" si="22"/>
        <v>29727.14350515023</v>
      </c>
      <c r="D101" s="368">
        <f t="shared" si="23"/>
        <v>2576.7420424839579</v>
      </c>
      <c r="E101" s="368">
        <f t="shared" si="24"/>
        <v>27150.401462666272</v>
      </c>
      <c r="F101" s="368">
        <f t="shared" si="25"/>
        <v>682044.65610172588</v>
      </c>
      <c r="L101" s="304">
        <f t="shared" si="17"/>
        <v>96</v>
      </c>
      <c r="M101" s="367">
        <v>46082</v>
      </c>
      <c r="N101" s="368">
        <f t="shared" si="26"/>
        <v>11450883.575665478</v>
      </c>
      <c r="O101" s="368">
        <f t="shared" si="33"/>
        <v>374189.09031123563</v>
      </c>
      <c r="P101" s="368">
        <f t="shared" si="18"/>
        <v>40488.415842957191</v>
      </c>
      <c r="Q101" s="368">
        <f t="shared" si="27"/>
        <v>333700.67446827842</v>
      </c>
      <c r="R101" s="368">
        <f t="shared" si="28"/>
        <v>11117182.901197199</v>
      </c>
      <c r="AA101" s="304">
        <f t="shared" si="19"/>
        <v>82</v>
      </c>
      <c r="AB101" s="367">
        <v>46082</v>
      </c>
      <c r="AC101" s="368">
        <f t="shared" si="29"/>
        <v>-35024292.707820937</v>
      </c>
      <c r="AD101" s="368">
        <f t="shared" si="30"/>
        <v>374189.09031123563</v>
      </c>
      <c r="AE101" s="368">
        <f t="shared" si="20"/>
        <v>-123840.06163273688</v>
      </c>
      <c r="AF101" s="368">
        <f t="shared" si="31"/>
        <v>498029.15194397251</v>
      </c>
      <c r="AG101" s="368">
        <f t="shared" si="32"/>
        <v>-35522321.859764911</v>
      </c>
    </row>
    <row r="102" spans="1:33" x14ac:dyDescent="0.2">
      <c r="A102" s="367">
        <v>46478</v>
      </c>
      <c r="B102" s="368">
        <f t="shared" si="21"/>
        <v>682044.65610172588</v>
      </c>
      <c r="C102" s="368">
        <f t="shared" si="22"/>
        <v>29727.14350515023</v>
      </c>
      <c r="D102" s="368">
        <f t="shared" si="23"/>
        <v>2478.0955838362706</v>
      </c>
      <c r="E102" s="368">
        <f t="shared" si="24"/>
        <v>27249.047921313959</v>
      </c>
      <c r="F102" s="368">
        <f t="shared" si="25"/>
        <v>654795.60818041197</v>
      </c>
      <c r="L102" s="304">
        <f t="shared" si="17"/>
        <v>97</v>
      </c>
      <c r="M102" s="367">
        <v>46113</v>
      </c>
      <c r="N102" s="368">
        <f t="shared" si="26"/>
        <v>11117182.901197199</v>
      </c>
      <c r="O102" s="368">
        <f t="shared" si="33"/>
        <v>374189.09031123563</v>
      </c>
      <c r="P102" s="368">
        <f t="shared" si="18"/>
        <v>39308.50587481643</v>
      </c>
      <c r="Q102" s="368">
        <f t="shared" si="27"/>
        <v>334880.58443641919</v>
      </c>
      <c r="R102" s="368">
        <f t="shared" si="28"/>
        <v>10782302.31676078</v>
      </c>
      <c r="AA102" s="304">
        <f t="shared" si="19"/>
        <v>83</v>
      </c>
      <c r="AB102" s="367">
        <v>46113</v>
      </c>
      <c r="AC102" s="368">
        <f t="shared" si="29"/>
        <v>-35522321.859764911</v>
      </c>
      <c r="AD102" s="368">
        <f t="shared" si="30"/>
        <v>374189.09031123563</v>
      </c>
      <c r="AE102" s="368">
        <f t="shared" si="20"/>
        <v>-125601.0097091521</v>
      </c>
      <c r="AF102" s="368">
        <f t="shared" si="31"/>
        <v>499790.10002038773</v>
      </c>
      <c r="AG102" s="368">
        <f t="shared" si="32"/>
        <v>-36022111.959785298</v>
      </c>
    </row>
    <row r="103" spans="1:33" x14ac:dyDescent="0.2">
      <c r="A103" s="367">
        <v>46508</v>
      </c>
      <c r="B103" s="368">
        <f t="shared" si="21"/>
        <v>654795.60818041197</v>
      </c>
      <c r="C103" s="368">
        <f t="shared" si="22"/>
        <v>29727.14350515023</v>
      </c>
      <c r="D103" s="368">
        <f t="shared" si="23"/>
        <v>2379.0907097221634</v>
      </c>
      <c r="E103" s="368">
        <f t="shared" si="24"/>
        <v>27348.052795428066</v>
      </c>
      <c r="F103" s="368">
        <f t="shared" si="25"/>
        <v>627447.55538498389</v>
      </c>
      <c r="L103" s="304">
        <f t="shared" si="17"/>
        <v>98</v>
      </c>
      <c r="M103" s="367">
        <v>46143</v>
      </c>
      <c r="N103" s="368">
        <f t="shared" si="26"/>
        <v>10782302.31676078</v>
      </c>
      <c r="O103" s="368">
        <f t="shared" si="33"/>
        <v>374189.09031123563</v>
      </c>
      <c r="P103" s="368">
        <f t="shared" si="18"/>
        <v>38124.42394167999</v>
      </c>
      <c r="Q103" s="368">
        <f t="shared" si="27"/>
        <v>336064.66636955563</v>
      </c>
      <c r="R103" s="368">
        <f t="shared" si="28"/>
        <v>10446237.650391225</v>
      </c>
      <c r="AA103" s="304">
        <f t="shared" si="19"/>
        <v>84</v>
      </c>
      <c r="AB103" s="367">
        <v>46143</v>
      </c>
      <c r="AC103" s="368">
        <f t="shared" si="29"/>
        <v>-36022111.959785298</v>
      </c>
      <c r="AD103" s="368">
        <f t="shared" si="30"/>
        <v>374189.09031123563</v>
      </c>
      <c r="AE103" s="368">
        <f t="shared" si="20"/>
        <v>-127368.18420447419</v>
      </c>
      <c r="AF103" s="368">
        <f t="shared" si="31"/>
        <v>501557.27451570984</v>
      </c>
      <c r="AG103" s="368">
        <f t="shared" si="32"/>
        <v>-36523669.234301008</v>
      </c>
    </row>
    <row r="104" spans="1:33" x14ac:dyDescent="0.2">
      <c r="A104" s="367">
        <v>46539</v>
      </c>
      <c r="B104" s="368">
        <f t="shared" si="21"/>
        <v>627447.55538498389</v>
      </c>
      <c r="C104" s="368">
        <f t="shared" si="22"/>
        <v>29727.14350515023</v>
      </c>
      <c r="D104" s="368">
        <f t="shared" si="23"/>
        <v>2279.7261178987746</v>
      </c>
      <c r="E104" s="368">
        <f t="shared" si="24"/>
        <v>27447.417387251455</v>
      </c>
      <c r="F104" s="368">
        <f t="shared" si="25"/>
        <v>600000.13799773238</v>
      </c>
      <c r="L104" s="304">
        <f t="shared" si="17"/>
        <v>99</v>
      </c>
      <c r="M104" s="367">
        <v>46174</v>
      </c>
      <c r="N104" s="368">
        <f t="shared" si="26"/>
        <v>10446237.650391225</v>
      </c>
      <c r="O104" s="368">
        <f t="shared" si="33"/>
        <v>374189.09031123563</v>
      </c>
      <c r="P104" s="368">
        <f t="shared" si="18"/>
        <v>36936.155292174975</v>
      </c>
      <c r="Q104" s="368">
        <f t="shared" si="27"/>
        <v>337252.93501906068</v>
      </c>
      <c r="R104" s="368">
        <f t="shared" si="28"/>
        <v>10108984.715372164</v>
      </c>
      <c r="AA104" s="304">
        <f t="shared" si="19"/>
        <v>85</v>
      </c>
      <c r="AB104" s="367">
        <v>46174</v>
      </c>
      <c r="AC104" s="368">
        <f t="shared" si="29"/>
        <v>-36523669.234301008</v>
      </c>
      <c r="AD104" s="368">
        <f t="shared" si="30"/>
        <v>374189.09031123563</v>
      </c>
      <c r="AE104" s="368">
        <f t="shared" si="20"/>
        <v>-129141.60713428265</v>
      </c>
      <c r="AF104" s="368">
        <f t="shared" si="31"/>
        <v>503330.69744551828</v>
      </c>
      <c r="AG104" s="368">
        <f t="shared" si="32"/>
        <v>-37026999.931746528</v>
      </c>
    </row>
    <row r="105" spans="1:33" x14ac:dyDescent="0.2">
      <c r="A105" s="367">
        <v>46569</v>
      </c>
      <c r="B105" s="368">
        <f t="shared" si="21"/>
        <v>600000.13799773238</v>
      </c>
      <c r="C105" s="368">
        <f t="shared" si="22"/>
        <v>29727.14350515023</v>
      </c>
      <c r="D105" s="368">
        <f t="shared" si="23"/>
        <v>2180.0005013917612</v>
      </c>
      <c r="E105" s="368">
        <f t="shared" si="24"/>
        <v>27547.143003758469</v>
      </c>
      <c r="F105" s="368">
        <f t="shared" si="25"/>
        <v>572452.99499397387</v>
      </c>
      <c r="L105" s="304">
        <f t="shared" si="17"/>
        <v>100</v>
      </c>
      <c r="M105" s="367">
        <v>46204</v>
      </c>
      <c r="N105" s="368">
        <f t="shared" si="26"/>
        <v>10108984.715372164</v>
      </c>
      <c r="O105" s="368">
        <f t="shared" si="33"/>
        <v>374189.09031123563</v>
      </c>
      <c r="P105" s="368">
        <f t="shared" si="18"/>
        <v>35743.685122770075</v>
      </c>
      <c r="Q105" s="368">
        <f t="shared" si="27"/>
        <v>338445.40518846555</v>
      </c>
      <c r="R105" s="368">
        <f t="shared" si="28"/>
        <v>9770539.3101836983</v>
      </c>
      <c r="AA105" s="304">
        <f t="shared" si="19"/>
        <v>86</v>
      </c>
      <c r="AB105" s="367">
        <v>46204</v>
      </c>
      <c r="AC105" s="368">
        <f t="shared" si="29"/>
        <v>-37026999.931746528</v>
      </c>
      <c r="AD105" s="368">
        <f t="shared" si="30"/>
        <v>374189.09031123563</v>
      </c>
      <c r="AE105" s="368">
        <f t="shared" si="20"/>
        <v>-130921.30059200044</v>
      </c>
      <c r="AF105" s="368">
        <f t="shared" si="31"/>
        <v>505110.39090323605</v>
      </c>
      <c r="AG105" s="368">
        <f t="shared" si="32"/>
        <v>-37532110.322649762</v>
      </c>
    </row>
    <row r="106" spans="1:33" x14ac:dyDescent="0.2">
      <c r="A106" s="367">
        <v>46600</v>
      </c>
      <c r="B106" s="368">
        <f t="shared" si="21"/>
        <v>572452.99499397387</v>
      </c>
      <c r="C106" s="368">
        <f t="shared" si="22"/>
        <v>29727.14350515023</v>
      </c>
      <c r="D106" s="368">
        <f t="shared" si="23"/>
        <v>2079.9125484781048</v>
      </c>
      <c r="E106" s="368">
        <f t="shared" si="24"/>
        <v>27647.230956672127</v>
      </c>
      <c r="F106" s="368">
        <f t="shared" si="25"/>
        <v>544805.76403730176</v>
      </c>
      <c r="L106" s="304">
        <f t="shared" si="17"/>
        <v>101</v>
      </c>
      <c r="M106" s="367">
        <v>46235</v>
      </c>
      <c r="N106" s="368">
        <f t="shared" si="26"/>
        <v>9770539.3101836983</v>
      </c>
      <c r="O106" s="368">
        <f t="shared" si="33"/>
        <v>374189.09031123563</v>
      </c>
      <c r="P106" s="368">
        <f t="shared" si="18"/>
        <v>34546.998577591199</v>
      </c>
      <c r="Q106" s="368">
        <f t="shared" si="27"/>
        <v>339642.09173364443</v>
      </c>
      <c r="R106" s="368">
        <f t="shared" si="28"/>
        <v>9430897.2184500545</v>
      </c>
      <c r="AA106" s="304">
        <f t="shared" si="19"/>
        <v>87</v>
      </c>
      <c r="AB106" s="367">
        <v>46235</v>
      </c>
      <c r="AC106" s="368">
        <f t="shared" si="29"/>
        <v>-37532110.322649762</v>
      </c>
      <c r="AD106" s="368">
        <f t="shared" si="30"/>
        <v>374189.09031123563</v>
      </c>
      <c r="AE106" s="368">
        <f t="shared" si="20"/>
        <v>-132707.28674916914</v>
      </c>
      <c r="AF106" s="368">
        <f t="shared" si="31"/>
        <v>506896.37706040475</v>
      </c>
      <c r="AG106" s="368">
        <f t="shared" si="32"/>
        <v>-38039006.699710168</v>
      </c>
    </row>
    <row r="107" spans="1:33" x14ac:dyDescent="0.2">
      <c r="A107" s="367">
        <v>46631</v>
      </c>
      <c r="B107" s="368">
        <f t="shared" si="21"/>
        <v>544805.76403730176</v>
      </c>
      <c r="C107" s="368">
        <f t="shared" si="22"/>
        <v>29727.14350515023</v>
      </c>
      <c r="D107" s="368">
        <f t="shared" si="23"/>
        <v>1979.460942668863</v>
      </c>
      <c r="E107" s="368">
        <f t="shared" si="24"/>
        <v>27747.682562481368</v>
      </c>
      <c r="F107" s="368">
        <f t="shared" si="25"/>
        <v>517058.08147482038</v>
      </c>
      <c r="L107" s="304">
        <f t="shared" si="17"/>
        <v>102</v>
      </c>
      <c r="M107" s="367">
        <v>46266</v>
      </c>
      <c r="N107" s="368">
        <f t="shared" si="26"/>
        <v>9430897.2184500545</v>
      </c>
      <c r="O107" s="368">
        <f t="shared" si="33"/>
        <v>374189.09031123563</v>
      </c>
      <c r="P107" s="368">
        <f t="shared" si="18"/>
        <v>33346.080748236323</v>
      </c>
      <c r="Q107" s="368">
        <f t="shared" si="27"/>
        <v>340843.0095629993</v>
      </c>
      <c r="R107" s="368">
        <f t="shared" si="28"/>
        <v>9090054.2088870555</v>
      </c>
      <c r="AA107" s="304">
        <f t="shared" si="19"/>
        <v>88</v>
      </c>
      <c r="AB107" s="367">
        <v>46266</v>
      </c>
      <c r="AC107" s="368">
        <f t="shared" si="29"/>
        <v>-38039006.699710168</v>
      </c>
      <c r="AD107" s="368">
        <f t="shared" si="30"/>
        <v>374189.09031123563</v>
      </c>
      <c r="AE107" s="368">
        <f t="shared" si="20"/>
        <v>-134499.58785572523</v>
      </c>
      <c r="AF107" s="368">
        <f t="shared" si="31"/>
        <v>508688.67816696083</v>
      </c>
      <c r="AG107" s="368">
        <f t="shared" si="32"/>
        <v>-38547695.377877131</v>
      </c>
    </row>
    <row r="108" spans="1:33" x14ac:dyDescent="0.2">
      <c r="A108" s="367">
        <v>46661</v>
      </c>
      <c r="B108" s="368">
        <f t="shared" si="21"/>
        <v>517058.08147482038</v>
      </c>
      <c r="C108" s="368">
        <f t="shared" si="22"/>
        <v>29727.14350515023</v>
      </c>
      <c r="D108" s="368">
        <f t="shared" si="23"/>
        <v>1878.6443626918474</v>
      </c>
      <c r="E108" s="368">
        <f t="shared" si="24"/>
        <v>27848.499142458382</v>
      </c>
      <c r="F108" s="368">
        <f t="shared" si="25"/>
        <v>489209.58233236201</v>
      </c>
      <c r="L108" s="304">
        <f t="shared" si="17"/>
        <v>103</v>
      </c>
      <c r="M108" s="367">
        <v>46296</v>
      </c>
      <c r="N108" s="368">
        <f t="shared" si="26"/>
        <v>9090054.2088870555</v>
      </c>
      <c r="O108" s="368">
        <f t="shared" si="33"/>
        <v>374189.09031123563</v>
      </c>
      <c r="P108" s="368">
        <f t="shared" si="18"/>
        <v>32140.916673589818</v>
      </c>
      <c r="Q108" s="368">
        <f t="shared" si="27"/>
        <v>342048.17363764578</v>
      </c>
      <c r="R108" s="368">
        <f t="shared" si="28"/>
        <v>8748006.0352494102</v>
      </c>
      <c r="AA108" s="304">
        <f t="shared" si="19"/>
        <v>89</v>
      </c>
      <c r="AB108" s="367">
        <v>46296</v>
      </c>
      <c r="AC108" s="368">
        <f t="shared" si="29"/>
        <v>-38547695.377877131</v>
      </c>
      <c r="AD108" s="368">
        <f t="shared" si="30"/>
        <v>374189.09031123563</v>
      </c>
      <c r="AE108" s="368">
        <f t="shared" si="20"/>
        <v>-136298.22624027723</v>
      </c>
      <c r="AF108" s="368">
        <f t="shared" si="31"/>
        <v>510487.31655151286</v>
      </c>
      <c r="AG108" s="368">
        <f t="shared" si="32"/>
        <v>-39058182.694428645</v>
      </c>
    </row>
    <row r="109" spans="1:33" x14ac:dyDescent="0.2">
      <c r="A109" s="367">
        <v>46692</v>
      </c>
      <c r="B109" s="368">
        <f t="shared" si="21"/>
        <v>489209.58233236201</v>
      </c>
      <c r="C109" s="368">
        <f t="shared" si="22"/>
        <v>29727.14350515023</v>
      </c>
      <c r="D109" s="368">
        <f t="shared" si="23"/>
        <v>1777.4614824742487</v>
      </c>
      <c r="E109" s="368">
        <f t="shared" si="24"/>
        <v>27949.682022675981</v>
      </c>
      <c r="F109" s="368">
        <f t="shared" si="25"/>
        <v>461259.90030968603</v>
      </c>
      <c r="L109" s="304">
        <f t="shared" si="17"/>
        <v>104</v>
      </c>
      <c r="M109" s="367">
        <v>46327</v>
      </c>
      <c r="N109" s="368">
        <f t="shared" si="26"/>
        <v>8748006.0352494102</v>
      </c>
      <c r="O109" s="368">
        <f t="shared" si="33"/>
        <v>374189.09031123563</v>
      </c>
      <c r="P109" s="368">
        <f t="shared" si="18"/>
        <v>30931.491339636039</v>
      </c>
      <c r="Q109" s="368">
        <f t="shared" si="27"/>
        <v>343257.5989715996</v>
      </c>
      <c r="R109" s="368">
        <f t="shared" si="28"/>
        <v>8404748.4362778105</v>
      </c>
      <c r="AA109" s="304">
        <f t="shared" si="19"/>
        <v>90</v>
      </c>
      <c r="AB109" s="367">
        <v>46327</v>
      </c>
      <c r="AC109" s="368">
        <f t="shared" si="29"/>
        <v>-39058182.694428645</v>
      </c>
      <c r="AD109" s="368">
        <f t="shared" si="30"/>
        <v>374189.09031123563</v>
      </c>
      <c r="AE109" s="368">
        <f t="shared" si="20"/>
        <v>-138103.22431038396</v>
      </c>
      <c r="AF109" s="368">
        <f t="shared" si="31"/>
        <v>512292.31462161959</v>
      </c>
      <c r="AG109" s="368">
        <f t="shared" si="32"/>
        <v>-39570475.009050265</v>
      </c>
    </row>
    <row r="110" spans="1:33" x14ac:dyDescent="0.2">
      <c r="A110" s="367">
        <v>46722</v>
      </c>
      <c r="B110" s="368">
        <f t="shared" si="21"/>
        <v>461259.90030968603</v>
      </c>
      <c r="C110" s="368">
        <f t="shared" si="22"/>
        <v>29727.14350515023</v>
      </c>
      <c r="D110" s="368">
        <f t="shared" si="23"/>
        <v>1675.9109711251924</v>
      </c>
      <c r="E110" s="368">
        <f t="shared" si="24"/>
        <v>28051.232534025039</v>
      </c>
      <c r="F110" s="368">
        <f t="shared" si="25"/>
        <v>433208.66777566099</v>
      </c>
      <c r="L110" s="304">
        <f t="shared" si="17"/>
        <v>105</v>
      </c>
      <c r="M110" s="367">
        <v>46357</v>
      </c>
      <c r="N110" s="368">
        <f t="shared" si="26"/>
        <v>8404748.4362778105</v>
      </c>
      <c r="O110" s="368">
        <f t="shared" si="33"/>
        <v>374189.09031123563</v>
      </c>
      <c r="P110" s="368">
        <f t="shared" si="18"/>
        <v>29717.789679272293</v>
      </c>
      <c r="Q110" s="368">
        <f t="shared" si="27"/>
        <v>344471.30063196336</v>
      </c>
      <c r="R110" s="368">
        <f t="shared" si="28"/>
        <v>8060277.1356458468</v>
      </c>
      <c r="AA110" s="304">
        <f t="shared" si="19"/>
        <v>91</v>
      </c>
      <c r="AB110" s="367">
        <v>46357</v>
      </c>
      <c r="AC110" s="368">
        <f t="shared" si="29"/>
        <v>-39570475.009050265</v>
      </c>
      <c r="AD110" s="368">
        <f t="shared" si="30"/>
        <v>374189.09031123563</v>
      </c>
      <c r="AE110" s="368">
        <f t="shared" si="20"/>
        <v>-139914.60455283357</v>
      </c>
      <c r="AF110" s="368">
        <f t="shared" si="31"/>
        <v>514103.69486406923</v>
      </c>
      <c r="AG110" s="368">
        <f t="shared" si="32"/>
        <v>-40084578.703914337</v>
      </c>
    </row>
    <row r="111" spans="1:33" x14ac:dyDescent="0.2">
      <c r="A111" s="367">
        <v>46753</v>
      </c>
      <c r="B111" s="368">
        <f t="shared" si="21"/>
        <v>433208.66777566099</v>
      </c>
      <c r="C111" s="368">
        <f t="shared" si="22"/>
        <v>29727.14350515023</v>
      </c>
      <c r="D111" s="368">
        <f t="shared" si="23"/>
        <v>1573.9914929182351</v>
      </c>
      <c r="E111" s="368">
        <f t="shared" si="24"/>
        <v>28153.152012231996</v>
      </c>
      <c r="F111" s="368">
        <f t="shared" si="25"/>
        <v>405055.51576342899</v>
      </c>
      <c r="L111" s="304">
        <f t="shared" si="17"/>
        <v>106</v>
      </c>
      <c r="M111" s="367">
        <v>46388</v>
      </c>
      <c r="N111" s="368">
        <f t="shared" si="26"/>
        <v>8060277.1356458468</v>
      </c>
      <c r="O111" s="368">
        <f t="shared" si="33"/>
        <v>374189.09031123563</v>
      </c>
      <c r="P111" s="368">
        <f t="shared" si="18"/>
        <v>28499.796572121108</v>
      </c>
      <c r="Q111" s="368">
        <f t="shared" si="27"/>
        <v>345689.29373911454</v>
      </c>
      <c r="R111" s="368">
        <f t="shared" si="28"/>
        <v>7714587.8419067319</v>
      </c>
      <c r="AA111" s="304">
        <f t="shared" si="19"/>
        <v>92</v>
      </c>
      <c r="AB111" s="367">
        <v>46388</v>
      </c>
      <c r="AC111" s="368">
        <f t="shared" si="29"/>
        <v>-40084578.703914337</v>
      </c>
      <c r="AD111" s="368">
        <f t="shared" si="30"/>
        <v>374189.09031123563</v>
      </c>
      <c r="AE111" s="368">
        <f t="shared" si="20"/>
        <v>-141732.38953392379</v>
      </c>
      <c r="AF111" s="368">
        <f t="shared" si="31"/>
        <v>515921.47984515945</v>
      </c>
      <c r="AG111" s="368">
        <f t="shared" si="32"/>
        <v>-40600500.183759496</v>
      </c>
    </row>
    <row r="112" spans="1:33" x14ac:dyDescent="0.2">
      <c r="A112" s="367">
        <v>46784</v>
      </c>
      <c r="B112" s="368">
        <f t="shared" si="21"/>
        <v>405055.51576342899</v>
      </c>
      <c r="C112" s="368">
        <f t="shared" si="22"/>
        <v>29727.14350515023</v>
      </c>
      <c r="D112" s="368">
        <f t="shared" si="23"/>
        <v>1471.701707273792</v>
      </c>
      <c r="E112" s="368">
        <f t="shared" si="24"/>
        <v>28255.44179787644</v>
      </c>
      <c r="F112" s="368">
        <f t="shared" si="25"/>
        <v>376800.07396555255</v>
      </c>
      <c r="L112" s="304">
        <f t="shared" si="17"/>
        <v>107</v>
      </c>
      <c r="M112" s="367">
        <v>46419</v>
      </c>
      <c r="N112" s="368">
        <f t="shared" si="26"/>
        <v>7714587.8419067319</v>
      </c>
      <c r="O112" s="368">
        <f t="shared" si="33"/>
        <v>374189.09031123563</v>
      </c>
      <c r="P112" s="368">
        <f t="shared" si="18"/>
        <v>27277.496844341887</v>
      </c>
      <c r="Q112" s="368">
        <f t="shared" si="27"/>
        <v>346911.59346689377</v>
      </c>
      <c r="R112" s="368">
        <f t="shared" si="28"/>
        <v>7367676.2484398382</v>
      </c>
      <c r="AA112" s="304">
        <f t="shared" si="19"/>
        <v>93</v>
      </c>
      <c r="AB112" s="367">
        <v>46419</v>
      </c>
      <c r="AC112" s="368">
        <f t="shared" si="29"/>
        <v>-40600500.183759496</v>
      </c>
      <c r="AD112" s="368">
        <f t="shared" si="30"/>
        <v>374189.09031123563</v>
      </c>
      <c r="AE112" s="368">
        <f t="shared" si="20"/>
        <v>-143556.60189974296</v>
      </c>
      <c r="AF112" s="368">
        <f t="shared" si="31"/>
        <v>517745.6922109786</v>
      </c>
      <c r="AG112" s="368">
        <f t="shared" si="32"/>
        <v>-41118245.875970475</v>
      </c>
    </row>
    <row r="113" spans="1:33" x14ac:dyDescent="0.2">
      <c r="A113" s="367">
        <v>46813</v>
      </c>
      <c r="B113" s="368">
        <f t="shared" si="21"/>
        <v>376800.07396555255</v>
      </c>
      <c r="C113" s="368">
        <f t="shared" si="22"/>
        <v>29727.14350515023</v>
      </c>
      <c r="D113" s="368">
        <f t="shared" si="23"/>
        <v>1369.0402687415078</v>
      </c>
      <c r="E113" s="368">
        <f t="shared" si="24"/>
        <v>28358.103236408722</v>
      </c>
      <c r="F113" s="368">
        <f t="shared" si="25"/>
        <v>348441.97072914382</v>
      </c>
      <c r="L113" s="304">
        <f t="shared" si="17"/>
        <v>108</v>
      </c>
      <c r="M113" s="367">
        <v>46447</v>
      </c>
      <c r="N113" s="368">
        <f t="shared" si="26"/>
        <v>7367676.2484398382</v>
      </c>
      <c r="O113" s="368">
        <f t="shared" si="33"/>
        <v>374189.09031123563</v>
      </c>
      <c r="P113" s="368">
        <f t="shared" si="18"/>
        <v>26050.875268441861</v>
      </c>
      <c r="Q113" s="368">
        <f t="shared" si="27"/>
        <v>348138.21504279377</v>
      </c>
      <c r="R113" s="368">
        <f t="shared" si="28"/>
        <v>7019538.0333970441</v>
      </c>
      <c r="AA113" s="304">
        <f t="shared" si="19"/>
        <v>94</v>
      </c>
      <c r="AB113" s="367">
        <v>46447</v>
      </c>
      <c r="AC113" s="368">
        <f t="shared" si="29"/>
        <v>-41118245.875970475</v>
      </c>
      <c r="AD113" s="368">
        <f t="shared" si="30"/>
        <v>374189.09031123563</v>
      </c>
      <c r="AE113" s="368">
        <f t="shared" si="20"/>
        <v>-145387.26437645228</v>
      </c>
      <c r="AF113" s="368">
        <f t="shared" si="31"/>
        <v>519576.35468768794</v>
      </c>
      <c r="AG113" s="368">
        <f t="shared" si="32"/>
        <v>-41637822.230658166</v>
      </c>
    </row>
    <row r="114" spans="1:33" x14ac:dyDescent="0.2">
      <c r="A114" s="367">
        <v>46844</v>
      </c>
      <c r="B114" s="368">
        <f t="shared" si="21"/>
        <v>348441.97072914382</v>
      </c>
      <c r="C114" s="368">
        <f t="shared" si="22"/>
        <v>29727.14350515023</v>
      </c>
      <c r="D114" s="368">
        <f t="shared" si="23"/>
        <v>1266.0058269825558</v>
      </c>
      <c r="E114" s="368">
        <f t="shared" si="24"/>
        <v>28461.137678167674</v>
      </c>
      <c r="F114" s="368">
        <f t="shared" si="25"/>
        <v>319980.83305097616</v>
      </c>
      <c r="L114" s="304">
        <f t="shared" si="17"/>
        <v>109</v>
      </c>
      <c r="M114" s="367">
        <v>46478</v>
      </c>
      <c r="N114" s="368">
        <f t="shared" si="26"/>
        <v>7019538.0333970441</v>
      </c>
      <c r="O114" s="368">
        <f t="shared" si="33"/>
        <v>374189.09031123563</v>
      </c>
      <c r="P114" s="368">
        <f t="shared" si="18"/>
        <v>24819.916563086383</v>
      </c>
      <c r="Q114" s="368">
        <f t="shared" si="27"/>
        <v>349369.17374814925</v>
      </c>
      <c r="R114" s="368">
        <f t="shared" si="28"/>
        <v>6670168.8596488945</v>
      </c>
      <c r="AA114" s="304">
        <f t="shared" si="19"/>
        <v>95</v>
      </c>
      <c r="AB114" s="367">
        <v>46478</v>
      </c>
      <c r="AC114" s="368">
        <f t="shared" si="29"/>
        <v>-41637822.230658166</v>
      </c>
      <c r="AD114" s="368">
        <f t="shared" si="30"/>
        <v>374189.09031123563</v>
      </c>
      <c r="AE114" s="368">
        <f t="shared" si="20"/>
        <v>-147224.39977056885</v>
      </c>
      <c r="AF114" s="368">
        <f t="shared" si="31"/>
        <v>521413.49008180446</v>
      </c>
      <c r="AG114" s="368">
        <f t="shared" si="32"/>
        <v>-42159235.720739968</v>
      </c>
    </row>
    <row r="115" spans="1:33" x14ac:dyDescent="0.2">
      <c r="A115" s="367">
        <v>46874</v>
      </c>
      <c r="B115" s="368">
        <f t="shared" si="21"/>
        <v>319980.83305097616</v>
      </c>
      <c r="C115" s="368">
        <f t="shared" si="22"/>
        <v>29727.14350515023</v>
      </c>
      <c r="D115" s="368">
        <f t="shared" si="23"/>
        <v>1162.5970267518801</v>
      </c>
      <c r="E115" s="368">
        <f t="shared" si="24"/>
        <v>28564.546478398352</v>
      </c>
      <c r="F115" s="368">
        <f t="shared" si="25"/>
        <v>291416.28657257778</v>
      </c>
      <c r="L115" s="304">
        <f t="shared" si="17"/>
        <v>110</v>
      </c>
      <c r="M115" s="367">
        <v>46508</v>
      </c>
      <c r="N115" s="368">
        <f t="shared" si="26"/>
        <v>6670168.8596488945</v>
      </c>
      <c r="O115" s="368">
        <f t="shared" si="33"/>
        <v>374189.09031123563</v>
      </c>
      <c r="P115" s="368">
        <f t="shared" si="18"/>
        <v>23584.60539290855</v>
      </c>
      <c r="Q115" s="368">
        <f t="shared" si="27"/>
        <v>350604.48491832707</v>
      </c>
      <c r="R115" s="368">
        <f t="shared" si="28"/>
        <v>6319564.3747305674</v>
      </c>
      <c r="AA115" s="304">
        <f t="shared" si="19"/>
        <v>96</v>
      </c>
      <c r="AB115" s="367">
        <v>46508</v>
      </c>
      <c r="AC115" s="368">
        <f t="shared" si="29"/>
        <v>-42159235.720739968</v>
      </c>
      <c r="AD115" s="368">
        <f t="shared" si="30"/>
        <v>374189.09031123563</v>
      </c>
      <c r="AE115" s="368">
        <f t="shared" si="20"/>
        <v>-149068.03096924975</v>
      </c>
      <c r="AF115" s="368">
        <f t="shared" si="31"/>
        <v>523257.12128048541</v>
      </c>
      <c r="AG115" s="368">
        <f t="shared" si="32"/>
        <v>-42682492.842020452</v>
      </c>
    </row>
    <row r="116" spans="1:33" x14ac:dyDescent="0.2">
      <c r="A116" s="367">
        <v>46905</v>
      </c>
      <c r="B116" s="368">
        <f t="shared" si="21"/>
        <v>291416.28657257778</v>
      </c>
      <c r="C116" s="368">
        <f t="shared" si="22"/>
        <v>29727.14350515023</v>
      </c>
      <c r="D116" s="368">
        <f t="shared" si="23"/>
        <v>1058.812507880366</v>
      </c>
      <c r="E116" s="368">
        <f t="shared" si="24"/>
        <v>28668.330997269863</v>
      </c>
      <c r="F116" s="368">
        <f t="shared" si="25"/>
        <v>262747.95557530795</v>
      </c>
      <c r="L116" s="304">
        <f t="shared" si="17"/>
        <v>111</v>
      </c>
      <c r="M116" s="367">
        <v>46539</v>
      </c>
      <c r="N116" s="368">
        <f t="shared" si="26"/>
        <v>6319564.3747305674</v>
      </c>
      <c r="O116" s="368">
        <f t="shared" si="33"/>
        <v>374189.09031123563</v>
      </c>
      <c r="P116" s="368">
        <f t="shared" si="18"/>
        <v>22344.926368318167</v>
      </c>
      <c r="Q116" s="368">
        <f t="shared" si="27"/>
        <v>351844.16394291748</v>
      </c>
      <c r="R116" s="368">
        <f t="shared" si="28"/>
        <v>5967720.2107876502</v>
      </c>
      <c r="AA116" s="304">
        <f t="shared" si="19"/>
        <v>97</v>
      </c>
      <c r="AB116" s="367">
        <v>46539</v>
      </c>
      <c r="AC116" s="368">
        <f t="shared" si="29"/>
        <v>-42682492.842020452</v>
      </c>
      <c r="AD116" s="368">
        <f t="shared" si="30"/>
        <v>374189.09031123563</v>
      </c>
      <c r="AE116" s="368">
        <f t="shared" si="20"/>
        <v>-150918.18094057732</v>
      </c>
      <c r="AF116" s="368">
        <f t="shared" si="31"/>
        <v>525107.27125181293</v>
      </c>
      <c r="AG116" s="368">
        <f t="shared" si="32"/>
        <v>-43207600.113272265</v>
      </c>
    </row>
    <row r="117" spans="1:33" x14ac:dyDescent="0.2">
      <c r="A117" s="367">
        <v>46935</v>
      </c>
      <c r="B117" s="368">
        <f t="shared" si="21"/>
        <v>262747.95557530795</v>
      </c>
      <c r="C117" s="368">
        <f t="shared" si="22"/>
        <v>29727.14350515023</v>
      </c>
      <c r="D117" s="368">
        <f t="shared" si="23"/>
        <v>954.65090525695223</v>
      </c>
      <c r="E117" s="368">
        <f t="shared" si="24"/>
        <v>28772.492599893278</v>
      </c>
      <c r="F117" s="368">
        <f t="shared" si="25"/>
        <v>233975.46297541467</v>
      </c>
      <c r="L117" s="304">
        <f t="shared" si="17"/>
        <v>112</v>
      </c>
      <c r="M117" s="367">
        <v>46569</v>
      </c>
      <c r="N117" s="368">
        <f t="shared" si="26"/>
        <v>5967720.2107876502</v>
      </c>
      <c r="O117" s="368">
        <f t="shared" si="33"/>
        <v>374189.09031123563</v>
      </c>
      <c r="P117" s="368">
        <f t="shared" si="18"/>
        <v>21100.864045310002</v>
      </c>
      <c r="Q117" s="368">
        <f t="shared" si="27"/>
        <v>353088.22626592562</v>
      </c>
      <c r="R117" s="368">
        <f t="shared" si="28"/>
        <v>5614631.9845217243</v>
      </c>
      <c r="AA117" s="304">
        <f t="shared" si="19"/>
        <v>98</v>
      </c>
      <c r="AB117" s="367">
        <v>46569</v>
      </c>
      <c r="AC117" s="368">
        <f t="shared" si="29"/>
        <v>-43207600.113272265</v>
      </c>
      <c r="AD117" s="368">
        <f t="shared" si="30"/>
        <v>374189.09031123563</v>
      </c>
      <c r="AE117" s="368">
        <f t="shared" si="20"/>
        <v>-152774.87273384517</v>
      </c>
      <c r="AF117" s="368">
        <f t="shared" si="31"/>
        <v>526963.96304508077</v>
      </c>
      <c r="AG117" s="368">
        <f t="shared" si="32"/>
        <v>-43734564.076317348</v>
      </c>
    </row>
    <row r="118" spans="1:33" x14ac:dyDescent="0.2">
      <c r="A118" s="367">
        <v>46966</v>
      </c>
      <c r="B118" s="368">
        <f t="shared" si="21"/>
        <v>233975.46297541467</v>
      </c>
      <c r="C118" s="368">
        <f t="shared" si="22"/>
        <v>29727.14350515023</v>
      </c>
      <c r="D118" s="368">
        <f t="shared" si="23"/>
        <v>850.11084881067336</v>
      </c>
      <c r="E118" s="368">
        <f t="shared" si="24"/>
        <v>28877.032656339557</v>
      </c>
      <c r="F118" s="368">
        <f t="shared" si="25"/>
        <v>205098.43031907512</v>
      </c>
      <c r="L118" s="304">
        <f t="shared" si="17"/>
        <v>113</v>
      </c>
      <c r="M118" s="367">
        <v>46600</v>
      </c>
      <c r="N118" s="368">
        <f t="shared" si="26"/>
        <v>5614631.9845217243</v>
      </c>
      <c r="O118" s="368">
        <f t="shared" si="33"/>
        <v>374189.09031123563</v>
      </c>
      <c r="P118" s="368">
        <f t="shared" si="18"/>
        <v>19852.402925271399</v>
      </c>
      <c r="Q118" s="368">
        <f t="shared" si="27"/>
        <v>354336.68738596421</v>
      </c>
      <c r="R118" s="368">
        <f t="shared" si="28"/>
        <v>5260295.2971357601</v>
      </c>
      <c r="AA118" s="304">
        <f t="shared" si="19"/>
        <v>99</v>
      </c>
      <c r="AB118" s="367">
        <v>46600</v>
      </c>
      <c r="AC118" s="368">
        <f t="shared" si="29"/>
        <v>-43734564.076317348</v>
      </c>
      <c r="AD118" s="368">
        <f t="shared" si="30"/>
        <v>374189.09031123563</v>
      </c>
      <c r="AE118" s="368">
        <f t="shared" si="20"/>
        <v>-154638.12947984543</v>
      </c>
      <c r="AF118" s="368">
        <f t="shared" si="31"/>
        <v>528827.21979108104</v>
      </c>
      <c r="AG118" s="368">
        <f t="shared" si="32"/>
        <v>-44263391.296108432</v>
      </c>
    </row>
    <row r="119" spans="1:33" x14ac:dyDescent="0.2">
      <c r="A119" s="367">
        <v>46997</v>
      </c>
      <c r="B119" s="368">
        <f t="shared" si="21"/>
        <v>205098.43031907512</v>
      </c>
      <c r="C119" s="368">
        <f t="shared" si="22"/>
        <v>29727.14350515023</v>
      </c>
      <c r="D119" s="368">
        <f t="shared" si="23"/>
        <v>745.19096349263964</v>
      </c>
      <c r="E119" s="368">
        <f t="shared" si="24"/>
        <v>28981.952541657593</v>
      </c>
      <c r="F119" s="368">
        <f t="shared" si="25"/>
        <v>176116.47777741752</v>
      </c>
      <c r="L119" s="304">
        <f t="shared" si="17"/>
        <v>114</v>
      </c>
      <c r="M119" s="367">
        <v>46631</v>
      </c>
      <c r="N119" s="368">
        <f t="shared" si="26"/>
        <v>5260295.2971357601</v>
      </c>
      <c r="O119" s="368">
        <f t="shared" si="33"/>
        <v>374189.09031123563</v>
      </c>
      <c r="P119" s="368">
        <f t="shared" si="18"/>
        <v>18599.527454789193</v>
      </c>
      <c r="Q119" s="368">
        <f t="shared" si="27"/>
        <v>355589.56285644643</v>
      </c>
      <c r="R119" s="368">
        <f t="shared" si="28"/>
        <v>4904705.7342793141</v>
      </c>
      <c r="AA119" s="304">
        <f t="shared" si="19"/>
        <v>100</v>
      </c>
      <c r="AB119" s="367">
        <v>46631</v>
      </c>
      <c r="AC119" s="368">
        <f t="shared" si="29"/>
        <v>-44263391.296108432</v>
      </c>
      <c r="AD119" s="368">
        <f t="shared" si="30"/>
        <v>374189.09031123563</v>
      </c>
      <c r="AE119" s="368">
        <f t="shared" si="20"/>
        <v>-156507.97439115675</v>
      </c>
      <c r="AF119" s="368">
        <f t="shared" si="31"/>
        <v>530697.06470239232</v>
      </c>
      <c r="AG119" s="368">
        <f t="shared" si="32"/>
        <v>-44794088.360810824</v>
      </c>
    </row>
    <row r="120" spans="1:33" x14ac:dyDescent="0.2">
      <c r="A120" s="367">
        <v>47027</v>
      </c>
      <c r="B120" s="368">
        <f t="shared" si="21"/>
        <v>176116.47777741752</v>
      </c>
      <c r="C120" s="368">
        <f t="shared" si="22"/>
        <v>29727.14350515023</v>
      </c>
      <c r="D120" s="368">
        <f t="shared" si="23"/>
        <v>639.88986925795029</v>
      </c>
      <c r="E120" s="368">
        <f t="shared" si="24"/>
        <v>29087.253635892281</v>
      </c>
      <c r="F120" s="368">
        <f t="shared" si="25"/>
        <v>147029.22414152522</v>
      </c>
      <c r="L120" s="304">
        <f t="shared" si="17"/>
        <v>115</v>
      </c>
      <c r="M120" s="367">
        <v>46661</v>
      </c>
      <c r="N120" s="368">
        <f t="shared" si="26"/>
        <v>4904705.7342793141</v>
      </c>
      <c r="O120" s="368">
        <f t="shared" si="33"/>
        <v>374189.09031123563</v>
      </c>
      <c r="P120" s="368">
        <f t="shared" si="18"/>
        <v>17342.222025455943</v>
      </c>
      <c r="Q120" s="368">
        <f t="shared" si="27"/>
        <v>356846.86828577967</v>
      </c>
      <c r="R120" s="368">
        <f t="shared" si="28"/>
        <v>4547858.8659935342</v>
      </c>
      <c r="AA120" s="304">
        <f t="shared" si="19"/>
        <v>101</v>
      </c>
      <c r="AB120" s="367">
        <v>46661</v>
      </c>
      <c r="AC120" s="368">
        <f t="shared" si="29"/>
        <v>-44794088.360810824</v>
      </c>
      <c r="AD120" s="368">
        <f t="shared" si="30"/>
        <v>374189.09031123563</v>
      </c>
      <c r="AE120" s="368">
        <f t="shared" si="20"/>
        <v>-158384.43076243362</v>
      </c>
      <c r="AF120" s="368">
        <f t="shared" si="31"/>
        <v>532573.5210736692</v>
      </c>
      <c r="AG120" s="368">
        <f t="shared" si="32"/>
        <v>-45326661.881884493</v>
      </c>
    </row>
    <row r="121" spans="1:33" x14ac:dyDescent="0.2">
      <c r="A121" s="367">
        <v>47058</v>
      </c>
      <c r="B121" s="368">
        <f t="shared" si="21"/>
        <v>147029.22414152522</v>
      </c>
      <c r="C121" s="368">
        <f t="shared" si="22"/>
        <v>29727.14350515023</v>
      </c>
      <c r="D121" s="368">
        <f t="shared" si="23"/>
        <v>534.20618104754169</v>
      </c>
      <c r="E121" s="368">
        <f t="shared" si="24"/>
        <v>29192.937324102688</v>
      </c>
      <c r="F121" s="368">
        <f t="shared" si="25"/>
        <v>117836.28681742253</v>
      </c>
      <c r="L121" s="304">
        <f t="shared" si="17"/>
        <v>116</v>
      </c>
      <c r="M121" s="367">
        <v>46692</v>
      </c>
      <c r="N121" s="368">
        <f t="shared" si="26"/>
        <v>4547858.8659935342</v>
      </c>
      <c r="O121" s="368">
        <f t="shared" si="33"/>
        <v>374189.09031123563</v>
      </c>
      <c r="P121" s="368">
        <f t="shared" si="18"/>
        <v>16080.470973675472</v>
      </c>
      <c r="Q121" s="368">
        <f t="shared" si="27"/>
        <v>358108.61933756014</v>
      </c>
      <c r="R121" s="368">
        <f t="shared" si="28"/>
        <v>4189750.2466559741</v>
      </c>
      <c r="AA121" s="304">
        <f t="shared" si="19"/>
        <v>102</v>
      </c>
      <c r="AB121" s="367">
        <v>46692</v>
      </c>
      <c r="AC121" s="368">
        <f t="shared" si="29"/>
        <v>-45326661.881884493</v>
      </c>
      <c r="AD121" s="368">
        <f t="shared" si="30"/>
        <v>374189.09031123563</v>
      </c>
      <c r="AE121" s="368">
        <f t="shared" si="20"/>
        <v>-160267.5219706966</v>
      </c>
      <c r="AF121" s="368">
        <f t="shared" si="31"/>
        <v>534456.61228193226</v>
      </c>
      <c r="AG121" s="368">
        <f t="shared" si="32"/>
        <v>-45861118.494166426</v>
      </c>
    </row>
    <row r="122" spans="1:33" x14ac:dyDescent="0.2">
      <c r="A122" s="367">
        <v>47088</v>
      </c>
      <c r="B122" s="368">
        <f t="shared" si="21"/>
        <v>117836.28681742253</v>
      </c>
      <c r="C122" s="368">
        <f t="shared" si="22"/>
        <v>29727.14350515023</v>
      </c>
      <c r="D122" s="368">
        <f t="shared" si="23"/>
        <v>428.1385087699685</v>
      </c>
      <c r="E122" s="368">
        <f t="shared" si="24"/>
        <v>29299.004996380263</v>
      </c>
      <c r="F122" s="368">
        <f t="shared" si="25"/>
        <v>88537.28182104227</v>
      </c>
      <c r="L122" s="304">
        <f t="shared" si="17"/>
        <v>117</v>
      </c>
      <c r="M122" s="367">
        <v>46722</v>
      </c>
      <c r="N122" s="368">
        <f t="shared" si="26"/>
        <v>4189750.2466559741</v>
      </c>
      <c r="O122" s="368">
        <f t="shared" si="33"/>
        <v>374189.09031123563</v>
      </c>
      <c r="P122" s="368">
        <f t="shared" si="18"/>
        <v>14814.258580467749</v>
      </c>
      <c r="Q122" s="368">
        <f t="shared" si="27"/>
        <v>359374.83173076791</v>
      </c>
      <c r="R122" s="368">
        <f t="shared" si="28"/>
        <v>3830375.414925206</v>
      </c>
      <c r="AA122" s="304">
        <f t="shared" si="19"/>
        <v>103</v>
      </c>
      <c r="AB122" s="367">
        <v>46722</v>
      </c>
      <c r="AC122" s="368">
        <f t="shared" si="29"/>
        <v>-45861118.494166426</v>
      </c>
      <c r="AD122" s="368">
        <f t="shared" si="30"/>
        <v>374189.09031123563</v>
      </c>
      <c r="AE122" s="368">
        <f t="shared" si="20"/>
        <v>-162157.27147562345</v>
      </c>
      <c r="AF122" s="368">
        <f t="shared" si="31"/>
        <v>536346.36178685911</v>
      </c>
      <c r="AG122" s="368">
        <f t="shared" si="32"/>
        <v>-46397464.855953284</v>
      </c>
    </row>
    <row r="123" spans="1:33" x14ac:dyDescent="0.2">
      <c r="A123" s="367">
        <v>47119</v>
      </c>
      <c r="B123" s="368">
        <f t="shared" si="21"/>
        <v>88537.28182104227</v>
      </c>
      <c r="C123" s="368">
        <f t="shared" si="22"/>
        <v>29727.14350515023</v>
      </c>
      <c r="D123" s="368">
        <f t="shared" si="23"/>
        <v>321.68545728312023</v>
      </c>
      <c r="E123" s="368">
        <f t="shared" si="24"/>
        <v>29405.458047867109</v>
      </c>
      <c r="F123" s="368">
        <f t="shared" si="25"/>
        <v>59131.823773175158</v>
      </c>
      <c r="L123" s="304">
        <f t="shared" si="17"/>
        <v>118</v>
      </c>
      <c r="M123" s="367">
        <v>46753</v>
      </c>
      <c r="N123" s="368">
        <f t="shared" si="26"/>
        <v>3830375.414925206</v>
      </c>
      <c r="O123" s="368">
        <f t="shared" si="33"/>
        <v>374189.09031123563</v>
      </c>
      <c r="P123" s="368">
        <f t="shared" si="18"/>
        <v>13543.569071273041</v>
      </c>
      <c r="Q123" s="368">
        <f t="shared" si="27"/>
        <v>360645.5212399626</v>
      </c>
      <c r="R123" s="368">
        <f t="shared" si="28"/>
        <v>3469729.8936852436</v>
      </c>
      <c r="AA123" s="304">
        <f t="shared" si="19"/>
        <v>104</v>
      </c>
      <c r="AB123" s="367">
        <v>46753</v>
      </c>
      <c r="AC123" s="368">
        <f t="shared" si="29"/>
        <v>-46397464.855953284</v>
      </c>
      <c r="AD123" s="368">
        <f t="shared" si="30"/>
        <v>374189.09031123563</v>
      </c>
      <c r="AE123" s="368">
        <f t="shared" si="20"/>
        <v>-164053.70281984148</v>
      </c>
      <c r="AF123" s="368">
        <f t="shared" si="31"/>
        <v>538242.79313107708</v>
      </c>
      <c r="AG123" s="368">
        <f t="shared" si="32"/>
        <v>-46935707.649084359</v>
      </c>
    </row>
    <row r="124" spans="1:33" x14ac:dyDescent="0.2">
      <c r="A124" s="367">
        <v>47150</v>
      </c>
      <c r="B124" s="368">
        <f t="shared" si="21"/>
        <v>59131.823773175158</v>
      </c>
      <c r="C124" s="368">
        <f t="shared" si="22"/>
        <v>29727.14350515023</v>
      </c>
      <c r="D124" s="368">
        <f t="shared" si="23"/>
        <v>214.84562637586976</v>
      </c>
      <c r="E124" s="368">
        <f t="shared" si="24"/>
        <v>29512.29787877436</v>
      </c>
      <c r="F124" s="368">
        <f t="shared" si="25"/>
        <v>29619.525894400798</v>
      </c>
      <c r="L124" s="304">
        <f t="shared" si="17"/>
        <v>119</v>
      </c>
      <c r="M124" s="367">
        <v>46784</v>
      </c>
      <c r="N124" s="368">
        <f t="shared" si="26"/>
        <v>3469729.8936852436</v>
      </c>
      <c r="O124" s="368">
        <f t="shared" si="33"/>
        <v>374189.09031123563</v>
      </c>
      <c r="P124" s="368">
        <f t="shared" si="18"/>
        <v>12268.386615755408</v>
      </c>
      <c r="Q124" s="368">
        <f t="shared" si="27"/>
        <v>361920.70369548025</v>
      </c>
      <c r="R124" s="368">
        <f t="shared" si="28"/>
        <v>3107809.1899897633</v>
      </c>
      <c r="AA124" s="304">
        <f t="shared" si="19"/>
        <v>105</v>
      </c>
      <c r="AB124" s="367">
        <v>46784</v>
      </c>
      <c r="AC124" s="368">
        <f t="shared" si="29"/>
        <v>-46935707.649084359</v>
      </c>
      <c r="AD124" s="368">
        <f t="shared" si="30"/>
        <v>374189.09031123563</v>
      </c>
      <c r="AE124" s="368">
        <f t="shared" si="20"/>
        <v>-165956.83962922081</v>
      </c>
      <c r="AF124" s="368">
        <f t="shared" si="31"/>
        <v>540145.92994045641</v>
      </c>
      <c r="AG124" s="368">
        <f t="shared" si="32"/>
        <v>-47475853.579024814</v>
      </c>
    </row>
    <row r="125" spans="1:33" x14ac:dyDescent="0.2">
      <c r="A125" s="367">
        <v>47178</v>
      </c>
      <c r="B125" s="368">
        <f t="shared" si="21"/>
        <v>29619.525894400798</v>
      </c>
      <c r="C125" s="368">
        <f t="shared" si="22"/>
        <v>29727.14350515023</v>
      </c>
      <c r="D125" s="368">
        <f t="shared" si="23"/>
        <v>107.61761074965624</v>
      </c>
      <c r="E125" s="368">
        <f t="shared" si="24"/>
        <v>29619.525894400573</v>
      </c>
      <c r="F125" s="368">
        <f t="shared" si="25"/>
        <v>2.255546860396862E-10</v>
      </c>
      <c r="L125" s="304">
        <f t="shared" si="17"/>
        <v>120</v>
      </c>
      <c r="M125" s="367">
        <v>46813</v>
      </c>
      <c r="N125" s="368">
        <f t="shared" si="26"/>
        <v>3107809.1899897633</v>
      </c>
      <c r="O125" s="368">
        <f t="shared" si="33"/>
        <v>374189.09031123563</v>
      </c>
      <c r="P125" s="368">
        <f t="shared" si="18"/>
        <v>10988.695327605472</v>
      </c>
      <c r="Q125" s="368">
        <f t="shared" si="27"/>
        <v>363200.39498363016</v>
      </c>
      <c r="R125" s="368">
        <f t="shared" si="28"/>
        <v>2744608.7950061332</v>
      </c>
      <c r="AA125" s="304">
        <f t="shared" si="19"/>
        <v>106</v>
      </c>
      <c r="AB125" s="367">
        <v>46813</v>
      </c>
      <c r="AC125" s="368">
        <f t="shared" si="29"/>
        <v>-47475853.579024814</v>
      </c>
      <c r="AD125" s="368">
        <f t="shared" si="30"/>
        <v>374189.09031123563</v>
      </c>
      <c r="AE125" s="368">
        <f t="shared" si="20"/>
        <v>-167866.70561316857</v>
      </c>
      <c r="AF125" s="368">
        <f t="shared" si="31"/>
        <v>542055.79592440417</v>
      </c>
      <c r="AG125" s="368">
        <f t="shared" si="32"/>
        <v>-48017909.374949217</v>
      </c>
    </row>
    <row r="126" spans="1:33" x14ac:dyDescent="0.2">
      <c r="B126" s="368"/>
      <c r="C126" s="368"/>
      <c r="D126" s="368"/>
      <c r="E126" s="368"/>
      <c r="F126" s="368"/>
      <c r="L126" s="304">
        <f t="shared" si="17"/>
        <v>121</v>
      </c>
      <c r="M126" s="367">
        <v>46844</v>
      </c>
      <c r="N126" s="368">
        <f t="shared" si="26"/>
        <v>2744608.7950061332</v>
      </c>
      <c r="O126" s="368">
        <f t="shared" si="33"/>
        <v>374189.09031123563</v>
      </c>
      <c r="P126" s="368">
        <f t="shared" si="18"/>
        <v>9704.4792643425189</v>
      </c>
      <c r="Q126" s="368">
        <f t="shared" si="27"/>
        <v>364484.61104689311</v>
      </c>
      <c r="R126" s="368">
        <f t="shared" si="28"/>
        <v>2380124.1839592401</v>
      </c>
      <c r="AB126" s="367"/>
      <c r="AC126" s="368"/>
      <c r="AD126" s="368"/>
      <c r="AE126" s="368"/>
      <c r="AF126" s="368"/>
      <c r="AG126" s="368"/>
    </row>
    <row r="127" spans="1:33" x14ac:dyDescent="0.2">
      <c r="B127" s="368"/>
      <c r="C127" s="368">
        <f>SUM(C6:C125)</f>
        <v>3567257.220618038</v>
      </c>
      <c r="D127" s="368"/>
      <c r="E127" s="368"/>
      <c r="F127" s="368"/>
      <c r="L127" s="304">
        <f t="shared" si="17"/>
        <v>122</v>
      </c>
      <c r="M127" s="367">
        <v>46874</v>
      </c>
      <c r="N127" s="368">
        <f t="shared" si="26"/>
        <v>2380124.1839592401</v>
      </c>
      <c r="O127" s="368">
        <f t="shared" si="33"/>
        <v>374189.09031123563</v>
      </c>
      <c r="P127" s="368">
        <f t="shared" si="18"/>
        <v>8415.7224271158793</v>
      </c>
      <c r="Q127" s="368">
        <f t="shared" si="27"/>
        <v>365773.36788411974</v>
      </c>
      <c r="R127" s="368">
        <f t="shared" si="28"/>
        <v>2014350.8160751204</v>
      </c>
      <c r="AB127" s="367"/>
      <c r="AC127" s="368"/>
      <c r="AD127" s="368"/>
      <c r="AE127" s="368"/>
      <c r="AF127" s="368"/>
      <c r="AG127" s="368"/>
    </row>
    <row r="128" spans="1:33" x14ac:dyDescent="0.2">
      <c r="B128" s="368"/>
      <c r="C128" s="368">
        <f>+'[25]SCH_D2.17 '!U54*10</f>
        <v>3567260</v>
      </c>
      <c r="D128" s="368"/>
      <c r="E128" s="368"/>
      <c r="F128" s="368"/>
      <c r="L128" s="304">
        <f t="shared" si="17"/>
        <v>123</v>
      </c>
      <c r="M128" s="367">
        <v>46905</v>
      </c>
      <c r="N128" s="368">
        <f t="shared" si="26"/>
        <v>2014350.8160751204</v>
      </c>
      <c r="O128" s="368">
        <f t="shared" si="33"/>
        <v>374189.09031123563</v>
      </c>
      <c r="P128" s="368">
        <f t="shared" si="18"/>
        <v>7122.4087605056129</v>
      </c>
      <c r="Q128" s="368">
        <f t="shared" si="27"/>
        <v>367066.68155073002</v>
      </c>
      <c r="R128" s="368">
        <f t="shared" si="28"/>
        <v>1647284.1345243903</v>
      </c>
      <c r="AB128" s="367"/>
      <c r="AC128" s="368"/>
      <c r="AD128" s="368"/>
      <c r="AE128" s="368"/>
      <c r="AF128" s="368"/>
      <c r="AG128" s="368"/>
    </row>
    <row r="129" spans="2:33" x14ac:dyDescent="0.2">
      <c r="B129" s="368"/>
      <c r="C129" s="368"/>
      <c r="D129" s="368"/>
      <c r="E129" s="368"/>
      <c r="F129" s="368"/>
      <c r="L129" s="304">
        <f t="shared" si="17"/>
        <v>124</v>
      </c>
      <c r="M129" s="367">
        <v>46935</v>
      </c>
      <c r="N129" s="368">
        <f t="shared" si="26"/>
        <v>1647284.1345243903</v>
      </c>
      <c r="O129" s="368">
        <f t="shared" si="33"/>
        <v>374189.09031123563</v>
      </c>
      <c r="P129" s="368">
        <f t="shared" si="18"/>
        <v>5824.52215232249</v>
      </c>
      <c r="Q129" s="368">
        <f t="shared" si="27"/>
        <v>368364.56815891317</v>
      </c>
      <c r="R129" s="368">
        <f t="shared" si="28"/>
        <v>1278919.5663654772</v>
      </c>
      <c r="AB129" s="367"/>
      <c r="AC129" s="368"/>
      <c r="AD129" s="368"/>
      <c r="AE129" s="368"/>
      <c r="AF129" s="368"/>
      <c r="AG129" s="368"/>
    </row>
    <row r="130" spans="2:33" x14ac:dyDescent="0.2">
      <c r="B130" s="368"/>
      <c r="C130" s="368"/>
      <c r="D130" s="368"/>
      <c r="E130" s="368"/>
      <c r="F130" s="368"/>
      <c r="L130" s="304">
        <f t="shared" si="17"/>
        <v>125</v>
      </c>
      <c r="M130" s="367">
        <v>46966</v>
      </c>
      <c r="N130" s="368">
        <f t="shared" si="26"/>
        <v>1278919.5663654772</v>
      </c>
      <c r="O130" s="368">
        <f t="shared" si="33"/>
        <v>374189.09031123563</v>
      </c>
      <c r="P130" s="368">
        <f t="shared" si="18"/>
        <v>4522.0464334072667</v>
      </c>
      <c r="Q130" s="368">
        <f t="shared" si="27"/>
        <v>369667.04387782834</v>
      </c>
      <c r="R130" s="368">
        <f t="shared" si="28"/>
        <v>909252.52248764876</v>
      </c>
      <c r="AB130" s="367"/>
      <c r="AC130" s="368"/>
      <c r="AD130" s="368"/>
      <c r="AE130" s="368"/>
      <c r="AF130" s="368"/>
      <c r="AG130" s="368"/>
    </row>
    <row r="131" spans="2:33" x14ac:dyDescent="0.2">
      <c r="B131" s="368"/>
      <c r="C131" s="368"/>
      <c r="D131" s="368"/>
      <c r="E131" s="368"/>
      <c r="F131" s="368"/>
      <c r="L131" s="304">
        <f t="shared" si="17"/>
        <v>126</v>
      </c>
      <c r="M131" s="367">
        <v>46997</v>
      </c>
      <c r="N131" s="368">
        <f t="shared" si="26"/>
        <v>909252.52248764876</v>
      </c>
      <c r="O131" s="368">
        <f t="shared" si="33"/>
        <v>374189.09031123563</v>
      </c>
      <c r="P131" s="368">
        <f t="shared" si="18"/>
        <v>3214.9653774292451</v>
      </c>
      <c r="Q131" s="368">
        <f t="shared" si="27"/>
        <v>370974.12493380636</v>
      </c>
      <c r="R131" s="368">
        <f t="shared" si="28"/>
        <v>538278.3975538424</v>
      </c>
      <c r="AB131" s="367"/>
      <c r="AC131" s="368"/>
      <c r="AD131" s="368"/>
      <c r="AE131" s="368"/>
      <c r="AF131" s="368"/>
      <c r="AG131" s="368"/>
    </row>
    <row r="132" spans="2:33" x14ac:dyDescent="0.2">
      <c r="B132" s="368"/>
      <c r="C132" s="368"/>
      <c r="D132" s="368"/>
      <c r="E132" s="368"/>
      <c r="F132" s="368"/>
      <c r="L132" s="304">
        <f t="shared" si="17"/>
        <v>127</v>
      </c>
      <c r="M132" s="367">
        <v>47027</v>
      </c>
      <c r="N132" s="368">
        <f t="shared" si="26"/>
        <v>538278.3975538424</v>
      </c>
      <c r="O132" s="368">
        <f t="shared" si="33"/>
        <v>374189.09031123563</v>
      </c>
      <c r="P132" s="368">
        <f t="shared" si="18"/>
        <v>1903.2627006841278</v>
      </c>
      <c r="Q132" s="368">
        <f t="shared" si="27"/>
        <v>372285.8276105515</v>
      </c>
      <c r="R132" s="368">
        <f t="shared" si="28"/>
        <v>165992.5699432909</v>
      </c>
      <c r="AB132" s="367"/>
      <c r="AC132" s="368"/>
      <c r="AD132" s="368"/>
      <c r="AE132" s="368"/>
      <c r="AF132" s="368"/>
      <c r="AG132" s="368"/>
    </row>
    <row r="133" spans="2:33" x14ac:dyDescent="0.2">
      <c r="B133" s="368"/>
      <c r="C133" s="368"/>
      <c r="D133" s="368"/>
      <c r="E133" s="368"/>
      <c r="F133" s="368"/>
    </row>
    <row r="134" spans="2:33" x14ac:dyDescent="0.2">
      <c r="B134" s="368"/>
      <c r="C134" s="368"/>
      <c r="D134" s="368"/>
      <c r="E134" s="368"/>
      <c r="F134" s="368"/>
      <c r="N134" s="368"/>
      <c r="O134" s="368"/>
      <c r="P134" s="368"/>
      <c r="Q134" s="368"/>
      <c r="R134" s="368"/>
      <c r="AC134" s="368"/>
      <c r="AD134" s="368"/>
      <c r="AE134" s="368"/>
      <c r="AF134" s="368"/>
      <c r="AG134" s="368"/>
    </row>
    <row r="135" spans="2:33" ht="13.5" thickBot="1" x14ac:dyDescent="0.25">
      <c r="B135" s="368"/>
      <c r="C135" s="368"/>
      <c r="D135" s="368"/>
      <c r="E135" s="368"/>
      <c r="F135" s="368"/>
      <c r="N135" s="368"/>
      <c r="O135" s="368">
        <f>SUM(O6:O125)</f>
        <v>44528501.747037098</v>
      </c>
      <c r="P135" s="368"/>
      <c r="Q135" s="388">
        <f>SUM(Q6:Q133)</f>
        <v>37932781.070056722</v>
      </c>
      <c r="R135" s="368" t="s">
        <v>377</v>
      </c>
      <c r="AC135" s="368"/>
      <c r="AD135" s="368">
        <f>SUM(AD6:AD125)</f>
        <v>42283367.205169678</v>
      </c>
      <c r="AE135" s="368"/>
      <c r="AF135" s="388">
        <f>SUM(AF6:AF133)</f>
        <v>49751124.606895193</v>
      </c>
      <c r="AG135" s="368" t="s">
        <v>377</v>
      </c>
    </row>
    <row r="136" spans="2:33" ht="13.5" thickTop="1" x14ac:dyDescent="0.2">
      <c r="B136" s="368"/>
      <c r="C136" s="368"/>
      <c r="D136" s="368"/>
      <c r="E136" s="368"/>
      <c r="F136" s="368"/>
      <c r="N136" s="368"/>
      <c r="O136" s="368">
        <f>4490269*10</f>
        <v>44902690</v>
      </c>
      <c r="P136" s="368"/>
      <c r="Q136" s="368"/>
      <c r="R136" s="368"/>
      <c r="AC136" s="368"/>
      <c r="AD136" s="368">
        <f>4490269*10</f>
        <v>44902690</v>
      </c>
      <c r="AE136" s="368"/>
      <c r="AF136" s="368"/>
      <c r="AG136" s="368"/>
    </row>
    <row r="137" spans="2:33" x14ac:dyDescent="0.2">
      <c r="B137" s="368"/>
      <c r="C137" s="368"/>
      <c r="D137" s="368"/>
      <c r="E137" s="368"/>
      <c r="F137" s="368"/>
      <c r="N137" s="368"/>
      <c r="O137" s="368"/>
      <c r="P137" s="368"/>
      <c r="Q137" s="368"/>
      <c r="R137" s="368"/>
      <c r="AC137" s="368"/>
      <c r="AD137" s="368"/>
      <c r="AE137" s="368"/>
      <c r="AF137" s="368"/>
      <c r="AG137" s="368"/>
    </row>
    <row r="138" spans="2:33" x14ac:dyDescent="0.2">
      <c r="B138" s="368"/>
      <c r="C138" s="368"/>
      <c r="D138" s="368"/>
      <c r="E138" s="368"/>
      <c r="F138" s="368"/>
      <c r="N138" s="368"/>
      <c r="O138" s="368"/>
      <c r="P138" s="368"/>
      <c r="Q138" s="368"/>
      <c r="R138" s="368"/>
      <c r="AC138" s="368"/>
      <c r="AD138" s="368"/>
      <c r="AE138" s="368"/>
      <c r="AF138" s="368"/>
      <c r="AG138" s="368"/>
    </row>
    <row r="139" spans="2:33" x14ac:dyDescent="0.2">
      <c r="B139" s="368"/>
      <c r="C139" s="368"/>
      <c r="D139" s="368"/>
      <c r="E139" s="368"/>
      <c r="F139" s="368"/>
      <c r="N139" s="368"/>
      <c r="O139" s="368"/>
      <c r="P139" s="368"/>
      <c r="Q139" s="368"/>
      <c r="R139" s="368"/>
      <c r="AC139" s="368"/>
      <c r="AD139" s="368"/>
      <c r="AE139" s="368"/>
      <c r="AF139" s="368"/>
      <c r="AG139" s="368"/>
    </row>
    <row r="140" spans="2:33" x14ac:dyDescent="0.2">
      <c r="B140" s="368"/>
      <c r="C140" s="368"/>
      <c r="D140" s="368"/>
      <c r="E140" s="368"/>
      <c r="F140" s="368"/>
      <c r="N140" s="368"/>
      <c r="O140" s="368"/>
      <c r="P140" s="368"/>
      <c r="Q140" s="368"/>
      <c r="R140" s="368"/>
      <c r="AC140" s="368"/>
      <c r="AD140" s="368"/>
      <c r="AE140" s="368"/>
      <c r="AF140" s="368"/>
      <c r="AG140" s="368"/>
    </row>
    <row r="141" spans="2:33" x14ac:dyDescent="0.2">
      <c r="B141" s="368"/>
      <c r="C141" s="368"/>
      <c r="D141" s="368"/>
      <c r="E141" s="368"/>
      <c r="F141" s="368"/>
      <c r="N141" s="368"/>
      <c r="O141" s="368"/>
      <c r="P141" s="368"/>
      <c r="Q141" s="368"/>
      <c r="R141" s="368"/>
      <c r="AC141" s="368"/>
      <c r="AD141" s="368"/>
      <c r="AE141" s="368"/>
      <c r="AF141" s="368"/>
      <c r="AG141" s="368"/>
    </row>
    <row r="142" spans="2:33" x14ac:dyDescent="0.2">
      <c r="B142" s="368"/>
      <c r="C142" s="368"/>
      <c r="D142" s="368"/>
      <c r="E142" s="368"/>
      <c r="F142" s="368"/>
      <c r="N142" s="368"/>
      <c r="O142" s="368"/>
      <c r="P142" s="368"/>
      <c r="Q142" s="368"/>
      <c r="R142" s="368"/>
      <c r="AC142" s="368"/>
      <c r="AD142" s="368"/>
      <c r="AE142" s="368"/>
      <c r="AF142" s="368"/>
      <c r="AG142" s="368"/>
    </row>
    <row r="143" spans="2:33" x14ac:dyDescent="0.2">
      <c r="B143" s="368"/>
      <c r="C143" s="368"/>
      <c r="D143" s="368"/>
      <c r="E143" s="368"/>
      <c r="F143" s="368"/>
      <c r="N143" s="368"/>
      <c r="O143" s="368"/>
      <c r="P143" s="368"/>
      <c r="Q143" s="368"/>
      <c r="R143" s="368"/>
      <c r="AC143" s="368"/>
      <c r="AD143" s="368"/>
      <c r="AE143" s="368"/>
      <c r="AF143" s="368"/>
      <c r="AG143" s="368"/>
    </row>
    <row r="144" spans="2:33" x14ac:dyDescent="0.2">
      <c r="B144" s="368"/>
      <c r="C144" s="368"/>
      <c r="D144" s="368"/>
      <c r="E144" s="368"/>
      <c r="F144" s="368"/>
      <c r="N144" s="368"/>
      <c r="O144" s="368"/>
      <c r="P144" s="368"/>
      <c r="Q144" s="368"/>
      <c r="R144" s="368"/>
      <c r="AC144" s="368"/>
      <c r="AD144" s="368"/>
      <c r="AE144" s="368"/>
      <c r="AF144" s="368"/>
      <c r="AG144" s="368"/>
    </row>
    <row r="145" spans="2:33" x14ac:dyDescent="0.2">
      <c r="B145" s="368"/>
      <c r="C145" s="368"/>
      <c r="D145" s="368"/>
      <c r="E145" s="368"/>
      <c r="F145" s="368"/>
      <c r="N145" s="368"/>
      <c r="O145" s="368"/>
      <c r="P145" s="368"/>
      <c r="Q145" s="368"/>
      <c r="R145" s="368"/>
      <c r="AC145" s="368"/>
      <c r="AD145" s="368"/>
      <c r="AE145" s="368"/>
      <c r="AF145" s="368"/>
      <c r="AG145" s="368"/>
    </row>
    <row r="146" spans="2:33" x14ac:dyDescent="0.2">
      <c r="B146" s="368"/>
      <c r="C146" s="368"/>
      <c r="D146" s="368"/>
      <c r="E146" s="368"/>
      <c r="F146" s="368"/>
      <c r="N146" s="368"/>
      <c r="O146" s="368"/>
      <c r="P146" s="368"/>
      <c r="Q146" s="368"/>
      <c r="R146" s="368"/>
      <c r="AC146" s="368"/>
      <c r="AD146" s="368"/>
      <c r="AE146" s="368"/>
      <c r="AF146" s="368"/>
      <c r="AG146" s="368"/>
    </row>
    <row r="147" spans="2:33" x14ac:dyDescent="0.2">
      <c r="B147" s="368"/>
      <c r="C147" s="368"/>
      <c r="D147" s="368"/>
      <c r="E147" s="368"/>
      <c r="F147" s="368"/>
      <c r="N147" s="368"/>
      <c r="O147" s="368"/>
      <c r="P147" s="368"/>
      <c r="Q147" s="368"/>
      <c r="R147" s="368"/>
      <c r="AC147" s="368"/>
      <c r="AD147" s="368"/>
      <c r="AE147" s="368"/>
      <c r="AF147" s="368"/>
      <c r="AG147" s="368"/>
    </row>
    <row r="148" spans="2:33" x14ac:dyDescent="0.2">
      <c r="B148" s="368"/>
      <c r="C148" s="368"/>
      <c r="D148" s="368"/>
      <c r="E148" s="368"/>
      <c r="F148" s="368"/>
      <c r="N148" s="368"/>
      <c r="O148" s="368"/>
      <c r="P148" s="368"/>
      <c r="Q148" s="368"/>
      <c r="R148" s="368"/>
      <c r="AC148" s="368"/>
      <c r="AD148" s="368"/>
      <c r="AE148" s="368"/>
      <c r="AF148" s="368"/>
      <c r="AG148" s="368"/>
    </row>
    <row r="149" spans="2:33" x14ac:dyDescent="0.2">
      <c r="B149" s="368"/>
      <c r="C149" s="368"/>
      <c r="D149" s="368"/>
      <c r="E149" s="368"/>
      <c r="F149" s="368"/>
      <c r="N149" s="368"/>
      <c r="O149" s="368"/>
      <c r="P149" s="368"/>
      <c r="Q149" s="368"/>
      <c r="R149" s="368"/>
      <c r="AC149" s="368"/>
      <c r="AD149" s="368"/>
      <c r="AE149" s="368"/>
      <c r="AF149" s="368"/>
      <c r="AG149" s="368"/>
    </row>
    <row r="150" spans="2:33" x14ac:dyDescent="0.2">
      <c r="B150" s="368"/>
      <c r="C150" s="368"/>
      <c r="D150" s="368"/>
      <c r="E150" s="368"/>
      <c r="F150" s="368"/>
      <c r="N150" s="368"/>
      <c r="O150" s="368"/>
      <c r="P150" s="368"/>
      <c r="Q150" s="368"/>
      <c r="R150" s="368"/>
      <c r="AC150" s="368"/>
      <c r="AD150" s="368"/>
      <c r="AE150" s="368"/>
      <c r="AF150" s="368"/>
      <c r="AG150" s="368"/>
    </row>
    <row r="151" spans="2:33" x14ac:dyDescent="0.2">
      <c r="B151" s="368"/>
      <c r="C151" s="368"/>
      <c r="D151" s="368"/>
      <c r="E151" s="368"/>
      <c r="F151" s="368"/>
      <c r="N151" s="368"/>
      <c r="O151" s="368"/>
      <c r="P151" s="368"/>
      <c r="Q151" s="368"/>
      <c r="R151" s="368"/>
      <c r="AC151" s="368"/>
      <c r="AD151" s="368"/>
      <c r="AE151" s="368"/>
      <c r="AF151" s="368"/>
      <c r="AG151" s="368"/>
    </row>
    <row r="152" spans="2:33" x14ac:dyDescent="0.2">
      <c r="B152" s="368"/>
      <c r="C152" s="368"/>
      <c r="D152" s="368"/>
      <c r="E152" s="368"/>
      <c r="F152" s="368"/>
      <c r="N152" s="368"/>
      <c r="O152" s="368"/>
      <c r="P152" s="368"/>
      <c r="Q152" s="368"/>
      <c r="R152" s="368"/>
      <c r="AC152" s="368"/>
      <c r="AD152" s="368"/>
      <c r="AE152" s="368"/>
      <c r="AF152" s="368"/>
      <c r="AG152" s="368"/>
    </row>
  </sheetData>
  <pageMargins left="0.7" right="0.7" top="0.75" bottom="0.75" header="0.3" footer="0.3"/>
  <pageSetup scale="65" fitToHeight="0"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rowBreaks count="1" manualBreakCount="1">
    <brk id="101" min="11" max="2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4"/>
  <sheetViews>
    <sheetView view="pageLayout" zoomScaleNormal="100" workbookViewId="0">
      <selection activeCell="E9" sqref="E9"/>
    </sheetView>
  </sheetViews>
  <sheetFormatPr defaultRowHeight="12.75" x14ac:dyDescent="0.2"/>
  <cols>
    <col min="1" max="1" width="7.28515625" style="298" customWidth="1"/>
    <col min="2" max="2" width="9.140625" style="298"/>
    <col min="3" max="3" width="11.42578125" style="298" customWidth="1"/>
    <col min="4" max="4" width="11.28515625" style="298" customWidth="1"/>
    <col min="5" max="5" width="15.7109375" style="298" bestFit="1" customWidth="1"/>
    <col min="6" max="6" width="26.42578125" style="298" customWidth="1"/>
    <col min="7" max="7" width="5.7109375" style="298" customWidth="1"/>
    <col min="8" max="8" width="13.85546875" style="298" bestFit="1" customWidth="1"/>
    <col min="9" max="9" width="9.140625" style="298"/>
    <col min="10" max="10" width="11.140625" style="298" bestFit="1" customWidth="1"/>
    <col min="11" max="256" width="9.140625" style="298"/>
    <col min="257" max="257" width="7.28515625" style="298" customWidth="1"/>
    <col min="258" max="258" width="9.140625" style="298"/>
    <col min="259" max="259" width="11.42578125" style="298" customWidth="1"/>
    <col min="260" max="260" width="11.28515625" style="298" customWidth="1"/>
    <col min="261" max="261" width="15.7109375" style="298" bestFit="1" customWidth="1"/>
    <col min="262" max="262" width="26.42578125" style="298" customWidth="1"/>
    <col min="263" max="263" width="5.7109375" style="298" customWidth="1"/>
    <col min="264" max="264" width="13.85546875" style="298" bestFit="1" customWidth="1"/>
    <col min="265" max="265" width="9.140625" style="298"/>
    <col min="266" max="266" width="11.140625" style="298" bestFit="1" customWidth="1"/>
    <col min="267" max="512" width="9.140625" style="298"/>
    <col min="513" max="513" width="7.28515625" style="298" customWidth="1"/>
    <col min="514" max="514" width="9.140625" style="298"/>
    <col min="515" max="515" width="11.42578125" style="298" customWidth="1"/>
    <col min="516" max="516" width="11.28515625" style="298" customWidth="1"/>
    <col min="517" max="517" width="15.7109375" style="298" bestFit="1" customWidth="1"/>
    <col min="518" max="518" width="26.42578125" style="298" customWidth="1"/>
    <col min="519" max="519" width="5.7109375" style="298" customWidth="1"/>
    <col min="520" max="520" width="13.85546875" style="298" bestFit="1" customWidth="1"/>
    <col min="521" max="521" width="9.140625" style="298"/>
    <col min="522" max="522" width="11.140625" style="298" bestFit="1" customWidth="1"/>
    <col min="523" max="768" width="9.140625" style="298"/>
    <col min="769" max="769" width="7.28515625" style="298" customWidth="1"/>
    <col min="770" max="770" width="9.140625" style="298"/>
    <col min="771" max="771" width="11.42578125" style="298" customWidth="1"/>
    <col min="772" max="772" width="11.28515625" style="298" customWidth="1"/>
    <col min="773" max="773" width="15.7109375" style="298" bestFit="1" customWidth="1"/>
    <col min="774" max="774" width="26.42578125" style="298" customWidth="1"/>
    <col min="775" max="775" width="5.7109375" style="298" customWidth="1"/>
    <col min="776" max="776" width="13.85546875" style="298" bestFit="1" customWidth="1"/>
    <col min="777" max="777" width="9.140625" style="298"/>
    <col min="778" max="778" width="11.140625" style="298" bestFit="1" customWidth="1"/>
    <col min="779" max="1024" width="9.140625" style="298"/>
    <col min="1025" max="1025" width="7.28515625" style="298" customWidth="1"/>
    <col min="1026" max="1026" width="9.140625" style="298"/>
    <col min="1027" max="1027" width="11.42578125" style="298" customWidth="1"/>
    <col min="1028" max="1028" width="11.28515625" style="298" customWidth="1"/>
    <col min="1029" max="1029" width="15.7109375" style="298" bestFit="1" customWidth="1"/>
    <col min="1030" max="1030" width="26.42578125" style="298" customWidth="1"/>
    <col min="1031" max="1031" width="5.7109375" style="298" customWidth="1"/>
    <col min="1032" max="1032" width="13.85546875" style="298" bestFit="1" customWidth="1"/>
    <col min="1033" max="1033" width="9.140625" style="298"/>
    <col min="1034" max="1034" width="11.140625" style="298" bestFit="1" customWidth="1"/>
    <col min="1035" max="1280" width="9.140625" style="298"/>
    <col min="1281" max="1281" width="7.28515625" style="298" customWidth="1"/>
    <col min="1282" max="1282" width="9.140625" style="298"/>
    <col min="1283" max="1283" width="11.42578125" style="298" customWidth="1"/>
    <col min="1284" max="1284" width="11.28515625" style="298" customWidth="1"/>
    <col min="1285" max="1285" width="15.7109375" style="298" bestFit="1" customWidth="1"/>
    <col min="1286" max="1286" width="26.42578125" style="298" customWidth="1"/>
    <col min="1287" max="1287" width="5.7109375" style="298" customWidth="1"/>
    <col min="1288" max="1288" width="13.85546875" style="298" bestFit="1" customWidth="1"/>
    <col min="1289" max="1289" width="9.140625" style="298"/>
    <col min="1290" max="1290" width="11.140625" style="298" bestFit="1" customWidth="1"/>
    <col min="1291" max="1536" width="9.140625" style="298"/>
    <col min="1537" max="1537" width="7.28515625" style="298" customWidth="1"/>
    <col min="1538" max="1538" width="9.140625" style="298"/>
    <col min="1539" max="1539" width="11.42578125" style="298" customWidth="1"/>
    <col min="1540" max="1540" width="11.28515625" style="298" customWidth="1"/>
    <col min="1541" max="1541" width="15.7109375" style="298" bestFit="1" customWidth="1"/>
    <col min="1542" max="1542" width="26.42578125" style="298" customWidth="1"/>
    <col min="1543" max="1543" width="5.7109375" style="298" customWidth="1"/>
    <col min="1544" max="1544" width="13.85546875" style="298" bestFit="1" customWidth="1"/>
    <col min="1545" max="1545" width="9.140625" style="298"/>
    <col min="1546" max="1546" width="11.140625" style="298" bestFit="1" customWidth="1"/>
    <col min="1547" max="1792" width="9.140625" style="298"/>
    <col min="1793" max="1793" width="7.28515625" style="298" customWidth="1"/>
    <col min="1794" max="1794" width="9.140625" style="298"/>
    <col min="1795" max="1795" width="11.42578125" style="298" customWidth="1"/>
    <col min="1796" max="1796" width="11.28515625" style="298" customWidth="1"/>
    <col min="1797" max="1797" width="15.7109375" style="298" bestFit="1" customWidth="1"/>
    <col min="1798" max="1798" width="26.42578125" style="298" customWidth="1"/>
    <col min="1799" max="1799" width="5.7109375" style="298" customWidth="1"/>
    <col min="1800" max="1800" width="13.85546875" style="298" bestFit="1" customWidth="1"/>
    <col min="1801" max="1801" width="9.140625" style="298"/>
    <col min="1802" max="1802" width="11.140625" style="298" bestFit="1" customWidth="1"/>
    <col min="1803" max="2048" width="9.140625" style="298"/>
    <col min="2049" max="2049" width="7.28515625" style="298" customWidth="1"/>
    <col min="2050" max="2050" width="9.140625" style="298"/>
    <col min="2051" max="2051" width="11.42578125" style="298" customWidth="1"/>
    <col min="2052" max="2052" width="11.28515625" style="298" customWidth="1"/>
    <col min="2053" max="2053" width="15.7109375" style="298" bestFit="1" customWidth="1"/>
    <col min="2054" max="2054" width="26.42578125" style="298" customWidth="1"/>
    <col min="2055" max="2055" width="5.7109375" style="298" customWidth="1"/>
    <col min="2056" max="2056" width="13.85546875" style="298" bestFit="1" customWidth="1"/>
    <col min="2057" max="2057" width="9.140625" style="298"/>
    <col min="2058" max="2058" width="11.140625" style="298" bestFit="1" customWidth="1"/>
    <col min="2059" max="2304" width="9.140625" style="298"/>
    <col min="2305" max="2305" width="7.28515625" style="298" customWidth="1"/>
    <col min="2306" max="2306" width="9.140625" style="298"/>
    <col min="2307" max="2307" width="11.42578125" style="298" customWidth="1"/>
    <col min="2308" max="2308" width="11.28515625" style="298" customWidth="1"/>
    <col min="2309" max="2309" width="15.7109375" style="298" bestFit="1" customWidth="1"/>
    <col min="2310" max="2310" width="26.42578125" style="298" customWidth="1"/>
    <col min="2311" max="2311" width="5.7109375" style="298" customWidth="1"/>
    <col min="2312" max="2312" width="13.85546875" style="298" bestFit="1" customWidth="1"/>
    <col min="2313" max="2313" width="9.140625" style="298"/>
    <col min="2314" max="2314" width="11.140625" style="298" bestFit="1" customWidth="1"/>
    <col min="2315" max="2560" width="9.140625" style="298"/>
    <col min="2561" max="2561" width="7.28515625" style="298" customWidth="1"/>
    <col min="2562" max="2562" width="9.140625" style="298"/>
    <col min="2563" max="2563" width="11.42578125" style="298" customWidth="1"/>
    <col min="2564" max="2564" width="11.28515625" style="298" customWidth="1"/>
    <col min="2565" max="2565" width="15.7109375" style="298" bestFit="1" customWidth="1"/>
    <col min="2566" max="2566" width="26.42578125" style="298" customWidth="1"/>
    <col min="2567" max="2567" width="5.7109375" style="298" customWidth="1"/>
    <col min="2568" max="2568" width="13.85546875" style="298" bestFit="1" customWidth="1"/>
    <col min="2569" max="2569" width="9.140625" style="298"/>
    <col min="2570" max="2570" width="11.140625" style="298" bestFit="1" customWidth="1"/>
    <col min="2571" max="2816" width="9.140625" style="298"/>
    <col min="2817" max="2817" width="7.28515625" style="298" customWidth="1"/>
    <col min="2818" max="2818" width="9.140625" style="298"/>
    <col min="2819" max="2819" width="11.42578125" style="298" customWidth="1"/>
    <col min="2820" max="2820" width="11.28515625" style="298" customWidth="1"/>
    <col min="2821" max="2821" width="15.7109375" style="298" bestFit="1" customWidth="1"/>
    <col min="2822" max="2822" width="26.42578125" style="298" customWidth="1"/>
    <col min="2823" max="2823" width="5.7109375" style="298" customWidth="1"/>
    <col min="2824" max="2824" width="13.85546875" style="298" bestFit="1" customWidth="1"/>
    <col min="2825" max="2825" width="9.140625" style="298"/>
    <col min="2826" max="2826" width="11.140625" style="298" bestFit="1" customWidth="1"/>
    <col min="2827" max="3072" width="9.140625" style="298"/>
    <col min="3073" max="3073" width="7.28515625" style="298" customWidth="1"/>
    <col min="3074" max="3074" width="9.140625" style="298"/>
    <col min="3075" max="3075" width="11.42578125" style="298" customWidth="1"/>
    <col min="3076" max="3076" width="11.28515625" style="298" customWidth="1"/>
    <col min="3077" max="3077" width="15.7109375" style="298" bestFit="1" customWidth="1"/>
    <col min="3078" max="3078" width="26.42578125" style="298" customWidth="1"/>
    <col min="3079" max="3079" width="5.7109375" style="298" customWidth="1"/>
    <col min="3080" max="3080" width="13.85546875" style="298" bestFit="1" customWidth="1"/>
    <col min="3081" max="3081" width="9.140625" style="298"/>
    <col min="3082" max="3082" width="11.140625" style="298" bestFit="1" customWidth="1"/>
    <col min="3083" max="3328" width="9.140625" style="298"/>
    <col min="3329" max="3329" width="7.28515625" style="298" customWidth="1"/>
    <col min="3330" max="3330" width="9.140625" style="298"/>
    <col min="3331" max="3331" width="11.42578125" style="298" customWidth="1"/>
    <col min="3332" max="3332" width="11.28515625" style="298" customWidth="1"/>
    <col min="3333" max="3333" width="15.7109375" style="298" bestFit="1" customWidth="1"/>
    <col min="3334" max="3334" width="26.42578125" style="298" customWidth="1"/>
    <col min="3335" max="3335" width="5.7109375" style="298" customWidth="1"/>
    <col min="3336" max="3336" width="13.85546875" style="298" bestFit="1" customWidth="1"/>
    <col min="3337" max="3337" width="9.140625" style="298"/>
    <col min="3338" max="3338" width="11.140625" style="298" bestFit="1" customWidth="1"/>
    <col min="3339" max="3584" width="9.140625" style="298"/>
    <col min="3585" max="3585" width="7.28515625" style="298" customWidth="1"/>
    <col min="3586" max="3586" width="9.140625" style="298"/>
    <col min="3587" max="3587" width="11.42578125" style="298" customWidth="1"/>
    <col min="3588" max="3588" width="11.28515625" style="298" customWidth="1"/>
    <col min="3589" max="3589" width="15.7109375" style="298" bestFit="1" customWidth="1"/>
    <col min="3590" max="3590" width="26.42578125" style="298" customWidth="1"/>
    <col min="3591" max="3591" width="5.7109375" style="298" customWidth="1"/>
    <col min="3592" max="3592" width="13.85546875" style="298" bestFit="1" customWidth="1"/>
    <col min="3593" max="3593" width="9.140625" style="298"/>
    <col min="3594" max="3594" width="11.140625" style="298" bestFit="1" customWidth="1"/>
    <col min="3595" max="3840" width="9.140625" style="298"/>
    <col min="3841" max="3841" width="7.28515625" style="298" customWidth="1"/>
    <col min="3842" max="3842" width="9.140625" style="298"/>
    <col min="3843" max="3843" width="11.42578125" style="298" customWidth="1"/>
    <col min="3844" max="3844" width="11.28515625" style="298" customWidth="1"/>
    <col min="3845" max="3845" width="15.7109375" style="298" bestFit="1" customWidth="1"/>
    <col min="3846" max="3846" width="26.42578125" style="298" customWidth="1"/>
    <col min="3847" max="3847" width="5.7109375" style="298" customWidth="1"/>
    <col min="3848" max="3848" width="13.85546875" style="298" bestFit="1" customWidth="1"/>
    <col min="3849" max="3849" width="9.140625" style="298"/>
    <col min="3850" max="3850" width="11.140625" style="298" bestFit="1" customWidth="1"/>
    <col min="3851" max="4096" width="9.140625" style="298"/>
    <col min="4097" max="4097" width="7.28515625" style="298" customWidth="1"/>
    <col min="4098" max="4098" width="9.140625" style="298"/>
    <col min="4099" max="4099" width="11.42578125" style="298" customWidth="1"/>
    <col min="4100" max="4100" width="11.28515625" style="298" customWidth="1"/>
    <col min="4101" max="4101" width="15.7109375" style="298" bestFit="1" customWidth="1"/>
    <col min="4102" max="4102" width="26.42578125" style="298" customWidth="1"/>
    <col min="4103" max="4103" width="5.7109375" style="298" customWidth="1"/>
    <col min="4104" max="4104" width="13.85546875" style="298" bestFit="1" customWidth="1"/>
    <col min="4105" max="4105" width="9.140625" style="298"/>
    <col min="4106" max="4106" width="11.140625" style="298" bestFit="1" customWidth="1"/>
    <col min="4107" max="4352" width="9.140625" style="298"/>
    <col min="4353" max="4353" width="7.28515625" style="298" customWidth="1"/>
    <col min="4354" max="4354" width="9.140625" style="298"/>
    <col min="4355" max="4355" width="11.42578125" style="298" customWidth="1"/>
    <col min="4356" max="4356" width="11.28515625" style="298" customWidth="1"/>
    <col min="4357" max="4357" width="15.7109375" style="298" bestFit="1" customWidth="1"/>
    <col min="4358" max="4358" width="26.42578125" style="298" customWidth="1"/>
    <col min="4359" max="4359" width="5.7109375" style="298" customWidth="1"/>
    <col min="4360" max="4360" width="13.85546875" style="298" bestFit="1" customWidth="1"/>
    <col min="4361" max="4361" width="9.140625" style="298"/>
    <col min="4362" max="4362" width="11.140625" style="298" bestFit="1" customWidth="1"/>
    <col min="4363" max="4608" width="9.140625" style="298"/>
    <col min="4609" max="4609" width="7.28515625" style="298" customWidth="1"/>
    <col min="4610" max="4610" width="9.140625" style="298"/>
    <col min="4611" max="4611" width="11.42578125" style="298" customWidth="1"/>
    <col min="4612" max="4612" width="11.28515625" style="298" customWidth="1"/>
    <col min="4613" max="4613" width="15.7109375" style="298" bestFit="1" customWidth="1"/>
    <col min="4614" max="4614" width="26.42578125" style="298" customWidth="1"/>
    <col min="4615" max="4615" width="5.7109375" style="298" customWidth="1"/>
    <col min="4616" max="4616" width="13.85546875" style="298" bestFit="1" customWidth="1"/>
    <col min="4617" max="4617" width="9.140625" style="298"/>
    <col min="4618" max="4618" width="11.140625" style="298" bestFit="1" customWidth="1"/>
    <col min="4619" max="4864" width="9.140625" style="298"/>
    <col min="4865" max="4865" width="7.28515625" style="298" customWidth="1"/>
    <col min="4866" max="4866" width="9.140625" style="298"/>
    <col min="4867" max="4867" width="11.42578125" style="298" customWidth="1"/>
    <col min="4868" max="4868" width="11.28515625" style="298" customWidth="1"/>
    <col min="4869" max="4869" width="15.7109375" style="298" bestFit="1" customWidth="1"/>
    <col min="4870" max="4870" width="26.42578125" style="298" customWidth="1"/>
    <col min="4871" max="4871" width="5.7109375" style="298" customWidth="1"/>
    <col min="4872" max="4872" width="13.85546875" style="298" bestFit="1" customWidth="1"/>
    <col min="4873" max="4873" width="9.140625" style="298"/>
    <col min="4874" max="4874" width="11.140625" style="298" bestFit="1" customWidth="1"/>
    <col min="4875" max="5120" width="9.140625" style="298"/>
    <col min="5121" max="5121" width="7.28515625" style="298" customWidth="1"/>
    <col min="5122" max="5122" width="9.140625" style="298"/>
    <col min="5123" max="5123" width="11.42578125" style="298" customWidth="1"/>
    <col min="5124" max="5124" width="11.28515625" style="298" customWidth="1"/>
    <col min="5125" max="5125" width="15.7109375" style="298" bestFit="1" customWidth="1"/>
    <col min="5126" max="5126" width="26.42578125" style="298" customWidth="1"/>
    <col min="5127" max="5127" width="5.7109375" style="298" customWidth="1"/>
    <col min="5128" max="5128" width="13.85546875" style="298" bestFit="1" customWidth="1"/>
    <col min="5129" max="5129" width="9.140625" style="298"/>
    <col min="5130" max="5130" width="11.140625" style="298" bestFit="1" customWidth="1"/>
    <col min="5131" max="5376" width="9.140625" style="298"/>
    <col min="5377" max="5377" width="7.28515625" style="298" customWidth="1"/>
    <col min="5378" max="5378" width="9.140625" style="298"/>
    <col min="5379" max="5379" width="11.42578125" style="298" customWidth="1"/>
    <col min="5380" max="5380" width="11.28515625" style="298" customWidth="1"/>
    <col min="5381" max="5381" width="15.7109375" style="298" bestFit="1" customWidth="1"/>
    <col min="5382" max="5382" width="26.42578125" style="298" customWidth="1"/>
    <col min="5383" max="5383" width="5.7109375" style="298" customWidth="1"/>
    <col min="5384" max="5384" width="13.85546875" style="298" bestFit="1" customWidth="1"/>
    <col min="5385" max="5385" width="9.140625" style="298"/>
    <col min="5386" max="5386" width="11.140625" style="298" bestFit="1" customWidth="1"/>
    <col min="5387" max="5632" width="9.140625" style="298"/>
    <col min="5633" max="5633" width="7.28515625" style="298" customWidth="1"/>
    <col min="5634" max="5634" width="9.140625" style="298"/>
    <col min="5635" max="5635" width="11.42578125" style="298" customWidth="1"/>
    <col min="5636" max="5636" width="11.28515625" style="298" customWidth="1"/>
    <col min="5637" max="5637" width="15.7109375" style="298" bestFit="1" customWidth="1"/>
    <col min="5638" max="5638" width="26.42578125" style="298" customWidth="1"/>
    <col min="5639" max="5639" width="5.7109375" style="298" customWidth="1"/>
    <col min="5640" max="5640" width="13.85546875" style="298" bestFit="1" customWidth="1"/>
    <col min="5641" max="5641" width="9.140625" style="298"/>
    <col min="5642" max="5642" width="11.140625" style="298" bestFit="1" customWidth="1"/>
    <col min="5643" max="5888" width="9.140625" style="298"/>
    <col min="5889" max="5889" width="7.28515625" style="298" customWidth="1"/>
    <col min="5890" max="5890" width="9.140625" style="298"/>
    <col min="5891" max="5891" width="11.42578125" style="298" customWidth="1"/>
    <col min="5892" max="5892" width="11.28515625" style="298" customWidth="1"/>
    <col min="5893" max="5893" width="15.7109375" style="298" bestFit="1" customWidth="1"/>
    <col min="5894" max="5894" width="26.42578125" style="298" customWidth="1"/>
    <col min="5895" max="5895" width="5.7109375" style="298" customWidth="1"/>
    <col min="5896" max="5896" width="13.85546875" style="298" bestFit="1" customWidth="1"/>
    <col min="5897" max="5897" width="9.140625" style="298"/>
    <col min="5898" max="5898" width="11.140625" style="298" bestFit="1" customWidth="1"/>
    <col min="5899" max="6144" width="9.140625" style="298"/>
    <col min="6145" max="6145" width="7.28515625" style="298" customWidth="1"/>
    <col min="6146" max="6146" width="9.140625" style="298"/>
    <col min="6147" max="6147" width="11.42578125" style="298" customWidth="1"/>
    <col min="6148" max="6148" width="11.28515625" style="298" customWidth="1"/>
    <col min="6149" max="6149" width="15.7109375" style="298" bestFit="1" customWidth="1"/>
    <col min="6150" max="6150" width="26.42578125" style="298" customWidth="1"/>
    <col min="6151" max="6151" width="5.7109375" style="298" customWidth="1"/>
    <col min="6152" max="6152" width="13.85546875" style="298" bestFit="1" customWidth="1"/>
    <col min="6153" max="6153" width="9.140625" style="298"/>
    <col min="6154" max="6154" width="11.140625" style="298" bestFit="1" customWidth="1"/>
    <col min="6155" max="6400" width="9.140625" style="298"/>
    <col min="6401" max="6401" width="7.28515625" style="298" customWidth="1"/>
    <col min="6402" max="6402" width="9.140625" style="298"/>
    <col min="6403" max="6403" width="11.42578125" style="298" customWidth="1"/>
    <col min="6404" max="6404" width="11.28515625" style="298" customWidth="1"/>
    <col min="6405" max="6405" width="15.7109375" style="298" bestFit="1" customWidth="1"/>
    <col min="6406" max="6406" width="26.42578125" style="298" customWidth="1"/>
    <col min="6407" max="6407" width="5.7109375" style="298" customWidth="1"/>
    <col min="6408" max="6408" width="13.85546875" style="298" bestFit="1" customWidth="1"/>
    <col min="6409" max="6409" width="9.140625" style="298"/>
    <col min="6410" max="6410" width="11.140625" style="298" bestFit="1" customWidth="1"/>
    <col min="6411" max="6656" width="9.140625" style="298"/>
    <col min="6657" max="6657" width="7.28515625" style="298" customWidth="1"/>
    <col min="6658" max="6658" width="9.140625" style="298"/>
    <col min="6659" max="6659" width="11.42578125" style="298" customWidth="1"/>
    <col min="6660" max="6660" width="11.28515625" style="298" customWidth="1"/>
    <col min="6661" max="6661" width="15.7109375" style="298" bestFit="1" customWidth="1"/>
    <col min="6662" max="6662" width="26.42578125" style="298" customWidth="1"/>
    <col min="6663" max="6663" width="5.7109375" style="298" customWidth="1"/>
    <col min="6664" max="6664" width="13.85546875" style="298" bestFit="1" customWidth="1"/>
    <col min="6665" max="6665" width="9.140625" style="298"/>
    <col min="6666" max="6666" width="11.140625" style="298" bestFit="1" customWidth="1"/>
    <col min="6667" max="6912" width="9.140625" style="298"/>
    <col min="6913" max="6913" width="7.28515625" style="298" customWidth="1"/>
    <col min="6914" max="6914" width="9.140625" style="298"/>
    <col min="6915" max="6915" width="11.42578125" style="298" customWidth="1"/>
    <col min="6916" max="6916" width="11.28515625" style="298" customWidth="1"/>
    <col min="6917" max="6917" width="15.7109375" style="298" bestFit="1" customWidth="1"/>
    <col min="6918" max="6918" width="26.42578125" style="298" customWidth="1"/>
    <col min="6919" max="6919" width="5.7109375" style="298" customWidth="1"/>
    <col min="6920" max="6920" width="13.85546875" style="298" bestFit="1" customWidth="1"/>
    <col min="6921" max="6921" width="9.140625" style="298"/>
    <col min="6922" max="6922" width="11.140625" style="298" bestFit="1" customWidth="1"/>
    <col min="6923" max="7168" width="9.140625" style="298"/>
    <col min="7169" max="7169" width="7.28515625" style="298" customWidth="1"/>
    <col min="7170" max="7170" width="9.140625" style="298"/>
    <col min="7171" max="7171" width="11.42578125" style="298" customWidth="1"/>
    <col min="7172" max="7172" width="11.28515625" style="298" customWidth="1"/>
    <col min="7173" max="7173" width="15.7109375" style="298" bestFit="1" customWidth="1"/>
    <col min="7174" max="7174" width="26.42578125" style="298" customWidth="1"/>
    <col min="7175" max="7175" width="5.7109375" style="298" customWidth="1"/>
    <col min="7176" max="7176" width="13.85546875" style="298" bestFit="1" customWidth="1"/>
    <col min="7177" max="7177" width="9.140625" style="298"/>
    <col min="7178" max="7178" width="11.140625" style="298" bestFit="1" customWidth="1"/>
    <col min="7179" max="7424" width="9.140625" style="298"/>
    <col min="7425" max="7425" width="7.28515625" style="298" customWidth="1"/>
    <col min="7426" max="7426" width="9.140625" style="298"/>
    <col min="7427" max="7427" width="11.42578125" style="298" customWidth="1"/>
    <col min="7428" max="7428" width="11.28515625" style="298" customWidth="1"/>
    <col min="7429" max="7429" width="15.7109375" style="298" bestFit="1" customWidth="1"/>
    <col min="7430" max="7430" width="26.42578125" style="298" customWidth="1"/>
    <col min="7431" max="7431" width="5.7109375" style="298" customWidth="1"/>
    <col min="7432" max="7432" width="13.85546875" style="298" bestFit="1" customWidth="1"/>
    <col min="7433" max="7433" width="9.140625" style="298"/>
    <col min="7434" max="7434" width="11.140625" style="298" bestFit="1" customWidth="1"/>
    <col min="7435" max="7680" width="9.140625" style="298"/>
    <col min="7681" max="7681" width="7.28515625" style="298" customWidth="1"/>
    <col min="7682" max="7682" width="9.140625" style="298"/>
    <col min="7683" max="7683" width="11.42578125" style="298" customWidth="1"/>
    <col min="7684" max="7684" width="11.28515625" style="298" customWidth="1"/>
    <col min="7685" max="7685" width="15.7109375" style="298" bestFit="1" customWidth="1"/>
    <col min="7686" max="7686" width="26.42578125" style="298" customWidth="1"/>
    <col min="7687" max="7687" width="5.7109375" style="298" customWidth="1"/>
    <col min="7688" max="7688" width="13.85546875" style="298" bestFit="1" customWidth="1"/>
    <col min="7689" max="7689" width="9.140625" style="298"/>
    <col min="7690" max="7690" width="11.140625" style="298" bestFit="1" customWidth="1"/>
    <col min="7691" max="7936" width="9.140625" style="298"/>
    <col min="7937" max="7937" width="7.28515625" style="298" customWidth="1"/>
    <col min="7938" max="7938" width="9.140625" style="298"/>
    <col min="7939" max="7939" width="11.42578125" style="298" customWidth="1"/>
    <col min="7940" max="7940" width="11.28515625" style="298" customWidth="1"/>
    <col min="7941" max="7941" width="15.7109375" style="298" bestFit="1" customWidth="1"/>
    <col min="7942" max="7942" width="26.42578125" style="298" customWidth="1"/>
    <col min="7943" max="7943" width="5.7109375" style="298" customWidth="1"/>
    <col min="7944" max="7944" width="13.85546875" style="298" bestFit="1" customWidth="1"/>
    <col min="7945" max="7945" width="9.140625" style="298"/>
    <col min="7946" max="7946" width="11.140625" style="298" bestFit="1" customWidth="1"/>
    <col min="7947" max="8192" width="9.140625" style="298"/>
    <col min="8193" max="8193" width="7.28515625" style="298" customWidth="1"/>
    <col min="8194" max="8194" width="9.140625" style="298"/>
    <col min="8195" max="8195" width="11.42578125" style="298" customWidth="1"/>
    <col min="8196" max="8196" width="11.28515625" style="298" customWidth="1"/>
    <col min="8197" max="8197" width="15.7109375" style="298" bestFit="1" customWidth="1"/>
    <col min="8198" max="8198" width="26.42578125" style="298" customWidth="1"/>
    <col min="8199" max="8199" width="5.7109375" style="298" customWidth="1"/>
    <col min="8200" max="8200" width="13.85546875" style="298" bestFit="1" customWidth="1"/>
    <col min="8201" max="8201" width="9.140625" style="298"/>
    <col min="8202" max="8202" width="11.140625" style="298" bestFit="1" customWidth="1"/>
    <col min="8203" max="8448" width="9.140625" style="298"/>
    <col min="8449" max="8449" width="7.28515625" style="298" customWidth="1"/>
    <col min="8450" max="8450" width="9.140625" style="298"/>
    <col min="8451" max="8451" width="11.42578125" style="298" customWidth="1"/>
    <col min="8452" max="8452" width="11.28515625" style="298" customWidth="1"/>
    <col min="8453" max="8453" width="15.7109375" style="298" bestFit="1" customWidth="1"/>
    <col min="8454" max="8454" width="26.42578125" style="298" customWidth="1"/>
    <col min="8455" max="8455" width="5.7109375" style="298" customWidth="1"/>
    <col min="8456" max="8456" width="13.85546875" style="298" bestFit="1" customWidth="1"/>
    <col min="8457" max="8457" width="9.140625" style="298"/>
    <col min="8458" max="8458" width="11.140625" style="298" bestFit="1" customWidth="1"/>
    <col min="8459" max="8704" width="9.140625" style="298"/>
    <col min="8705" max="8705" width="7.28515625" style="298" customWidth="1"/>
    <col min="8706" max="8706" width="9.140625" style="298"/>
    <col min="8707" max="8707" width="11.42578125" style="298" customWidth="1"/>
    <col min="8708" max="8708" width="11.28515625" style="298" customWidth="1"/>
    <col min="8709" max="8709" width="15.7109375" style="298" bestFit="1" customWidth="1"/>
    <col min="8710" max="8710" width="26.42578125" style="298" customWidth="1"/>
    <col min="8711" max="8711" width="5.7109375" style="298" customWidth="1"/>
    <col min="8712" max="8712" width="13.85546875" style="298" bestFit="1" customWidth="1"/>
    <col min="8713" max="8713" width="9.140625" style="298"/>
    <col min="8714" max="8714" width="11.140625" style="298" bestFit="1" customWidth="1"/>
    <col min="8715" max="8960" width="9.140625" style="298"/>
    <col min="8961" max="8961" width="7.28515625" style="298" customWidth="1"/>
    <col min="8962" max="8962" width="9.140625" style="298"/>
    <col min="8963" max="8963" width="11.42578125" style="298" customWidth="1"/>
    <col min="8964" max="8964" width="11.28515625" style="298" customWidth="1"/>
    <col min="8965" max="8965" width="15.7109375" style="298" bestFit="1" customWidth="1"/>
    <col min="8966" max="8966" width="26.42578125" style="298" customWidth="1"/>
    <col min="8967" max="8967" width="5.7109375" style="298" customWidth="1"/>
    <col min="8968" max="8968" width="13.85546875" style="298" bestFit="1" customWidth="1"/>
    <col min="8969" max="8969" width="9.140625" style="298"/>
    <col min="8970" max="8970" width="11.140625" style="298" bestFit="1" customWidth="1"/>
    <col min="8971" max="9216" width="9.140625" style="298"/>
    <col min="9217" max="9217" width="7.28515625" style="298" customWidth="1"/>
    <col min="9218" max="9218" width="9.140625" style="298"/>
    <col min="9219" max="9219" width="11.42578125" style="298" customWidth="1"/>
    <col min="9220" max="9220" width="11.28515625" style="298" customWidth="1"/>
    <col min="9221" max="9221" width="15.7109375" style="298" bestFit="1" customWidth="1"/>
    <col min="9222" max="9222" width="26.42578125" style="298" customWidth="1"/>
    <col min="9223" max="9223" width="5.7109375" style="298" customWidth="1"/>
    <col min="9224" max="9224" width="13.85546875" style="298" bestFit="1" customWidth="1"/>
    <col min="9225" max="9225" width="9.140625" style="298"/>
    <col min="9226" max="9226" width="11.140625" style="298" bestFit="1" customWidth="1"/>
    <col min="9227" max="9472" width="9.140625" style="298"/>
    <col min="9473" max="9473" width="7.28515625" style="298" customWidth="1"/>
    <col min="9474" max="9474" width="9.140625" style="298"/>
    <col min="9475" max="9475" width="11.42578125" style="298" customWidth="1"/>
    <col min="9476" max="9476" width="11.28515625" style="298" customWidth="1"/>
    <col min="9477" max="9477" width="15.7109375" style="298" bestFit="1" customWidth="1"/>
    <col min="9478" max="9478" width="26.42578125" style="298" customWidth="1"/>
    <col min="9479" max="9479" width="5.7109375" style="298" customWidth="1"/>
    <col min="9480" max="9480" width="13.85546875" style="298" bestFit="1" customWidth="1"/>
    <col min="9481" max="9481" width="9.140625" style="298"/>
    <col min="9482" max="9482" width="11.140625" style="298" bestFit="1" customWidth="1"/>
    <col min="9483" max="9728" width="9.140625" style="298"/>
    <col min="9729" max="9729" width="7.28515625" style="298" customWidth="1"/>
    <col min="9730" max="9730" width="9.140625" style="298"/>
    <col min="9731" max="9731" width="11.42578125" style="298" customWidth="1"/>
    <col min="9732" max="9732" width="11.28515625" style="298" customWidth="1"/>
    <col min="9733" max="9733" width="15.7109375" style="298" bestFit="1" customWidth="1"/>
    <col min="9734" max="9734" width="26.42578125" style="298" customWidth="1"/>
    <col min="9735" max="9735" width="5.7109375" style="298" customWidth="1"/>
    <col min="9736" max="9736" width="13.85546875" style="298" bestFit="1" customWidth="1"/>
    <col min="9737" max="9737" width="9.140625" style="298"/>
    <col min="9738" max="9738" width="11.140625" style="298" bestFit="1" customWidth="1"/>
    <col min="9739" max="9984" width="9.140625" style="298"/>
    <col min="9985" max="9985" width="7.28515625" style="298" customWidth="1"/>
    <col min="9986" max="9986" width="9.140625" style="298"/>
    <col min="9987" max="9987" width="11.42578125" style="298" customWidth="1"/>
    <col min="9988" max="9988" width="11.28515625" style="298" customWidth="1"/>
    <col min="9989" max="9989" width="15.7109375" style="298" bestFit="1" customWidth="1"/>
    <col min="9990" max="9990" width="26.42578125" style="298" customWidth="1"/>
    <col min="9991" max="9991" width="5.7109375" style="298" customWidth="1"/>
    <col min="9992" max="9992" width="13.85546875" style="298" bestFit="1" customWidth="1"/>
    <col min="9993" max="9993" width="9.140625" style="298"/>
    <col min="9994" max="9994" width="11.140625" style="298" bestFit="1" customWidth="1"/>
    <col min="9995" max="10240" width="9.140625" style="298"/>
    <col min="10241" max="10241" width="7.28515625" style="298" customWidth="1"/>
    <col min="10242" max="10242" width="9.140625" style="298"/>
    <col min="10243" max="10243" width="11.42578125" style="298" customWidth="1"/>
    <col min="10244" max="10244" width="11.28515625" style="298" customWidth="1"/>
    <col min="10245" max="10245" width="15.7109375" style="298" bestFit="1" customWidth="1"/>
    <col min="10246" max="10246" width="26.42578125" style="298" customWidth="1"/>
    <col min="10247" max="10247" width="5.7109375" style="298" customWidth="1"/>
    <col min="10248" max="10248" width="13.85546875" style="298" bestFit="1" customWidth="1"/>
    <col min="10249" max="10249" width="9.140625" style="298"/>
    <col min="10250" max="10250" width="11.140625" style="298" bestFit="1" customWidth="1"/>
    <col min="10251" max="10496" width="9.140625" style="298"/>
    <col min="10497" max="10497" width="7.28515625" style="298" customWidth="1"/>
    <col min="10498" max="10498" width="9.140625" style="298"/>
    <col min="10499" max="10499" width="11.42578125" style="298" customWidth="1"/>
    <col min="10500" max="10500" width="11.28515625" style="298" customWidth="1"/>
    <col min="10501" max="10501" width="15.7109375" style="298" bestFit="1" customWidth="1"/>
    <col min="10502" max="10502" width="26.42578125" style="298" customWidth="1"/>
    <col min="10503" max="10503" width="5.7109375" style="298" customWidth="1"/>
    <col min="10504" max="10504" width="13.85546875" style="298" bestFit="1" customWidth="1"/>
    <col min="10505" max="10505" width="9.140625" style="298"/>
    <col min="10506" max="10506" width="11.140625" style="298" bestFit="1" customWidth="1"/>
    <col min="10507" max="10752" width="9.140625" style="298"/>
    <col min="10753" max="10753" width="7.28515625" style="298" customWidth="1"/>
    <col min="10754" max="10754" width="9.140625" style="298"/>
    <col min="10755" max="10755" width="11.42578125" style="298" customWidth="1"/>
    <col min="10756" max="10756" width="11.28515625" style="298" customWidth="1"/>
    <col min="10757" max="10757" width="15.7109375" style="298" bestFit="1" customWidth="1"/>
    <col min="10758" max="10758" width="26.42578125" style="298" customWidth="1"/>
    <col min="10759" max="10759" width="5.7109375" style="298" customWidth="1"/>
    <col min="10760" max="10760" width="13.85546875" style="298" bestFit="1" customWidth="1"/>
    <col min="10761" max="10761" width="9.140625" style="298"/>
    <col min="10762" max="10762" width="11.140625" style="298" bestFit="1" customWidth="1"/>
    <col min="10763" max="11008" width="9.140625" style="298"/>
    <col min="11009" max="11009" width="7.28515625" style="298" customWidth="1"/>
    <col min="11010" max="11010" width="9.140625" style="298"/>
    <col min="11011" max="11011" width="11.42578125" style="298" customWidth="1"/>
    <col min="11012" max="11012" width="11.28515625" style="298" customWidth="1"/>
    <col min="11013" max="11013" width="15.7109375" style="298" bestFit="1" customWidth="1"/>
    <col min="11014" max="11014" width="26.42578125" style="298" customWidth="1"/>
    <col min="11015" max="11015" width="5.7109375" style="298" customWidth="1"/>
    <col min="11016" max="11016" width="13.85546875" style="298" bestFit="1" customWidth="1"/>
    <col min="11017" max="11017" width="9.140625" style="298"/>
    <col min="11018" max="11018" width="11.140625" style="298" bestFit="1" customWidth="1"/>
    <col min="11019" max="11264" width="9.140625" style="298"/>
    <col min="11265" max="11265" width="7.28515625" style="298" customWidth="1"/>
    <col min="11266" max="11266" width="9.140625" style="298"/>
    <col min="11267" max="11267" width="11.42578125" style="298" customWidth="1"/>
    <col min="11268" max="11268" width="11.28515625" style="298" customWidth="1"/>
    <col min="11269" max="11269" width="15.7109375" style="298" bestFit="1" customWidth="1"/>
    <col min="11270" max="11270" width="26.42578125" style="298" customWidth="1"/>
    <col min="11271" max="11271" width="5.7109375" style="298" customWidth="1"/>
    <col min="11272" max="11272" width="13.85546875" style="298" bestFit="1" customWidth="1"/>
    <col min="11273" max="11273" width="9.140625" style="298"/>
    <col min="11274" max="11274" width="11.140625" style="298" bestFit="1" customWidth="1"/>
    <col min="11275" max="11520" width="9.140625" style="298"/>
    <col min="11521" max="11521" width="7.28515625" style="298" customWidth="1"/>
    <col min="11522" max="11522" width="9.140625" style="298"/>
    <col min="11523" max="11523" width="11.42578125" style="298" customWidth="1"/>
    <col min="11524" max="11524" width="11.28515625" style="298" customWidth="1"/>
    <col min="11525" max="11525" width="15.7109375" style="298" bestFit="1" customWidth="1"/>
    <col min="11526" max="11526" width="26.42578125" style="298" customWidth="1"/>
    <col min="11527" max="11527" width="5.7109375" style="298" customWidth="1"/>
    <col min="11528" max="11528" width="13.85546875" style="298" bestFit="1" customWidth="1"/>
    <col min="11529" max="11529" width="9.140625" style="298"/>
    <col min="11530" max="11530" width="11.140625" style="298" bestFit="1" customWidth="1"/>
    <col min="11531" max="11776" width="9.140625" style="298"/>
    <col min="11777" max="11777" width="7.28515625" style="298" customWidth="1"/>
    <col min="11778" max="11778" width="9.140625" style="298"/>
    <col min="11779" max="11779" width="11.42578125" style="298" customWidth="1"/>
    <col min="11780" max="11780" width="11.28515625" style="298" customWidth="1"/>
    <col min="11781" max="11781" width="15.7109375" style="298" bestFit="1" customWidth="1"/>
    <col min="11782" max="11782" width="26.42578125" style="298" customWidth="1"/>
    <col min="11783" max="11783" width="5.7109375" style="298" customWidth="1"/>
    <col min="11784" max="11784" width="13.85546875" style="298" bestFit="1" customWidth="1"/>
    <col min="11785" max="11785" width="9.140625" style="298"/>
    <col min="11786" max="11786" width="11.140625" style="298" bestFit="1" customWidth="1"/>
    <col min="11787" max="12032" width="9.140625" style="298"/>
    <col min="12033" max="12033" width="7.28515625" style="298" customWidth="1"/>
    <col min="12034" max="12034" width="9.140625" style="298"/>
    <col min="12035" max="12035" width="11.42578125" style="298" customWidth="1"/>
    <col min="12036" max="12036" width="11.28515625" style="298" customWidth="1"/>
    <col min="12037" max="12037" width="15.7109375" style="298" bestFit="1" customWidth="1"/>
    <col min="12038" max="12038" width="26.42578125" style="298" customWidth="1"/>
    <col min="12039" max="12039" width="5.7109375" style="298" customWidth="1"/>
    <col min="12040" max="12040" width="13.85546875" style="298" bestFit="1" customWidth="1"/>
    <col min="12041" max="12041" width="9.140625" style="298"/>
    <col min="12042" max="12042" width="11.140625" style="298" bestFit="1" customWidth="1"/>
    <col min="12043" max="12288" width="9.140625" style="298"/>
    <col min="12289" max="12289" width="7.28515625" style="298" customWidth="1"/>
    <col min="12290" max="12290" width="9.140625" style="298"/>
    <col min="12291" max="12291" width="11.42578125" style="298" customWidth="1"/>
    <col min="12292" max="12292" width="11.28515625" style="298" customWidth="1"/>
    <col min="12293" max="12293" width="15.7109375" style="298" bestFit="1" customWidth="1"/>
    <col min="12294" max="12294" width="26.42578125" style="298" customWidth="1"/>
    <col min="12295" max="12295" width="5.7109375" style="298" customWidth="1"/>
    <col min="12296" max="12296" width="13.85546875" style="298" bestFit="1" customWidth="1"/>
    <col min="12297" max="12297" width="9.140625" style="298"/>
    <col min="12298" max="12298" width="11.140625" style="298" bestFit="1" customWidth="1"/>
    <col min="12299" max="12544" width="9.140625" style="298"/>
    <col min="12545" max="12545" width="7.28515625" style="298" customWidth="1"/>
    <col min="12546" max="12546" width="9.140625" style="298"/>
    <col min="12547" max="12547" width="11.42578125" style="298" customWidth="1"/>
    <col min="12548" max="12548" width="11.28515625" style="298" customWidth="1"/>
    <col min="12549" max="12549" width="15.7109375" style="298" bestFit="1" customWidth="1"/>
    <col min="12550" max="12550" width="26.42578125" style="298" customWidth="1"/>
    <col min="12551" max="12551" width="5.7109375" style="298" customWidth="1"/>
    <col min="12552" max="12552" width="13.85546875" style="298" bestFit="1" customWidth="1"/>
    <col min="12553" max="12553" width="9.140625" style="298"/>
    <col min="12554" max="12554" width="11.140625" style="298" bestFit="1" customWidth="1"/>
    <col min="12555" max="12800" width="9.140625" style="298"/>
    <col min="12801" max="12801" width="7.28515625" style="298" customWidth="1"/>
    <col min="12802" max="12802" width="9.140625" style="298"/>
    <col min="12803" max="12803" width="11.42578125" style="298" customWidth="1"/>
    <col min="12804" max="12804" width="11.28515625" style="298" customWidth="1"/>
    <col min="12805" max="12805" width="15.7109375" style="298" bestFit="1" customWidth="1"/>
    <col min="12806" max="12806" width="26.42578125" style="298" customWidth="1"/>
    <col min="12807" max="12807" width="5.7109375" style="298" customWidth="1"/>
    <col min="12808" max="12808" width="13.85546875" style="298" bestFit="1" customWidth="1"/>
    <col min="12809" max="12809" width="9.140625" style="298"/>
    <col min="12810" max="12810" width="11.140625" style="298" bestFit="1" customWidth="1"/>
    <col min="12811" max="13056" width="9.140625" style="298"/>
    <col min="13057" max="13057" width="7.28515625" style="298" customWidth="1"/>
    <col min="13058" max="13058" width="9.140625" style="298"/>
    <col min="13059" max="13059" width="11.42578125" style="298" customWidth="1"/>
    <col min="13060" max="13060" width="11.28515625" style="298" customWidth="1"/>
    <col min="13061" max="13061" width="15.7109375" style="298" bestFit="1" customWidth="1"/>
    <col min="13062" max="13062" width="26.42578125" style="298" customWidth="1"/>
    <col min="13063" max="13063" width="5.7109375" style="298" customWidth="1"/>
    <col min="13064" max="13064" width="13.85546875" style="298" bestFit="1" customWidth="1"/>
    <col min="13065" max="13065" width="9.140625" style="298"/>
    <col min="13066" max="13066" width="11.140625" style="298" bestFit="1" customWidth="1"/>
    <col min="13067" max="13312" width="9.140625" style="298"/>
    <col min="13313" max="13313" width="7.28515625" style="298" customWidth="1"/>
    <col min="13314" max="13314" width="9.140625" style="298"/>
    <col min="13315" max="13315" width="11.42578125" style="298" customWidth="1"/>
    <col min="13316" max="13316" width="11.28515625" style="298" customWidth="1"/>
    <col min="13317" max="13317" width="15.7109375" style="298" bestFit="1" customWidth="1"/>
    <col min="13318" max="13318" width="26.42578125" style="298" customWidth="1"/>
    <col min="13319" max="13319" width="5.7109375" style="298" customWidth="1"/>
    <col min="13320" max="13320" width="13.85546875" style="298" bestFit="1" customWidth="1"/>
    <col min="13321" max="13321" width="9.140625" style="298"/>
    <col min="13322" max="13322" width="11.140625" style="298" bestFit="1" customWidth="1"/>
    <col min="13323" max="13568" width="9.140625" style="298"/>
    <col min="13569" max="13569" width="7.28515625" style="298" customWidth="1"/>
    <col min="13570" max="13570" width="9.140625" style="298"/>
    <col min="13571" max="13571" width="11.42578125" style="298" customWidth="1"/>
    <col min="13572" max="13572" width="11.28515625" style="298" customWidth="1"/>
    <col min="13573" max="13573" width="15.7109375" style="298" bestFit="1" customWidth="1"/>
    <col min="13574" max="13574" width="26.42578125" style="298" customWidth="1"/>
    <col min="13575" max="13575" width="5.7109375" style="298" customWidth="1"/>
    <col min="13576" max="13576" width="13.85546875" style="298" bestFit="1" customWidth="1"/>
    <col min="13577" max="13577" width="9.140625" style="298"/>
    <col min="13578" max="13578" width="11.140625" style="298" bestFit="1" customWidth="1"/>
    <col min="13579" max="13824" width="9.140625" style="298"/>
    <col min="13825" max="13825" width="7.28515625" style="298" customWidth="1"/>
    <col min="13826" max="13826" width="9.140625" style="298"/>
    <col min="13827" max="13827" width="11.42578125" style="298" customWidth="1"/>
    <col min="13828" max="13828" width="11.28515625" style="298" customWidth="1"/>
    <col min="13829" max="13829" width="15.7109375" style="298" bestFit="1" customWidth="1"/>
    <col min="13830" max="13830" width="26.42578125" style="298" customWidth="1"/>
    <col min="13831" max="13831" width="5.7109375" style="298" customWidth="1"/>
    <col min="13832" max="13832" width="13.85546875" style="298" bestFit="1" customWidth="1"/>
    <col min="13833" max="13833" width="9.140625" style="298"/>
    <col min="13834" max="13834" width="11.140625" style="298" bestFit="1" customWidth="1"/>
    <col min="13835" max="14080" width="9.140625" style="298"/>
    <col min="14081" max="14081" width="7.28515625" style="298" customWidth="1"/>
    <col min="14082" max="14082" width="9.140625" style="298"/>
    <col min="14083" max="14083" width="11.42578125" style="298" customWidth="1"/>
    <col min="14084" max="14084" width="11.28515625" style="298" customWidth="1"/>
    <col min="14085" max="14085" width="15.7109375" style="298" bestFit="1" customWidth="1"/>
    <col min="14086" max="14086" width="26.42578125" style="298" customWidth="1"/>
    <col min="14087" max="14087" width="5.7109375" style="298" customWidth="1"/>
    <col min="14088" max="14088" width="13.85546875" style="298" bestFit="1" customWidth="1"/>
    <col min="14089" max="14089" width="9.140625" style="298"/>
    <col min="14090" max="14090" width="11.140625" style="298" bestFit="1" customWidth="1"/>
    <col min="14091" max="14336" width="9.140625" style="298"/>
    <col min="14337" max="14337" width="7.28515625" style="298" customWidth="1"/>
    <col min="14338" max="14338" width="9.140625" style="298"/>
    <col min="14339" max="14339" width="11.42578125" style="298" customWidth="1"/>
    <col min="14340" max="14340" width="11.28515625" style="298" customWidth="1"/>
    <col min="14341" max="14341" width="15.7109375" style="298" bestFit="1" customWidth="1"/>
    <col min="14342" max="14342" width="26.42578125" style="298" customWidth="1"/>
    <col min="14343" max="14343" width="5.7109375" style="298" customWidth="1"/>
    <col min="14344" max="14344" width="13.85546875" style="298" bestFit="1" customWidth="1"/>
    <col min="14345" max="14345" width="9.140625" style="298"/>
    <col min="14346" max="14346" width="11.140625" style="298" bestFit="1" customWidth="1"/>
    <col min="14347" max="14592" width="9.140625" style="298"/>
    <col min="14593" max="14593" width="7.28515625" style="298" customWidth="1"/>
    <col min="14594" max="14594" width="9.140625" style="298"/>
    <col min="14595" max="14595" width="11.42578125" style="298" customWidth="1"/>
    <col min="14596" max="14596" width="11.28515625" style="298" customWidth="1"/>
    <col min="14597" max="14597" width="15.7109375" style="298" bestFit="1" customWidth="1"/>
    <col min="14598" max="14598" width="26.42578125" style="298" customWidth="1"/>
    <col min="14599" max="14599" width="5.7109375" style="298" customWidth="1"/>
    <col min="14600" max="14600" width="13.85546875" style="298" bestFit="1" customWidth="1"/>
    <col min="14601" max="14601" width="9.140625" style="298"/>
    <col min="14602" max="14602" width="11.140625" style="298" bestFit="1" customWidth="1"/>
    <col min="14603" max="14848" width="9.140625" style="298"/>
    <col min="14849" max="14849" width="7.28515625" style="298" customWidth="1"/>
    <col min="14850" max="14850" width="9.140625" style="298"/>
    <col min="14851" max="14851" width="11.42578125" style="298" customWidth="1"/>
    <col min="14852" max="14852" width="11.28515625" style="298" customWidth="1"/>
    <col min="14853" max="14853" width="15.7109375" style="298" bestFit="1" customWidth="1"/>
    <col min="14854" max="14854" width="26.42578125" style="298" customWidth="1"/>
    <col min="14855" max="14855" width="5.7109375" style="298" customWidth="1"/>
    <col min="14856" max="14856" width="13.85546875" style="298" bestFit="1" customWidth="1"/>
    <col min="14857" max="14857" width="9.140625" style="298"/>
    <col min="14858" max="14858" width="11.140625" style="298" bestFit="1" customWidth="1"/>
    <col min="14859" max="15104" width="9.140625" style="298"/>
    <col min="15105" max="15105" width="7.28515625" style="298" customWidth="1"/>
    <col min="15106" max="15106" width="9.140625" style="298"/>
    <col min="15107" max="15107" width="11.42578125" style="298" customWidth="1"/>
    <col min="15108" max="15108" width="11.28515625" style="298" customWidth="1"/>
    <col min="15109" max="15109" width="15.7109375" style="298" bestFit="1" customWidth="1"/>
    <col min="15110" max="15110" width="26.42578125" style="298" customWidth="1"/>
    <col min="15111" max="15111" width="5.7109375" style="298" customWidth="1"/>
    <col min="15112" max="15112" width="13.85546875" style="298" bestFit="1" customWidth="1"/>
    <col min="15113" max="15113" width="9.140625" style="298"/>
    <col min="15114" max="15114" width="11.140625" style="298" bestFit="1" customWidth="1"/>
    <col min="15115" max="15360" width="9.140625" style="298"/>
    <col min="15361" max="15361" width="7.28515625" style="298" customWidth="1"/>
    <col min="15362" max="15362" width="9.140625" style="298"/>
    <col min="15363" max="15363" width="11.42578125" style="298" customWidth="1"/>
    <col min="15364" max="15364" width="11.28515625" style="298" customWidth="1"/>
    <col min="15365" max="15365" width="15.7109375" style="298" bestFit="1" customWidth="1"/>
    <col min="15366" max="15366" width="26.42578125" style="298" customWidth="1"/>
    <col min="15367" max="15367" width="5.7109375" style="298" customWidth="1"/>
    <col min="15368" max="15368" width="13.85546875" style="298" bestFit="1" customWidth="1"/>
    <col min="15369" max="15369" width="9.140625" style="298"/>
    <col min="15370" max="15370" width="11.140625" style="298" bestFit="1" customWidth="1"/>
    <col min="15371" max="15616" width="9.140625" style="298"/>
    <col min="15617" max="15617" width="7.28515625" style="298" customWidth="1"/>
    <col min="15618" max="15618" width="9.140625" style="298"/>
    <col min="15619" max="15619" width="11.42578125" style="298" customWidth="1"/>
    <col min="15620" max="15620" width="11.28515625" style="298" customWidth="1"/>
    <col min="15621" max="15621" width="15.7109375" style="298" bestFit="1" customWidth="1"/>
    <col min="15622" max="15622" width="26.42578125" style="298" customWidth="1"/>
    <col min="15623" max="15623" width="5.7109375" style="298" customWidth="1"/>
    <col min="15624" max="15624" width="13.85546875" style="298" bestFit="1" customWidth="1"/>
    <col min="15625" max="15625" width="9.140625" style="298"/>
    <col min="15626" max="15626" width="11.140625" style="298" bestFit="1" customWidth="1"/>
    <col min="15627" max="15872" width="9.140625" style="298"/>
    <col min="15873" max="15873" width="7.28515625" style="298" customWidth="1"/>
    <col min="15874" max="15874" width="9.140625" style="298"/>
    <col min="15875" max="15875" width="11.42578125" style="298" customWidth="1"/>
    <col min="15876" max="15876" width="11.28515625" style="298" customWidth="1"/>
    <col min="15877" max="15877" width="15.7109375" style="298" bestFit="1" customWidth="1"/>
    <col min="15878" max="15878" width="26.42578125" style="298" customWidth="1"/>
    <col min="15879" max="15879" width="5.7109375" style="298" customWidth="1"/>
    <col min="15880" max="15880" width="13.85546875" style="298" bestFit="1" customWidth="1"/>
    <col min="15881" max="15881" width="9.140625" style="298"/>
    <col min="15882" max="15882" width="11.140625" style="298" bestFit="1" customWidth="1"/>
    <col min="15883" max="16128" width="9.140625" style="298"/>
    <col min="16129" max="16129" width="7.28515625" style="298" customWidth="1"/>
    <col min="16130" max="16130" width="9.140625" style="298"/>
    <col min="16131" max="16131" width="11.42578125" style="298" customWidth="1"/>
    <col min="16132" max="16132" width="11.28515625" style="298" customWidth="1"/>
    <col min="16133" max="16133" width="15.7109375" style="298" bestFit="1" customWidth="1"/>
    <col min="16134" max="16134" width="26.42578125" style="298" customWidth="1"/>
    <col min="16135" max="16135" width="5.7109375" style="298" customWidth="1"/>
    <col min="16136" max="16136" width="13.85546875" style="298" bestFit="1" customWidth="1"/>
    <col min="16137" max="16137" width="9.140625" style="298"/>
    <col min="16138" max="16138" width="11.140625" style="298" bestFit="1" customWidth="1"/>
    <col min="16139" max="16384" width="9.140625" style="298"/>
  </cols>
  <sheetData>
    <row r="1" spans="1:8" ht="15" x14ac:dyDescent="0.25">
      <c r="A1" s="580"/>
      <c r="B1" s="580"/>
      <c r="C1" s="580"/>
      <c r="D1" s="580"/>
      <c r="E1" s="580"/>
      <c r="F1" s="580"/>
      <c r="G1" s="580"/>
      <c r="H1" s="580"/>
    </row>
    <row r="2" spans="1:8" ht="15" x14ac:dyDescent="0.25">
      <c r="A2" s="390" t="s">
        <v>393</v>
      </c>
      <c r="B2" s="390"/>
      <c r="C2" s="313"/>
      <c r="D2" s="313"/>
      <c r="E2" s="313"/>
      <c r="F2" s="313"/>
      <c r="G2" s="313"/>
      <c r="H2" s="313"/>
    </row>
    <row r="3" spans="1:8" ht="15" x14ac:dyDescent="0.25">
      <c r="A3" s="581" t="s">
        <v>317</v>
      </c>
      <c r="B3" s="581"/>
      <c r="C3" s="581"/>
      <c r="D3" s="581"/>
      <c r="E3" s="581"/>
      <c r="F3" s="581"/>
      <c r="G3" s="581"/>
      <c r="H3" s="581"/>
    </row>
    <row r="5" spans="1:8" x14ac:dyDescent="0.2">
      <c r="A5" s="298" t="s">
        <v>318</v>
      </c>
      <c r="E5" s="392">
        <v>657434</v>
      </c>
    </row>
    <row r="6" spans="1:8" ht="13.5" thickBot="1" x14ac:dyDescent="0.25">
      <c r="A6" s="298" t="s">
        <v>320</v>
      </c>
      <c r="E6" s="393">
        <v>683224.94</v>
      </c>
      <c r="F6" s="298" t="s">
        <v>394</v>
      </c>
    </row>
    <row r="7" spans="1:8" ht="13.5" thickTop="1" x14ac:dyDescent="0.2">
      <c r="A7" s="299" t="s">
        <v>395</v>
      </c>
      <c r="B7" s="299"/>
      <c r="C7" s="299"/>
      <c r="D7" s="299"/>
      <c r="E7" s="444">
        <f>+E6-E5</f>
        <v>25790.939999999944</v>
      </c>
      <c r="F7" s="299"/>
      <c r="G7" s="299"/>
    </row>
    <row r="8" spans="1:8" x14ac:dyDescent="0.2">
      <c r="A8" s="299"/>
      <c r="B8" s="299"/>
      <c r="C8" s="299"/>
      <c r="D8" s="299"/>
      <c r="E8" s="299"/>
      <c r="F8" s="299"/>
      <c r="G8" s="299"/>
    </row>
    <row r="9" spans="1:8" x14ac:dyDescent="0.2">
      <c r="A9" s="299"/>
      <c r="B9" s="299"/>
      <c r="C9" s="299"/>
      <c r="D9" s="299"/>
      <c r="E9" s="299"/>
      <c r="F9" s="299"/>
      <c r="G9" s="299"/>
    </row>
    <row r="10" spans="1:8" x14ac:dyDescent="0.2">
      <c r="A10" s="299"/>
      <c r="B10" s="299"/>
      <c r="C10" s="299"/>
      <c r="D10" s="299"/>
      <c r="E10" s="445"/>
      <c r="F10" s="299"/>
      <c r="G10" s="299"/>
    </row>
    <row r="11" spans="1:8" x14ac:dyDescent="0.2">
      <c r="A11" s="299" t="s">
        <v>382</v>
      </c>
      <c r="B11" s="299"/>
      <c r="C11" s="299"/>
      <c r="D11" s="299"/>
      <c r="E11" s="410">
        <f>(+E5/60)-0.23</f>
        <v>10957.003333333334</v>
      </c>
      <c r="F11" s="299" t="s">
        <v>383</v>
      </c>
      <c r="G11" s="299"/>
    </row>
    <row r="12" spans="1:8" x14ac:dyDescent="0.2">
      <c r="A12" s="299"/>
      <c r="B12" s="299"/>
      <c r="C12" s="299"/>
      <c r="D12" s="299"/>
      <c r="E12" s="410"/>
      <c r="F12" s="299"/>
      <c r="G12" s="299"/>
    </row>
    <row r="13" spans="1:8" x14ac:dyDescent="0.2">
      <c r="A13" s="299" t="s">
        <v>329</v>
      </c>
      <c r="B13" s="299"/>
      <c r="C13" s="299"/>
      <c r="D13" s="299"/>
      <c r="E13" s="410"/>
      <c r="F13" s="299"/>
      <c r="G13" s="299"/>
    </row>
    <row r="14" spans="1:8" x14ac:dyDescent="0.2">
      <c r="A14" s="320" t="s">
        <v>339</v>
      </c>
      <c r="B14" s="396"/>
      <c r="C14" s="397"/>
      <c r="D14" s="397"/>
      <c r="E14" s="398"/>
      <c r="F14" s="397"/>
      <c r="G14" s="399"/>
    </row>
    <row r="15" spans="1:8" x14ac:dyDescent="0.2">
      <c r="A15" s="324" t="s">
        <v>331</v>
      </c>
      <c r="B15" s="325" t="s">
        <v>384</v>
      </c>
      <c r="C15" s="325" t="s">
        <v>332</v>
      </c>
      <c r="D15" s="325" t="s">
        <v>310</v>
      </c>
      <c r="E15" s="325" t="s">
        <v>333</v>
      </c>
      <c r="F15" s="325" t="s">
        <v>334</v>
      </c>
      <c r="G15" s="400"/>
    </row>
    <row r="16" spans="1:8" x14ac:dyDescent="0.2">
      <c r="A16" s="327">
        <v>75080</v>
      </c>
      <c r="B16" s="300" t="s">
        <v>396</v>
      </c>
      <c r="C16" s="328">
        <v>9928</v>
      </c>
      <c r="D16" s="329" t="s">
        <v>397</v>
      </c>
      <c r="E16" s="330">
        <f>+E11</f>
        <v>10957.003333333334</v>
      </c>
      <c r="F16" s="330"/>
      <c r="G16" s="400"/>
      <c r="H16" s="298" t="s">
        <v>336</v>
      </c>
    </row>
    <row r="17" spans="1:8" x14ac:dyDescent="0.2">
      <c r="A17" s="327">
        <v>75080</v>
      </c>
      <c r="B17" s="300" t="s">
        <v>396</v>
      </c>
      <c r="C17" s="328">
        <v>9928</v>
      </c>
      <c r="D17" s="329" t="s">
        <v>289</v>
      </c>
      <c r="E17" s="330"/>
      <c r="F17" s="330">
        <f>+E16</f>
        <v>10957.003333333334</v>
      </c>
      <c r="G17" s="400"/>
    </row>
    <row r="18" spans="1:8" x14ac:dyDescent="0.2">
      <c r="A18" s="327">
        <v>75080</v>
      </c>
      <c r="B18" s="301" t="s">
        <v>396</v>
      </c>
      <c r="C18" s="328">
        <v>9928</v>
      </c>
      <c r="D18" s="329" t="str">
        <f>+D16</f>
        <v>0928006</v>
      </c>
      <c r="E18" s="330">
        <v>13.8</v>
      </c>
      <c r="F18" s="330"/>
      <c r="G18" s="400"/>
      <c r="H18" s="298" t="s">
        <v>337</v>
      </c>
    </row>
    <row r="19" spans="1:8" x14ac:dyDescent="0.2">
      <c r="A19" s="300">
        <v>75080</v>
      </c>
      <c r="B19" s="300" t="s">
        <v>396</v>
      </c>
      <c r="C19" s="328">
        <v>9928</v>
      </c>
      <c r="D19" s="329" t="s">
        <v>289</v>
      </c>
      <c r="E19" s="330"/>
      <c r="F19" s="330">
        <v>13.8</v>
      </c>
      <c r="G19" s="400"/>
    </row>
    <row r="20" spans="1:8" x14ac:dyDescent="0.2">
      <c r="A20" s="327">
        <v>75080</v>
      </c>
      <c r="B20" s="300" t="s">
        <v>396</v>
      </c>
      <c r="C20" s="328">
        <v>9928</v>
      </c>
      <c r="D20" s="329" t="s">
        <v>397</v>
      </c>
      <c r="E20" s="330">
        <f>E7</f>
        <v>25790.939999999944</v>
      </c>
      <c r="F20" s="330"/>
      <c r="G20" s="400"/>
      <c r="H20" s="298" t="s">
        <v>398</v>
      </c>
    </row>
    <row r="21" spans="1:8" x14ac:dyDescent="0.2">
      <c r="A21" s="331">
        <v>75080</v>
      </c>
      <c r="B21" s="446" t="s">
        <v>396</v>
      </c>
      <c r="C21" s="332">
        <v>9928</v>
      </c>
      <c r="D21" s="333" t="s">
        <v>289</v>
      </c>
      <c r="E21" s="334"/>
      <c r="F21" s="334">
        <f>E7</f>
        <v>25790.939999999944</v>
      </c>
      <c r="G21" s="402"/>
    </row>
    <row r="22" spans="1:8" x14ac:dyDescent="0.2">
      <c r="A22" s="299"/>
      <c r="B22" s="299"/>
      <c r="C22" s="299"/>
      <c r="D22" s="299"/>
      <c r="E22" s="410"/>
      <c r="F22" s="299"/>
      <c r="G22" s="299"/>
    </row>
    <row r="23" spans="1:8" x14ac:dyDescent="0.2">
      <c r="A23" s="299" t="s">
        <v>386</v>
      </c>
      <c r="B23" s="299"/>
      <c r="C23" s="299"/>
      <c r="D23" s="299"/>
      <c r="E23" s="410"/>
      <c r="F23" s="299"/>
      <c r="G23" s="299"/>
    </row>
    <row r="24" spans="1:8" x14ac:dyDescent="0.2">
      <c r="A24" s="415" t="s">
        <v>339</v>
      </c>
      <c r="B24" s="506"/>
      <c r="C24" s="507"/>
      <c r="D24" s="507"/>
      <c r="E24" s="508"/>
      <c r="F24" s="507"/>
      <c r="G24" s="521"/>
    </row>
    <row r="25" spans="1:8" x14ac:dyDescent="0.2">
      <c r="A25" s="418" t="s">
        <v>331</v>
      </c>
      <c r="B25" s="401" t="s">
        <v>384</v>
      </c>
      <c r="C25" s="401" t="s">
        <v>332</v>
      </c>
      <c r="D25" s="401" t="s">
        <v>310</v>
      </c>
      <c r="E25" s="516" t="s">
        <v>333</v>
      </c>
      <c r="F25" s="516" t="s">
        <v>334</v>
      </c>
      <c r="G25" s="522"/>
    </row>
    <row r="26" spans="1:8" x14ac:dyDescent="0.2">
      <c r="A26" s="420">
        <v>75080</v>
      </c>
      <c r="B26" s="301" t="s">
        <v>396</v>
      </c>
      <c r="C26" s="421">
        <v>9928</v>
      </c>
      <c r="D26" s="422" t="str">
        <f>+D16</f>
        <v>0928006</v>
      </c>
      <c r="E26" s="517">
        <f>F27</f>
        <v>10957.003333333334</v>
      </c>
      <c r="F26" s="301"/>
      <c r="G26" s="523"/>
    </row>
    <row r="27" spans="1:8" x14ac:dyDescent="0.2">
      <c r="A27" s="424">
        <v>75080</v>
      </c>
      <c r="B27" s="518" t="s">
        <v>396</v>
      </c>
      <c r="C27" s="425">
        <v>9928</v>
      </c>
      <c r="D27" s="426" t="str">
        <f>+D21</f>
        <v>0186108</v>
      </c>
      <c r="E27" s="518"/>
      <c r="F27" s="519">
        <f>E11</f>
        <v>10957.003333333334</v>
      </c>
      <c r="G27" s="524"/>
    </row>
    <row r="28" spans="1:8" x14ac:dyDescent="0.2">
      <c r="A28" s="308"/>
      <c r="B28" s="308"/>
      <c r="C28" s="303"/>
      <c r="D28" s="520"/>
      <c r="E28" s="299"/>
      <c r="F28" s="350"/>
      <c r="G28" s="299"/>
    </row>
    <row r="29" spans="1:8" x14ac:dyDescent="0.2">
      <c r="E29" s="341"/>
    </row>
    <row r="30" spans="1:8" x14ac:dyDescent="0.2">
      <c r="A30" s="307"/>
      <c r="B30" s="307"/>
      <c r="C30" s="342"/>
      <c r="F30" s="343" t="s">
        <v>340</v>
      </c>
      <c r="H30" s="344" t="s">
        <v>341</v>
      </c>
    </row>
    <row r="31" spans="1:8" x14ac:dyDescent="0.2">
      <c r="A31" s="345" t="s">
        <v>342</v>
      </c>
      <c r="B31" s="345"/>
      <c r="C31" s="342"/>
      <c r="F31" s="346" t="s">
        <v>399</v>
      </c>
      <c r="H31" s="347" t="s">
        <v>344</v>
      </c>
    </row>
    <row r="32" spans="1:8" x14ac:dyDescent="0.2">
      <c r="A32" s="307"/>
      <c r="B32" s="307"/>
      <c r="C32" s="342" t="s">
        <v>345</v>
      </c>
      <c r="E32" s="350" t="s">
        <v>346</v>
      </c>
      <c r="F32" s="341"/>
      <c r="H32" s="348">
        <f>+E5</f>
        <v>657434</v>
      </c>
    </row>
    <row r="33" spans="1:8" x14ac:dyDescent="0.2">
      <c r="A33" s="342">
        <v>1</v>
      </c>
      <c r="B33" s="342"/>
      <c r="C33" s="349">
        <v>43222</v>
      </c>
      <c r="E33" s="409">
        <f>+E16+E18</f>
        <v>10970.803333333333</v>
      </c>
      <c r="F33" s="341">
        <f>F32-E33</f>
        <v>-10970.803333333333</v>
      </c>
      <c r="H33" s="348">
        <f>+H32-E33</f>
        <v>646463.19666666666</v>
      </c>
    </row>
    <row r="34" spans="1:8" x14ac:dyDescent="0.2">
      <c r="A34" s="342">
        <v>2</v>
      </c>
      <c r="B34" s="342"/>
      <c r="C34" s="349">
        <v>43253</v>
      </c>
      <c r="E34" s="350">
        <f t="shared" ref="E34:E92" si="0">E$11</f>
        <v>10957.003333333334</v>
      </c>
      <c r="F34" s="341">
        <f t="shared" ref="F34:F92" si="1">F33-E34</f>
        <v>-21927.806666666667</v>
      </c>
      <c r="H34" s="348">
        <f t="shared" ref="H34:H92" si="2">+H33-E34</f>
        <v>635506.19333333336</v>
      </c>
    </row>
    <row r="35" spans="1:8" x14ac:dyDescent="0.2">
      <c r="A35" s="342">
        <v>3</v>
      </c>
      <c r="B35" s="342"/>
      <c r="C35" s="349">
        <v>43283</v>
      </c>
      <c r="E35" s="350">
        <f t="shared" si="0"/>
        <v>10957.003333333334</v>
      </c>
      <c r="F35" s="341">
        <f t="shared" si="1"/>
        <v>-32884.81</v>
      </c>
      <c r="H35" s="348">
        <f t="shared" si="2"/>
        <v>624549.19000000006</v>
      </c>
    </row>
    <row r="36" spans="1:8" x14ac:dyDescent="0.2">
      <c r="A36" s="342">
        <v>4</v>
      </c>
      <c r="B36" s="342"/>
      <c r="C36" s="349">
        <v>43314</v>
      </c>
      <c r="E36" s="350">
        <f t="shared" si="0"/>
        <v>10957.003333333334</v>
      </c>
      <c r="F36" s="341">
        <f t="shared" si="1"/>
        <v>-43841.813333333332</v>
      </c>
      <c r="H36" s="348">
        <f t="shared" si="2"/>
        <v>613592.18666666676</v>
      </c>
    </row>
    <row r="37" spans="1:8" x14ac:dyDescent="0.2">
      <c r="A37" s="342">
        <v>5</v>
      </c>
      <c r="B37" s="342"/>
      <c r="C37" s="349">
        <v>43345</v>
      </c>
      <c r="E37" s="350">
        <f t="shared" si="0"/>
        <v>10957.003333333334</v>
      </c>
      <c r="F37" s="341">
        <f t="shared" si="1"/>
        <v>-54798.816666666666</v>
      </c>
      <c r="H37" s="348">
        <f t="shared" si="2"/>
        <v>602635.18333333347</v>
      </c>
    </row>
    <row r="38" spans="1:8" x14ac:dyDescent="0.2">
      <c r="A38" s="342">
        <v>6</v>
      </c>
      <c r="B38" s="342"/>
      <c r="C38" s="349">
        <v>43375</v>
      </c>
      <c r="E38" s="350">
        <f t="shared" si="0"/>
        <v>10957.003333333334</v>
      </c>
      <c r="F38" s="341">
        <f t="shared" si="1"/>
        <v>-65755.820000000007</v>
      </c>
      <c r="H38" s="348">
        <f t="shared" si="2"/>
        <v>591678.18000000017</v>
      </c>
    </row>
    <row r="39" spans="1:8" x14ac:dyDescent="0.2">
      <c r="A39" s="342">
        <v>7</v>
      </c>
      <c r="B39" s="342"/>
      <c r="C39" s="349">
        <v>43406</v>
      </c>
      <c r="E39" s="350">
        <f t="shared" si="0"/>
        <v>10957.003333333334</v>
      </c>
      <c r="F39" s="341">
        <f t="shared" si="1"/>
        <v>-76712.823333333334</v>
      </c>
      <c r="H39" s="348">
        <f t="shared" si="2"/>
        <v>580721.17666666687</v>
      </c>
    </row>
    <row r="40" spans="1:8" x14ac:dyDescent="0.2">
      <c r="A40" s="342">
        <v>8</v>
      </c>
      <c r="B40" s="342"/>
      <c r="C40" s="349">
        <v>43436</v>
      </c>
      <c r="E40" s="350">
        <f t="shared" si="0"/>
        <v>10957.003333333334</v>
      </c>
      <c r="F40" s="341">
        <f t="shared" si="1"/>
        <v>-87669.82666666666</v>
      </c>
      <c r="H40" s="348">
        <f t="shared" si="2"/>
        <v>569764.17333333357</v>
      </c>
    </row>
    <row r="41" spans="1:8" x14ac:dyDescent="0.2">
      <c r="A41" s="342">
        <v>9</v>
      </c>
      <c r="B41" s="342"/>
      <c r="C41" s="349">
        <v>43467</v>
      </c>
      <c r="E41" s="350">
        <f t="shared" si="0"/>
        <v>10957.003333333334</v>
      </c>
      <c r="F41" s="341">
        <f t="shared" si="1"/>
        <v>-98626.829999999987</v>
      </c>
      <c r="H41" s="348">
        <f t="shared" si="2"/>
        <v>558807.17000000027</v>
      </c>
    </row>
    <row r="42" spans="1:8" x14ac:dyDescent="0.2">
      <c r="A42" s="342">
        <v>10</v>
      </c>
      <c r="B42" s="342"/>
      <c r="C42" s="349">
        <v>43498</v>
      </c>
      <c r="E42" s="350">
        <f t="shared" si="0"/>
        <v>10957.003333333334</v>
      </c>
      <c r="F42" s="341">
        <f t="shared" si="1"/>
        <v>-109583.83333333331</v>
      </c>
      <c r="H42" s="348">
        <f t="shared" si="2"/>
        <v>547850.16666666698</v>
      </c>
    </row>
    <row r="43" spans="1:8" x14ac:dyDescent="0.2">
      <c r="A43" s="342">
        <v>11</v>
      </c>
      <c r="B43" s="342"/>
      <c r="C43" s="349">
        <v>43526</v>
      </c>
      <c r="E43" s="350">
        <f t="shared" si="0"/>
        <v>10957.003333333334</v>
      </c>
      <c r="F43" s="341">
        <f t="shared" si="1"/>
        <v>-120540.83666666664</v>
      </c>
      <c r="H43" s="348">
        <f t="shared" si="2"/>
        <v>536893.16333333368</v>
      </c>
    </row>
    <row r="44" spans="1:8" x14ac:dyDescent="0.2">
      <c r="A44" s="342">
        <v>12</v>
      </c>
      <c r="B44" s="342"/>
      <c r="C44" s="349">
        <v>43557</v>
      </c>
      <c r="E44" s="350">
        <f t="shared" si="0"/>
        <v>10957.003333333334</v>
      </c>
      <c r="F44" s="341">
        <f t="shared" si="1"/>
        <v>-131497.83999999997</v>
      </c>
      <c r="H44" s="348">
        <f t="shared" si="2"/>
        <v>525936.16000000038</v>
      </c>
    </row>
    <row r="45" spans="1:8" x14ac:dyDescent="0.2">
      <c r="A45" s="342">
        <v>13</v>
      </c>
      <c r="B45" s="342"/>
      <c r="C45" s="349">
        <v>43587</v>
      </c>
      <c r="E45" s="350">
        <f t="shared" si="0"/>
        <v>10957.003333333334</v>
      </c>
      <c r="F45" s="341">
        <f t="shared" si="1"/>
        <v>-142454.84333333329</v>
      </c>
      <c r="H45" s="348">
        <f t="shared" si="2"/>
        <v>514979.15666666703</v>
      </c>
    </row>
    <row r="46" spans="1:8" x14ac:dyDescent="0.2">
      <c r="A46" s="342">
        <v>14</v>
      </c>
      <c r="B46" s="342"/>
      <c r="C46" s="349">
        <v>43618</v>
      </c>
      <c r="E46" s="350">
        <f t="shared" si="0"/>
        <v>10957.003333333334</v>
      </c>
      <c r="F46" s="341">
        <f t="shared" si="1"/>
        <v>-153411.84666666662</v>
      </c>
      <c r="H46" s="348">
        <f t="shared" si="2"/>
        <v>504022.15333333367</v>
      </c>
    </row>
    <row r="47" spans="1:8" x14ac:dyDescent="0.2">
      <c r="A47" s="342">
        <v>15</v>
      </c>
      <c r="B47" s="342"/>
      <c r="C47" s="349">
        <v>43648</v>
      </c>
      <c r="E47" s="350">
        <f t="shared" si="0"/>
        <v>10957.003333333334</v>
      </c>
      <c r="F47" s="341">
        <f t="shared" si="1"/>
        <v>-164368.84999999995</v>
      </c>
      <c r="H47" s="348">
        <f t="shared" si="2"/>
        <v>493065.15000000031</v>
      </c>
    </row>
    <row r="48" spans="1:8" x14ac:dyDescent="0.2">
      <c r="A48" s="342">
        <v>16</v>
      </c>
      <c r="B48" s="342"/>
      <c r="C48" s="349">
        <v>43679</v>
      </c>
      <c r="E48" s="350">
        <f t="shared" si="0"/>
        <v>10957.003333333334</v>
      </c>
      <c r="F48" s="341">
        <f t="shared" si="1"/>
        <v>-175325.85333333327</v>
      </c>
      <c r="H48" s="348">
        <f t="shared" si="2"/>
        <v>482108.14666666696</v>
      </c>
    </row>
    <row r="49" spans="1:8" x14ac:dyDescent="0.2">
      <c r="A49" s="342">
        <v>17</v>
      </c>
      <c r="B49" s="342"/>
      <c r="C49" s="349">
        <v>43710</v>
      </c>
      <c r="E49" s="350">
        <f t="shared" si="0"/>
        <v>10957.003333333334</v>
      </c>
      <c r="F49" s="341">
        <f t="shared" si="1"/>
        <v>-186282.8566666666</v>
      </c>
      <c r="H49" s="348">
        <f t="shared" si="2"/>
        <v>471151.1433333336</v>
      </c>
    </row>
    <row r="50" spans="1:8" x14ac:dyDescent="0.2">
      <c r="A50" s="342">
        <v>18</v>
      </c>
      <c r="B50" s="342"/>
      <c r="C50" s="349">
        <v>43740</v>
      </c>
      <c r="E50" s="350">
        <f t="shared" si="0"/>
        <v>10957.003333333334</v>
      </c>
      <c r="F50" s="341">
        <f t="shared" si="1"/>
        <v>-197239.85999999993</v>
      </c>
      <c r="H50" s="348">
        <f t="shared" si="2"/>
        <v>460194.14000000025</v>
      </c>
    </row>
    <row r="51" spans="1:8" x14ac:dyDescent="0.2">
      <c r="A51" s="342">
        <v>19</v>
      </c>
      <c r="B51" s="342"/>
      <c r="C51" s="349">
        <v>43771</v>
      </c>
      <c r="E51" s="350">
        <f t="shared" si="0"/>
        <v>10957.003333333334</v>
      </c>
      <c r="F51" s="341">
        <f t="shared" si="1"/>
        <v>-208196.86333333325</v>
      </c>
      <c r="H51" s="348">
        <f t="shared" si="2"/>
        <v>449237.13666666689</v>
      </c>
    </row>
    <row r="52" spans="1:8" x14ac:dyDescent="0.2">
      <c r="A52" s="342">
        <v>20</v>
      </c>
      <c r="B52" s="342"/>
      <c r="C52" s="349">
        <v>43801</v>
      </c>
      <c r="E52" s="350">
        <f t="shared" si="0"/>
        <v>10957.003333333334</v>
      </c>
      <c r="F52" s="341">
        <f t="shared" si="1"/>
        <v>-219153.86666666658</v>
      </c>
      <c r="H52" s="348">
        <f t="shared" si="2"/>
        <v>438280.13333333354</v>
      </c>
    </row>
    <row r="53" spans="1:8" x14ac:dyDescent="0.2">
      <c r="A53" s="342">
        <v>21</v>
      </c>
      <c r="B53" s="342"/>
      <c r="C53" s="349">
        <v>43832</v>
      </c>
      <c r="E53" s="350">
        <f t="shared" si="0"/>
        <v>10957.003333333334</v>
      </c>
      <c r="F53" s="341">
        <f t="shared" si="1"/>
        <v>-230110.86999999991</v>
      </c>
      <c r="H53" s="348">
        <f t="shared" si="2"/>
        <v>427323.13000000018</v>
      </c>
    </row>
    <row r="54" spans="1:8" x14ac:dyDescent="0.2">
      <c r="A54" s="342">
        <v>22</v>
      </c>
      <c r="B54" s="342"/>
      <c r="C54" s="349">
        <v>43863</v>
      </c>
      <c r="E54" s="350">
        <f t="shared" si="0"/>
        <v>10957.003333333334</v>
      </c>
      <c r="F54" s="341">
        <f t="shared" si="1"/>
        <v>-241067.87333333323</v>
      </c>
      <c r="H54" s="348">
        <f t="shared" si="2"/>
        <v>416366.12666666682</v>
      </c>
    </row>
    <row r="55" spans="1:8" x14ac:dyDescent="0.2">
      <c r="A55" s="342">
        <v>23</v>
      </c>
      <c r="B55" s="342"/>
      <c r="C55" s="349">
        <v>43892</v>
      </c>
      <c r="E55" s="350">
        <f t="shared" si="0"/>
        <v>10957.003333333334</v>
      </c>
      <c r="F55" s="341">
        <f t="shared" si="1"/>
        <v>-252024.87666666656</v>
      </c>
      <c r="H55" s="348">
        <f t="shared" si="2"/>
        <v>405409.12333333347</v>
      </c>
    </row>
    <row r="56" spans="1:8" x14ac:dyDescent="0.2">
      <c r="A56" s="342">
        <v>24</v>
      </c>
      <c r="B56" s="342"/>
      <c r="C56" s="349">
        <v>43923</v>
      </c>
      <c r="E56" s="350">
        <f t="shared" si="0"/>
        <v>10957.003333333334</v>
      </c>
      <c r="F56" s="341">
        <f t="shared" si="1"/>
        <v>-262981.87999999989</v>
      </c>
      <c r="H56" s="348">
        <f t="shared" si="2"/>
        <v>394452.12000000011</v>
      </c>
    </row>
    <row r="57" spans="1:8" x14ac:dyDescent="0.2">
      <c r="A57" s="342">
        <v>25</v>
      </c>
      <c r="B57" s="342"/>
      <c r="C57" s="349">
        <v>43953</v>
      </c>
      <c r="E57" s="350">
        <f t="shared" si="0"/>
        <v>10957.003333333334</v>
      </c>
      <c r="F57" s="341">
        <f t="shared" si="1"/>
        <v>-273938.88333333324</v>
      </c>
      <c r="H57" s="348">
        <f t="shared" si="2"/>
        <v>383495.11666666676</v>
      </c>
    </row>
    <row r="58" spans="1:8" x14ac:dyDescent="0.2">
      <c r="A58" s="342">
        <v>26</v>
      </c>
      <c r="B58" s="342"/>
      <c r="C58" s="349">
        <v>43984</v>
      </c>
      <c r="E58" s="350">
        <f t="shared" si="0"/>
        <v>10957.003333333334</v>
      </c>
      <c r="F58" s="341">
        <f t="shared" si="1"/>
        <v>-284895.8866666666</v>
      </c>
      <c r="H58" s="348">
        <f t="shared" si="2"/>
        <v>372538.1133333334</v>
      </c>
    </row>
    <row r="59" spans="1:8" x14ac:dyDescent="0.2">
      <c r="A59" s="342">
        <v>27</v>
      </c>
      <c r="B59" s="342"/>
      <c r="C59" s="349">
        <v>44014</v>
      </c>
      <c r="E59" s="350">
        <f t="shared" si="0"/>
        <v>10957.003333333334</v>
      </c>
      <c r="F59" s="341">
        <f t="shared" si="1"/>
        <v>-295852.88999999996</v>
      </c>
      <c r="H59" s="348">
        <f t="shared" si="2"/>
        <v>361581.11000000004</v>
      </c>
    </row>
    <row r="60" spans="1:8" x14ac:dyDescent="0.2">
      <c r="A60" s="342">
        <v>28</v>
      </c>
      <c r="B60" s="342"/>
      <c r="C60" s="349">
        <v>44045</v>
      </c>
      <c r="E60" s="350">
        <f t="shared" si="0"/>
        <v>10957.003333333334</v>
      </c>
      <c r="F60" s="341">
        <f t="shared" si="1"/>
        <v>-306809.89333333331</v>
      </c>
      <c r="H60" s="348">
        <f t="shared" si="2"/>
        <v>350624.10666666669</v>
      </c>
    </row>
    <row r="61" spans="1:8" x14ac:dyDescent="0.2">
      <c r="A61" s="342">
        <v>29</v>
      </c>
      <c r="B61" s="342"/>
      <c r="C61" s="349">
        <v>44076</v>
      </c>
      <c r="E61" s="350">
        <f t="shared" si="0"/>
        <v>10957.003333333334</v>
      </c>
      <c r="F61" s="341">
        <f t="shared" si="1"/>
        <v>-317766.89666666667</v>
      </c>
      <c r="H61" s="348">
        <f t="shared" si="2"/>
        <v>339667.10333333333</v>
      </c>
    </row>
    <row r="62" spans="1:8" x14ac:dyDescent="0.2">
      <c r="A62" s="342">
        <v>30</v>
      </c>
      <c r="B62" s="342"/>
      <c r="C62" s="349">
        <v>44106</v>
      </c>
      <c r="E62" s="350">
        <f t="shared" si="0"/>
        <v>10957.003333333334</v>
      </c>
      <c r="F62" s="341">
        <f t="shared" si="1"/>
        <v>-328723.90000000002</v>
      </c>
      <c r="H62" s="348">
        <f t="shared" si="2"/>
        <v>328710.09999999998</v>
      </c>
    </row>
    <row r="63" spans="1:8" x14ac:dyDescent="0.2">
      <c r="A63" s="342">
        <v>31</v>
      </c>
      <c r="B63" s="342"/>
      <c r="C63" s="349">
        <v>44137</v>
      </c>
      <c r="E63" s="350">
        <f t="shared" si="0"/>
        <v>10957.003333333334</v>
      </c>
      <c r="F63" s="341">
        <f t="shared" si="1"/>
        <v>-339680.90333333338</v>
      </c>
      <c r="H63" s="348">
        <f t="shared" si="2"/>
        <v>317753.09666666662</v>
      </c>
    </row>
    <row r="64" spans="1:8" x14ac:dyDescent="0.2">
      <c r="A64" s="342">
        <v>32</v>
      </c>
      <c r="B64" s="342"/>
      <c r="C64" s="349">
        <v>44167</v>
      </c>
      <c r="E64" s="350">
        <f t="shared" si="0"/>
        <v>10957.003333333334</v>
      </c>
      <c r="F64" s="341">
        <f t="shared" si="1"/>
        <v>-350637.90666666673</v>
      </c>
      <c r="H64" s="348">
        <f t="shared" si="2"/>
        <v>306796.09333333327</v>
      </c>
    </row>
    <row r="65" spans="1:8" x14ac:dyDescent="0.2">
      <c r="A65" s="342">
        <v>33</v>
      </c>
      <c r="B65" s="342"/>
      <c r="C65" s="349">
        <v>44198</v>
      </c>
      <c r="E65" s="350">
        <f t="shared" si="0"/>
        <v>10957.003333333334</v>
      </c>
      <c r="F65" s="341">
        <f t="shared" si="1"/>
        <v>-361594.91000000009</v>
      </c>
      <c r="H65" s="348">
        <f t="shared" si="2"/>
        <v>295839.08999999991</v>
      </c>
    </row>
    <row r="66" spans="1:8" x14ac:dyDescent="0.2">
      <c r="A66" s="342">
        <v>34</v>
      </c>
      <c r="B66" s="342"/>
      <c r="C66" s="349">
        <v>44229</v>
      </c>
      <c r="E66" s="350">
        <f t="shared" si="0"/>
        <v>10957.003333333334</v>
      </c>
      <c r="F66" s="341">
        <f t="shared" si="1"/>
        <v>-372551.91333333345</v>
      </c>
      <c r="H66" s="348">
        <f t="shared" si="2"/>
        <v>284882.08666666655</v>
      </c>
    </row>
    <row r="67" spans="1:8" x14ac:dyDescent="0.2">
      <c r="A67" s="342">
        <v>35</v>
      </c>
      <c r="B67" s="342"/>
      <c r="C67" s="349">
        <v>44257</v>
      </c>
      <c r="E67" s="350">
        <f t="shared" si="0"/>
        <v>10957.003333333334</v>
      </c>
      <c r="F67" s="341">
        <f t="shared" si="1"/>
        <v>-383508.9166666668</v>
      </c>
      <c r="H67" s="348">
        <f t="shared" si="2"/>
        <v>273925.0833333332</v>
      </c>
    </row>
    <row r="68" spans="1:8" x14ac:dyDescent="0.2">
      <c r="A68" s="342">
        <v>36</v>
      </c>
      <c r="B68" s="342"/>
      <c r="C68" s="349">
        <v>44288</v>
      </c>
      <c r="E68" s="350">
        <f t="shared" si="0"/>
        <v>10957.003333333334</v>
      </c>
      <c r="F68" s="341">
        <f t="shared" si="1"/>
        <v>-394465.92000000016</v>
      </c>
      <c r="H68" s="348">
        <f t="shared" si="2"/>
        <v>262968.07999999984</v>
      </c>
    </row>
    <row r="69" spans="1:8" x14ac:dyDescent="0.2">
      <c r="A69" s="342">
        <v>37</v>
      </c>
      <c r="B69" s="342"/>
      <c r="C69" s="349">
        <v>44318</v>
      </c>
      <c r="E69" s="350">
        <f t="shared" si="0"/>
        <v>10957.003333333334</v>
      </c>
      <c r="F69" s="341">
        <f t="shared" si="1"/>
        <v>-405422.92333333351</v>
      </c>
      <c r="H69" s="348">
        <f t="shared" si="2"/>
        <v>252011.07666666651</v>
      </c>
    </row>
    <row r="70" spans="1:8" x14ac:dyDescent="0.2">
      <c r="A70" s="342">
        <v>38</v>
      </c>
      <c r="B70" s="342"/>
      <c r="C70" s="349">
        <v>44349</v>
      </c>
      <c r="E70" s="350">
        <f t="shared" si="0"/>
        <v>10957.003333333334</v>
      </c>
      <c r="F70" s="341">
        <f t="shared" si="1"/>
        <v>-416379.92666666687</v>
      </c>
      <c r="H70" s="348">
        <f t="shared" si="2"/>
        <v>241054.07333333319</v>
      </c>
    </row>
    <row r="71" spans="1:8" x14ac:dyDescent="0.2">
      <c r="A71" s="342">
        <v>39</v>
      </c>
      <c r="B71" s="342"/>
      <c r="C71" s="349">
        <v>44379</v>
      </c>
      <c r="E71" s="350">
        <f t="shared" si="0"/>
        <v>10957.003333333334</v>
      </c>
      <c r="F71" s="341">
        <f t="shared" si="1"/>
        <v>-427336.93000000023</v>
      </c>
      <c r="H71" s="348">
        <f t="shared" si="2"/>
        <v>230097.06999999986</v>
      </c>
    </row>
    <row r="72" spans="1:8" x14ac:dyDescent="0.2">
      <c r="A72" s="342">
        <v>40</v>
      </c>
      <c r="B72" s="342"/>
      <c r="C72" s="349">
        <v>44410</v>
      </c>
      <c r="E72" s="350">
        <f t="shared" si="0"/>
        <v>10957.003333333334</v>
      </c>
      <c r="F72" s="341">
        <f t="shared" si="1"/>
        <v>-438293.93333333358</v>
      </c>
      <c r="H72" s="348">
        <f t="shared" si="2"/>
        <v>219140.06666666653</v>
      </c>
    </row>
    <row r="73" spans="1:8" x14ac:dyDescent="0.2">
      <c r="A73" s="342">
        <v>41</v>
      </c>
      <c r="B73" s="342"/>
      <c r="C73" s="349">
        <v>44441</v>
      </c>
      <c r="E73" s="350">
        <f t="shared" si="0"/>
        <v>10957.003333333334</v>
      </c>
      <c r="F73" s="341">
        <f t="shared" si="1"/>
        <v>-449250.93666666694</v>
      </c>
      <c r="H73" s="348">
        <f t="shared" si="2"/>
        <v>208183.06333333321</v>
      </c>
    </row>
    <row r="74" spans="1:8" x14ac:dyDescent="0.2">
      <c r="A74" s="342">
        <v>42</v>
      </c>
      <c r="B74" s="342"/>
      <c r="C74" s="349">
        <v>44471</v>
      </c>
      <c r="E74" s="350">
        <f t="shared" si="0"/>
        <v>10957.003333333334</v>
      </c>
      <c r="F74" s="341">
        <f t="shared" si="1"/>
        <v>-460207.94000000029</v>
      </c>
      <c r="H74" s="348">
        <f t="shared" si="2"/>
        <v>197226.05999999988</v>
      </c>
    </row>
    <row r="75" spans="1:8" x14ac:dyDescent="0.2">
      <c r="A75" s="342">
        <v>43</v>
      </c>
      <c r="B75" s="342"/>
      <c r="C75" s="349">
        <v>44502</v>
      </c>
      <c r="E75" s="350">
        <f t="shared" si="0"/>
        <v>10957.003333333334</v>
      </c>
      <c r="F75" s="341">
        <f t="shared" si="1"/>
        <v>-471164.94333333365</v>
      </c>
      <c r="H75" s="348">
        <f t="shared" si="2"/>
        <v>186269.05666666655</v>
      </c>
    </row>
    <row r="76" spans="1:8" x14ac:dyDescent="0.2">
      <c r="A76" s="342">
        <v>44</v>
      </c>
      <c r="B76" s="342"/>
      <c r="C76" s="349">
        <v>44532</v>
      </c>
      <c r="E76" s="350">
        <f t="shared" si="0"/>
        <v>10957.003333333334</v>
      </c>
      <c r="F76" s="341">
        <f t="shared" si="1"/>
        <v>-482121.94666666701</v>
      </c>
      <c r="H76" s="348">
        <f t="shared" si="2"/>
        <v>175312.05333333323</v>
      </c>
    </row>
    <row r="77" spans="1:8" x14ac:dyDescent="0.2">
      <c r="A77" s="342">
        <v>45</v>
      </c>
      <c r="B77" s="342"/>
      <c r="C77" s="349">
        <v>44563</v>
      </c>
      <c r="E77" s="350">
        <f t="shared" si="0"/>
        <v>10957.003333333334</v>
      </c>
      <c r="F77" s="341">
        <f t="shared" si="1"/>
        <v>-493078.95000000036</v>
      </c>
      <c r="H77" s="348">
        <f t="shared" si="2"/>
        <v>164355.0499999999</v>
      </c>
    </row>
    <row r="78" spans="1:8" x14ac:dyDescent="0.2">
      <c r="A78" s="342">
        <v>46</v>
      </c>
      <c r="B78" s="342"/>
      <c r="C78" s="349">
        <v>44594</v>
      </c>
      <c r="E78" s="350">
        <f t="shared" si="0"/>
        <v>10957.003333333334</v>
      </c>
      <c r="F78" s="341">
        <f t="shared" si="1"/>
        <v>-504035.95333333372</v>
      </c>
      <c r="H78" s="348">
        <f t="shared" si="2"/>
        <v>153398.04666666657</v>
      </c>
    </row>
    <row r="79" spans="1:8" x14ac:dyDescent="0.2">
      <c r="A79" s="342">
        <v>47</v>
      </c>
      <c r="B79" s="342"/>
      <c r="C79" s="349">
        <v>44622</v>
      </c>
      <c r="E79" s="350">
        <f t="shared" si="0"/>
        <v>10957.003333333334</v>
      </c>
      <c r="F79" s="341">
        <f t="shared" si="1"/>
        <v>-514992.95666666707</v>
      </c>
      <c r="H79" s="348">
        <f t="shared" si="2"/>
        <v>142441.04333333325</v>
      </c>
    </row>
    <row r="80" spans="1:8" x14ac:dyDescent="0.2">
      <c r="A80" s="342">
        <v>48</v>
      </c>
      <c r="B80" s="342"/>
      <c r="C80" s="349">
        <v>44653</v>
      </c>
      <c r="E80" s="350">
        <f t="shared" si="0"/>
        <v>10957.003333333334</v>
      </c>
      <c r="F80" s="341">
        <f t="shared" si="1"/>
        <v>-525949.96000000043</v>
      </c>
      <c r="H80" s="348">
        <f t="shared" si="2"/>
        <v>131484.03999999992</v>
      </c>
    </row>
    <row r="81" spans="1:8" x14ac:dyDescent="0.2">
      <c r="A81" s="342">
        <v>49</v>
      </c>
      <c r="B81" s="342"/>
      <c r="C81" s="349">
        <v>44683</v>
      </c>
      <c r="E81" s="350">
        <f t="shared" si="0"/>
        <v>10957.003333333334</v>
      </c>
      <c r="F81" s="341">
        <f t="shared" si="1"/>
        <v>-536906.96333333373</v>
      </c>
      <c r="H81" s="348">
        <f t="shared" si="2"/>
        <v>120527.03666666659</v>
      </c>
    </row>
    <row r="82" spans="1:8" x14ac:dyDescent="0.2">
      <c r="A82" s="342">
        <v>50</v>
      </c>
      <c r="B82" s="342"/>
      <c r="C82" s="349">
        <v>44714</v>
      </c>
      <c r="E82" s="350">
        <f t="shared" si="0"/>
        <v>10957.003333333334</v>
      </c>
      <c r="F82" s="341">
        <f t="shared" si="1"/>
        <v>-547863.96666666702</v>
      </c>
      <c r="H82" s="348">
        <f t="shared" si="2"/>
        <v>109570.03333333327</v>
      </c>
    </row>
    <row r="83" spans="1:8" x14ac:dyDescent="0.2">
      <c r="A83" s="342">
        <v>51</v>
      </c>
      <c r="B83" s="342"/>
      <c r="C83" s="349">
        <v>44744</v>
      </c>
      <c r="E83" s="350">
        <f t="shared" si="0"/>
        <v>10957.003333333334</v>
      </c>
      <c r="F83" s="341">
        <f t="shared" si="1"/>
        <v>-558820.97000000032</v>
      </c>
      <c r="H83" s="348">
        <f t="shared" si="2"/>
        <v>98613.029999999941</v>
      </c>
    </row>
    <row r="84" spans="1:8" x14ac:dyDescent="0.2">
      <c r="A84" s="342">
        <v>52</v>
      </c>
      <c r="B84" s="342"/>
      <c r="C84" s="349">
        <v>44775</v>
      </c>
      <c r="E84" s="350">
        <f t="shared" si="0"/>
        <v>10957.003333333334</v>
      </c>
      <c r="F84" s="341">
        <f t="shared" si="1"/>
        <v>-569777.97333333362</v>
      </c>
      <c r="H84" s="348">
        <f t="shared" si="2"/>
        <v>87656.026666666614</v>
      </c>
    </row>
    <row r="85" spans="1:8" x14ac:dyDescent="0.2">
      <c r="A85" s="342">
        <v>53</v>
      </c>
      <c r="B85" s="342"/>
      <c r="C85" s="349">
        <v>44806</v>
      </c>
      <c r="E85" s="350">
        <f t="shared" si="0"/>
        <v>10957.003333333334</v>
      </c>
      <c r="F85" s="341">
        <f t="shared" si="1"/>
        <v>-580734.97666666692</v>
      </c>
      <c r="H85" s="348">
        <f t="shared" si="2"/>
        <v>76699.023333333287</v>
      </c>
    </row>
    <row r="86" spans="1:8" x14ac:dyDescent="0.2">
      <c r="A86" s="342">
        <v>54</v>
      </c>
      <c r="B86" s="342"/>
      <c r="C86" s="349">
        <v>44836</v>
      </c>
      <c r="E86" s="350">
        <f t="shared" si="0"/>
        <v>10957.003333333334</v>
      </c>
      <c r="F86" s="341">
        <f t="shared" si="1"/>
        <v>-591691.98000000021</v>
      </c>
      <c r="H86" s="348">
        <f t="shared" si="2"/>
        <v>65742.01999999996</v>
      </c>
    </row>
    <row r="87" spans="1:8" x14ac:dyDescent="0.2">
      <c r="A87" s="342">
        <v>55</v>
      </c>
      <c r="B87" s="342"/>
      <c r="C87" s="349">
        <v>44867</v>
      </c>
      <c r="E87" s="350">
        <f t="shared" si="0"/>
        <v>10957.003333333334</v>
      </c>
      <c r="F87" s="341">
        <f t="shared" si="1"/>
        <v>-602648.98333333351</v>
      </c>
      <c r="H87" s="348">
        <f t="shared" si="2"/>
        <v>54785.016666666626</v>
      </c>
    </row>
    <row r="88" spans="1:8" x14ac:dyDescent="0.2">
      <c r="A88" s="342">
        <v>56</v>
      </c>
      <c r="B88" s="342"/>
      <c r="C88" s="349">
        <v>44897</v>
      </c>
      <c r="E88" s="350">
        <f t="shared" si="0"/>
        <v>10957.003333333334</v>
      </c>
      <c r="F88" s="341">
        <f t="shared" si="1"/>
        <v>-613605.98666666681</v>
      </c>
      <c r="H88" s="348">
        <f t="shared" si="2"/>
        <v>43828.013333333292</v>
      </c>
    </row>
    <row r="89" spans="1:8" x14ac:dyDescent="0.2">
      <c r="A89" s="342">
        <v>57</v>
      </c>
      <c r="B89" s="342"/>
      <c r="C89" s="349">
        <v>44928</v>
      </c>
      <c r="E89" s="341">
        <f t="shared" si="0"/>
        <v>10957.003333333334</v>
      </c>
      <c r="F89" s="341">
        <f t="shared" si="1"/>
        <v>-624562.99000000011</v>
      </c>
      <c r="H89" s="348">
        <f t="shared" si="2"/>
        <v>32871.009999999958</v>
      </c>
    </row>
    <row r="90" spans="1:8" x14ac:dyDescent="0.2">
      <c r="A90" s="342">
        <v>58</v>
      </c>
      <c r="B90" s="342"/>
      <c r="C90" s="349">
        <v>44959</v>
      </c>
      <c r="E90" s="341">
        <f t="shared" si="0"/>
        <v>10957.003333333334</v>
      </c>
      <c r="F90" s="341">
        <f t="shared" si="1"/>
        <v>-635519.9933333334</v>
      </c>
      <c r="H90" s="348">
        <f t="shared" si="2"/>
        <v>21914.006666666624</v>
      </c>
    </row>
    <row r="91" spans="1:8" x14ac:dyDescent="0.2">
      <c r="A91" s="342">
        <v>59</v>
      </c>
      <c r="B91" s="342"/>
      <c r="C91" s="349">
        <v>44987</v>
      </c>
      <c r="E91" s="341">
        <f t="shared" si="0"/>
        <v>10957.003333333334</v>
      </c>
      <c r="F91" s="341">
        <f t="shared" si="1"/>
        <v>-646476.9966666667</v>
      </c>
      <c r="H91" s="348">
        <f t="shared" si="2"/>
        <v>10957.00333333329</v>
      </c>
    </row>
    <row r="92" spans="1:8" x14ac:dyDescent="0.2">
      <c r="A92" s="342">
        <v>60</v>
      </c>
      <c r="B92" s="342"/>
      <c r="C92" s="349">
        <v>45018</v>
      </c>
      <c r="E92" s="341">
        <f t="shared" si="0"/>
        <v>10957.003333333334</v>
      </c>
      <c r="F92" s="341">
        <f t="shared" si="1"/>
        <v>-657434</v>
      </c>
      <c r="H92" s="348">
        <f t="shared" si="2"/>
        <v>-4.3655745685100555E-11</v>
      </c>
    </row>
    <row r="93" spans="1:8" x14ac:dyDescent="0.2">
      <c r="A93" s="342"/>
      <c r="B93" s="342"/>
      <c r="C93" s="349"/>
      <c r="E93" s="341"/>
      <c r="F93" s="341"/>
      <c r="H93" s="348"/>
    </row>
    <row r="94" spans="1:8" x14ac:dyDescent="0.2">
      <c r="A94" s="342"/>
      <c r="B94" s="342"/>
      <c r="C94" s="349"/>
      <c r="E94" s="341"/>
      <c r="F94" s="341"/>
      <c r="H94" s="348"/>
    </row>
    <row r="95" spans="1:8" x14ac:dyDescent="0.2">
      <c r="A95" s="342"/>
      <c r="B95" s="342"/>
      <c r="C95" s="349"/>
      <c r="E95" s="341"/>
      <c r="F95" s="341"/>
      <c r="H95" s="348"/>
    </row>
    <row r="96" spans="1:8" x14ac:dyDescent="0.2">
      <c r="A96" s="342"/>
      <c r="B96" s="342"/>
      <c r="C96" s="349"/>
      <c r="E96" s="341"/>
      <c r="F96" s="341"/>
      <c r="H96" s="348"/>
    </row>
    <row r="97" spans="1:8" x14ac:dyDescent="0.2">
      <c r="A97" s="342"/>
      <c r="B97" s="342"/>
      <c r="C97" s="349"/>
      <c r="E97" s="341"/>
      <c r="F97" s="341"/>
      <c r="H97" s="348"/>
    </row>
    <row r="98" spans="1:8" x14ac:dyDescent="0.2">
      <c r="A98" s="342"/>
      <c r="B98" s="342"/>
      <c r="C98" s="349"/>
      <c r="E98" s="341"/>
      <c r="F98" s="341"/>
      <c r="H98" s="348"/>
    </row>
    <row r="99" spans="1:8" x14ac:dyDescent="0.2">
      <c r="A99" s="342"/>
      <c r="B99" s="342"/>
      <c r="C99" s="349"/>
      <c r="E99" s="341"/>
      <c r="F99" s="341"/>
      <c r="H99" s="348"/>
    </row>
    <row r="100" spans="1:8" x14ac:dyDescent="0.2">
      <c r="A100" s="342"/>
      <c r="B100" s="342"/>
      <c r="C100" s="349"/>
      <c r="E100" s="341"/>
      <c r="F100" s="341"/>
      <c r="H100" s="348"/>
    </row>
    <row r="101" spans="1:8" x14ac:dyDescent="0.2">
      <c r="A101" s="342"/>
      <c r="B101" s="342"/>
      <c r="C101" s="349"/>
      <c r="E101" s="341"/>
      <c r="F101" s="341"/>
      <c r="H101" s="348"/>
    </row>
    <row r="102" spans="1:8" x14ac:dyDescent="0.2">
      <c r="A102" s="342"/>
      <c r="B102" s="342"/>
      <c r="C102" s="349"/>
      <c r="E102" s="341"/>
      <c r="F102" s="341"/>
      <c r="H102" s="348"/>
    </row>
    <row r="103" spans="1:8" x14ac:dyDescent="0.2">
      <c r="A103" s="342"/>
      <c r="B103" s="342"/>
      <c r="C103" s="349"/>
      <c r="E103" s="341"/>
      <c r="F103" s="341"/>
      <c r="H103" s="348"/>
    </row>
    <row r="104" spans="1:8" x14ac:dyDescent="0.2">
      <c r="A104" s="342"/>
      <c r="B104" s="342"/>
      <c r="C104" s="349"/>
      <c r="E104" s="341"/>
      <c r="F104" s="341"/>
      <c r="H104" s="348"/>
    </row>
    <row r="105" spans="1:8" x14ac:dyDescent="0.2">
      <c r="A105" s="342"/>
      <c r="B105" s="342"/>
      <c r="C105" s="349"/>
      <c r="E105" s="341"/>
      <c r="F105" s="341"/>
      <c r="H105" s="348"/>
    </row>
    <row r="106" spans="1:8" x14ac:dyDescent="0.2">
      <c r="A106" s="342"/>
      <c r="B106" s="342"/>
      <c r="C106" s="349"/>
      <c r="E106" s="341"/>
      <c r="F106" s="341"/>
      <c r="H106" s="348"/>
    </row>
    <row r="107" spans="1:8" x14ac:dyDescent="0.2">
      <c r="A107" s="342"/>
      <c r="B107" s="342"/>
      <c r="C107" s="349"/>
      <c r="E107" s="341"/>
      <c r="F107" s="341"/>
      <c r="H107" s="348"/>
    </row>
    <row r="108" spans="1:8" x14ac:dyDescent="0.2">
      <c r="A108" s="342"/>
      <c r="B108" s="342"/>
      <c r="C108" s="349"/>
      <c r="E108" s="341"/>
      <c r="F108" s="341"/>
      <c r="H108" s="348"/>
    </row>
    <row r="109" spans="1:8" x14ac:dyDescent="0.2">
      <c r="A109" s="342"/>
      <c r="B109" s="342"/>
      <c r="C109" s="349"/>
      <c r="E109" s="341"/>
      <c r="F109" s="341"/>
      <c r="H109" s="348"/>
    </row>
    <row r="110" spans="1:8" x14ac:dyDescent="0.2">
      <c r="A110" s="342"/>
      <c r="B110" s="342"/>
      <c r="C110" s="349"/>
      <c r="E110" s="341"/>
      <c r="F110" s="341"/>
      <c r="H110" s="348"/>
    </row>
    <row r="111" spans="1:8" x14ac:dyDescent="0.2">
      <c r="A111" s="342"/>
      <c r="B111" s="342"/>
      <c r="C111" s="349"/>
      <c r="E111" s="341"/>
      <c r="F111" s="341"/>
      <c r="H111" s="348"/>
    </row>
    <row r="112" spans="1:8" x14ac:dyDescent="0.2">
      <c r="A112" s="342"/>
      <c r="B112" s="342"/>
      <c r="C112" s="349"/>
      <c r="E112" s="341"/>
      <c r="F112" s="341"/>
      <c r="H112" s="348"/>
    </row>
    <row r="113" spans="1:8" x14ac:dyDescent="0.2">
      <c r="A113" s="342"/>
      <c r="B113" s="342"/>
      <c r="C113" s="349"/>
      <c r="E113" s="341"/>
      <c r="F113" s="341"/>
      <c r="H113" s="348"/>
    </row>
    <row r="114" spans="1:8" x14ac:dyDescent="0.2">
      <c r="A114" s="342"/>
      <c r="B114" s="342"/>
      <c r="C114" s="349"/>
      <c r="E114" s="341"/>
      <c r="F114" s="341"/>
      <c r="H114" s="348"/>
    </row>
    <row r="115" spans="1:8" x14ac:dyDescent="0.2">
      <c r="A115" s="342"/>
      <c r="B115" s="342"/>
      <c r="C115" s="349"/>
      <c r="E115" s="341"/>
      <c r="F115" s="341"/>
      <c r="H115" s="348"/>
    </row>
    <row r="116" spans="1:8" x14ac:dyDescent="0.2">
      <c r="A116" s="342"/>
      <c r="B116" s="342"/>
      <c r="C116" s="349"/>
      <c r="E116" s="341"/>
      <c r="F116" s="341"/>
      <c r="H116" s="348"/>
    </row>
    <row r="117" spans="1:8" x14ac:dyDescent="0.2">
      <c r="A117" s="342"/>
      <c r="B117" s="342"/>
      <c r="C117" s="349"/>
      <c r="E117" s="341"/>
      <c r="F117" s="341"/>
      <c r="H117" s="348"/>
    </row>
    <row r="118" spans="1:8" x14ac:dyDescent="0.2">
      <c r="A118" s="342"/>
      <c r="B118" s="342"/>
      <c r="C118" s="349"/>
      <c r="E118" s="341"/>
      <c r="F118" s="341"/>
      <c r="H118" s="348"/>
    </row>
    <row r="119" spans="1:8" x14ac:dyDescent="0.2">
      <c r="A119" s="342"/>
      <c r="B119" s="342"/>
      <c r="C119" s="349"/>
      <c r="E119" s="341"/>
      <c r="F119" s="341"/>
      <c r="H119" s="348"/>
    </row>
    <row r="120" spans="1:8" x14ac:dyDescent="0.2">
      <c r="A120" s="342"/>
      <c r="B120" s="342"/>
      <c r="C120" s="349"/>
      <c r="E120" s="341"/>
      <c r="F120" s="341"/>
      <c r="H120" s="348"/>
    </row>
    <row r="121" spans="1:8" x14ac:dyDescent="0.2">
      <c r="A121" s="342"/>
      <c r="B121" s="342"/>
      <c r="C121" s="349"/>
      <c r="E121" s="341"/>
      <c r="F121" s="341"/>
      <c r="H121" s="348"/>
    </row>
    <row r="122" spans="1:8" x14ac:dyDescent="0.2">
      <c r="A122" s="342"/>
      <c r="B122" s="342"/>
      <c r="C122" s="349"/>
      <c r="E122" s="341"/>
      <c r="F122" s="341"/>
      <c r="H122" s="348"/>
    </row>
    <row r="123" spans="1:8" x14ac:dyDescent="0.2">
      <c r="A123" s="342"/>
      <c r="B123" s="342"/>
      <c r="C123" s="349"/>
      <c r="E123" s="341"/>
      <c r="F123" s="341"/>
      <c r="H123" s="348"/>
    </row>
    <row r="124" spans="1:8" x14ac:dyDescent="0.2">
      <c r="A124" s="342"/>
      <c r="B124" s="342"/>
      <c r="C124" s="349"/>
      <c r="E124" s="341"/>
      <c r="F124" s="341"/>
      <c r="H124" s="348"/>
    </row>
    <row r="125" spans="1:8" x14ac:dyDescent="0.2">
      <c r="A125" s="342"/>
      <c r="B125" s="342"/>
      <c r="C125" s="349"/>
      <c r="E125" s="341"/>
      <c r="F125" s="341"/>
      <c r="H125" s="348"/>
    </row>
    <row r="126" spans="1:8" x14ac:dyDescent="0.2">
      <c r="A126" s="342"/>
      <c r="B126" s="342"/>
      <c r="C126" s="349"/>
      <c r="E126" s="341"/>
      <c r="F126" s="341"/>
      <c r="H126" s="348"/>
    </row>
    <row r="127" spans="1:8" x14ac:dyDescent="0.2">
      <c r="A127" s="342"/>
      <c r="B127" s="342"/>
      <c r="C127" s="349"/>
      <c r="E127" s="341"/>
      <c r="F127" s="341"/>
      <c r="H127" s="348"/>
    </row>
    <row r="128" spans="1:8" x14ac:dyDescent="0.2">
      <c r="A128" s="342"/>
      <c r="B128" s="342"/>
      <c r="C128" s="349"/>
      <c r="E128" s="341"/>
      <c r="F128" s="341"/>
      <c r="H128" s="348"/>
    </row>
    <row r="129" spans="1:8" x14ac:dyDescent="0.2">
      <c r="A129" s="342"/>
      <c r="B129" s="342"/>
      <c r="C129" s="349"/>
      <c r="E129" s="341"/>
      <c r="F129" s="341"/>
      <c r="H129" s="348"/>
    </row>
    <row r="130" spans="1:8" x14ac:dyDescent="0.2">
      <c r="A130" s="342"/>
      <c r="B130" s="342"/>
      <c r="C130" s="349"/>
      <c r="E130" s="341"/>
      <c r="F130" s="341"/>
      <c r="H130" s="348"/>
    </row>
    <row r="131" spans="1:8" x14ac:dyDescent="0.2">
      <c r="A131" s="342"/>
      <c r="B131" s="342"/>
      <c r="C131" s="349"/>
      <c r="E131" s="341"/>
      <c r="F131" s="341"/>
      <c r="H131" s="348"/>
    </row>
    <row r="132" spans="1:8" x14ac:dyDescent="0.2">
      <c r="A132" s="342"/>
      <c r="B132" s="342"/>
      <c r="C132" s="349"/>
      <c r="E132" s="341"/>
      <c r="F132" s="341"/>
      <c r="H132" s="348"/>
    </row>
    <row r="133" spans="1:8" x14ac:dyDescent="0.2">
      <c r="A133" s="342"/>
      <c r="B133" s="342"/>
      <c r="C133" s="349"/>
      <c r="E133" s="341"/>
      <c r="F133" s="341"/>
      <c r="H133" s="348"/>
    </row>
    <row r="134" spans="1:8" x14ac:dyDescent="0.2">
      <c r="A134" s="342"/>
      <c r="B134" s="342"/>
      <c r="C134" s="349"/>
      <c r="E134" s="341"/>
      <c r="F134" s="341"/>
      <c r="H134" s="348"/>
    </row>
    <row r="135" spans="1:8" x14ac:dyDescent="0.2">
      <c r="A135" s="342"/>
      <c r="B135" s="342"/>
      <c r="C135" s="349"/>
      <c r="E135" s="341"/>
      <c r="F135" s="341"/>
      <c r="H135" s="348"/>
    </row>
    <row r="136" spans="1:8" x14ac:dyDescent="0.2">
      <c r="A136" s="342"/>
      <c r="B136" s="342"/>
      <c r="C136" s="349"/>
      <c r="E136" s="341"/>
      <c r="F136" s="341"/>
      <c r="H136" s="348"/>
    </row>
    <row r="137" spans="1:8" x14ac:dyDescent="0.2">
      <c r="A137" s="342"/>
      <c r="B137" s="342"/>
      <c r="C137" s="349"/>
      <c r="E137" s="341"/>
      <c r="F137" s="341"/>
      <c r="H137" s="348"/>
    </row>
    <row r="138" spans="1:8" x14ac:dyDescent="0.2">
      <c r="A138" s="342"/>
      <c r="B138" s="342"/>
      <c r="C138" s="349"/>
      <c r="E138" s="341"/>
      <c r="F138" s="341"/>
      <c r="H138" s="348"/>
    </row>
    <row r="139" spans="1:8" x14ac:dyDescent="0.2">
      <c r="A139" s="342"/>
      <c r="B139" s="342"/>
      <c r="C139" s="349"/>
      <c r="E139" s="341"/>
      <c r="F139" s="341"/>
      <c r="H139" s="356"/>
    </row>
    <row r="140" spans="1:8" x14ac:dyDescent="0.2">
      <c r="A140" s="342"/>
      <c r="B140" s="342"/>
      <c r="C140" s="349"/>
      <c r="E140" s="350"/>
      <c r="F140" s="341"/>
      <c r="H140" s="348"/>
    </row>
    <row r="141" spans="1:8" x14ac:dyDescent="0.2">
      <c r="A141" s="342"/>
      <c r="B141" s="342"/>
      <c r="C141" s="349"/>
      <c r="E141" s="341"/>
      <c r="F141" s="341"/>
      <c r="H141" s="348"/>
    </row>
    <row r="142" spans="1:8" x14ac:dyDescent="0.2">
      <c r="A142" s="342"/>
      <c r="B142" s="342"/>
      <c r="C142" s="349"/>
      <c r="E142" s="341"/>
      <c r="F142" s="341"/>
      <c r="H142" s="348"/>
    </row>
    <row r="143" spans="1:8" x14ac:dyDescent="0.2">
      <c r="A143" s="342"/>
      <c r="B143" s="342"/>
      <c r="C143" s="349"/>
      <c r="E143" s="341"/>
      <c r="F143" s="341"/>
      <c r="H143" s="348"/>
    </row>
    <row r="144" spans="1:8" x14ac:dyDescent="0.2">
      <c r="A144" s="342"/>
      <c r="B144" s="342"/>
      <c r="C144" s="349"/>
      <c r="E144" s="341"/>
      <c r="F144" s="341"/>
      <c r="H144" s="348"/>
    </row>
    <row r="145" spans="1:8" x14ac:dyDescent="0.2">
      <c r="A145" s="342"/>
      <c r="B145" s="342"/>
      <c r="C145" s="349"/>
      <c r="E145" s="341"/>
      <c r="F145" s="341"/>
      <c r="H145" s="348"/>
    </row>
    <row r="146" spans="1:8" x14ac:dyDescent="0.2">
      <c r="A146" s="342"/>
      <c r="B146" s="342"/>
      <c r="C146" s="349"/>
      <c r="E146" s="341"/>
      <c r="F146" s="341"/>
      <c r="H146" s="348"/>
    </row>
    <row r="147" spans="1:8" x14ac:dyDescent="0.2">
      <c r="A147" s="342"/>
      <c r="B147" s="342"/>
      <c r="C147" s="349"/>
      <c r="E147" s="341"/>
      <c r="F147" s="341"/>
      <c r="H147" s="348"/>
    </row>
    <row r="148" spans="1:8" x14ac:dyDescent="0.2">
      <c r="A148" s="342"/>
      <c r="B148" s="342"/>
      <c r="C148" s="349"/>
      <c r="E148" s="341"/>
      <c r="F148" s="341"/>
      <c r="H148" s="348"/>
    </row>
    <row r="149" spans="1:8" x14ac:dyDescent="0.2">
      <c r="A149" s="342"/>
      <c r="B149" s="342"/>
      <c r="C149" s="349"/>
      <c r="E149" s="341"/>
      <c r="F149" s="341"/>
      <c r="H149" s="348"/>
    </row>
    <row r="150" spans="1:8" x14ac:dyDescent="0.2">
      <c r="A150" s="342"/>
      <c r="B150" s="342"/>
      <c r="C150" s="349"/>
      <c r="E150" s="341"/>
      <c r="F150" s="341"/>
      <c r="H150" s="348"/>
    </row>
    <row r="151" spans="1:8" x14ac:dyDescent="0.2">
      <c r="A151" s="342"/>
      <c r="B151" s="342"/>
      <c r="C151" s="349"/>
      <c r="E151" s="341"/>
      <c r="F151" s="341"/>
      <c r="H151" s="348"/>
    </row>
    <row r="152" spans="1:8" x14ac:dyDescent="0.2">
      <c r="A152" s="342"/>
      <c r="B152" s="342"/>
      <c r="C152" s="349"/>
      <c r="E152" s="341"/>
      <c r="F152" s="341"/>
      <c r="H152" s="348"/>
    </row>
    <row r="153" spans="1:8" x14ac:dyDescent="0.2">
      <c r="A153" s="342"/>
      <c r="B153" s="342"/>
    </row>
    <row r="154" spans="1:8" x14ac:dyDescent="0.2">
      <c r="A154" s="342"/>
      <c r="B154" s="342"/>
    </row>
    <row r="155" spans="1:8" x14ac:dyDescent="0.2">
      <c r="A155" s="342"/>
      <c r="B155" s="342"/>
    </row>
    <row r="156" spans="1:8" x14ac:dyDescent="0.2">
      <c r="A156" s="342"/>
      <c r="B156" s="342"/>
    </row>
    <row r="157" spans="1:8" x14ac:dyDescent="0.2">
      <c r="A157" s="342"/>
      <c r="B157" s="342"/>
    </row>
    <row r="158" spans="1:8" x14ac:dyDescent="0.2">
      <c r="A158" s="342"/>
      <c r="B158" s="342"/>
    </row>
    <row r="159" spans="1:8" x14ac:dyDescent="0.2">
      <c r="A159" s="342"/>
      <c r="B159" s="342"/>
    </row>
    <row r="160" spans="1:8" x14ac:dyDescent="0.2">
      <c r="A160" s="342"/>
      <c r="B160" s="342"/>
    </row>
    <row r="161" spans="1:2" x14ac:dyDescent="0.2">
      <c r="A161" s="342"/>
      <c r="B161" s="342"/>
    </row>
    <row r="162" spans="1:2" x14ac:dyDescent="0.2">
      <c r="A162" s="342"/>
      <c r="B162" s="342"/>
    </row>
    <row r="163" spans="1:2" x14ac:dyDescent="0.2">
      <c r="A163" s="342"/>
      <c r="B163" s="342"/>
    </row>
    <row r="164" spans="1:2" x14ac:dyDescent="0.2">
      <c r="A164" s="342"/>
      <c r="B164" s="342"/>
    </row>
    <row r="165" spans="1:2" x14ac:dyDescent="0.2">
      <c r="A165" s="342"/>
      <c r="B165" s="342"/>
    </row>
    <row r="166" spans="1:2" x14ac:dyDescent="0.2">
      <c r="A166" s="342"/>
      <c r="B166" s="342"/>
    </row>
    <row r="167" spans="1:2" x14ac:dyDescent="0.2">
      <c r="A167" s="342"/>
      <c r="B167" s="342"/>
    </row>
    <row r="168" spans="1:2" x14ac:dyDescent="0.2">
      <c r="A168" s="342"/>
      <c r="B168" s="342"/>
    </row>
    <row r="169" spans="1:2" x14ac:dyDescent="0.2">
      <c r="A169" s="342"/>
      <c r="B169" s="342"/>
    </row>
    <row r="170" spans="1:2" x14ac:dyDescent="0.2">
      <c r="A170" s="342"/>
      <c r="B170" s="342"/>
    </row>
    <row r="171" spans="1:2" x14ac:dyDescent="0.2">
      <c r="A171" s="342"/>
      <c r="B171" s="342"/>
    </row>
    <row r="172" spans="1:2" x14ac:dyDescent="0.2">
      <c r="A172" s="342"/>
      <c r="B172" s="342"/>
    </row>
    <row r="173" spans="1:2" x14ac:dyDescent="0.2">
      <c r="A173" s="342"/>
      <c r="B173" s="342"/>
    </row>
    <row r="174" spans="1:2" x14ac:dyDescent="0.2">
      <c r="A174" s="342"/>
      <c r="B174" s="342"/>
    </row>
    <row r="175" spans="1:2" x14ac:dyDescent="0.2">
      <c r="A175" s="342"/>
      <c r="B175" s="342"/>
    </row>
    <row r="176" spans="1:2" x14ac:dyDescent="0.2">
      <c r="A176" s="342"/>
      <c r="B176" s="342"/>
    </row>
    <row r="177" spans="1:2" x14ac:dyDescent="0.2">
      <c r="A177" s="342"/>
      <c r="B177" s="342"/>
    </row>
    <row r="178" spans="1:2" x14ac:dyDescent="0.2">
      <c r="A178" s="342"/>
      <c r="B178" s="342"/>
    </row>
    <row r="179" spans="1:2" x14ac:dyDescent="0.2">
      <c r="A179" s="342"/>
      <c r="B179" s="342"/>
    </row>
    <row r="180" spans="1:2" x14ac:dyDescent="0.2">
      <c r="A180" s="342"/>
      <c r="B180" s="342"/>
    </row>
    <row r="181" spans="1:2" x14ac:dyDescent="0.2">
      <c r="A181" s="342"/>
      <c r="B181" s="342"/>
    </row>
    <row r="182" spans="1:2" x14ac:dyDescent="0.2">
      <c r="A182" s="342"/>
      <c r="B182" s="342"/>
    </row>
    <row r="183" spans="1:2" x14ac:dyDescent="0.2">
      <c r="A183" s="342"/>
      <c r="B183" s="342"/>
    </row>
    <row r="184" spans="1:2" x14ac:dyDescent="0.2">
      <c r="A184" s="342"/>
      <c r="B184" s="342"/>
    </row>
    <row r="185" spans="1:2" x14ac:dyDescent="0.2">
      <c r="A185" s="342"/>
      <c r="B185" s="342"/>
    </row>
    <row r="186" spans="1:2" x14ac:dyDescent="0.2">
      <c r="A186" s="342"/>
      <c r="B186" s="342"/>
    </row>
    <row r="187" spans="1:2" x14ac:dyDescent="0.2">
      <c r="A187" s="342"/>
      <c r="B187" s="342"/>
    </row>
    <row r="188" spans="1:2" x14ac:dyDescent="0.2">
      <c r="A188" s="342"/>
      <c r="B188" s="342"/>
    </row>
    <row r="189" spans="1:2" x14ac:dyDescent="0.2">
      <c r="A189" s="342"/>
      <c r="B189" s="342"/>
    </row>
    <row r="190" spans="1:2" x14ac:dyDescent="0.2">
      <c r="A190" s="342"/>
      <c r="B190" s="342"/>
    </row>
    <row r="191" spans="1:2" x14ac:dyDescent="0.2">
      <c r="A191" s="342"/>
      <c r="B191" s="342"/>
    </row>
    <row r="192" spans="1:2" x14ac:dyDescent="0.2">
      <c r="A192" s="342"/>
      <c r="B192" s="342"/>
    </row>
    <row r="193" spans="1:2" x14ac:dyDescent="0.2">
      <c r="A193" s="342"/>
      <c r="B193" s="342"/>
    </row>
    <row r="194" spans="1:2" x14ac:dyDescent="0.2">
      <c r="A194" s="342"/>
      <c r="B194" s="342"/>
    </row>
    <row r="195" spans="1:2" x14ac:dyDescent="0.2">
      <c r="A195" s="342"/>
      <c r="B195" s="342"/>
    </row>
    <row r="196" spans="1:2" x14ac:dyDescent="0.2">
      <c r="A196" s="342"/>
      <c r="B196" s="342"/>
    </row>
    <row r="197" spans="1:2" x14ac:dyDescent="0.2">
      <c r="A197" s="342"/>
      <c r="B197" s="342"/>
    </row>
    <row r="198" spans="1:2" x14ac:dyDescent="0.2">
      <c r="A198" s="342"/>
      <c r="B198" s="342"/>
    </row>
    <row r="199" spans="1:2" x14ac:dyDescent="0.2">
      <c r="A199" s="342"/>
      <c r="B199" s="342"/>
    </row>
    <row r="200" spans="1:2" x14ac:dyDescent="0.2">
      <c r="A200" s="342"/>
      <c r="B200" s="342"/>
    </row>
    <row r="201" spans="1:2" x14ac:dyDescent="0.2">
      <c r="A201" s="342"/>
      <c r="B201" s="342"/>
    </row>
    <row r="202" spans="1:2" x14ac:dyDescent="0.2">
      <c r="A202" s="342"/>
      <c r="B202" s="342"/>
    </row>
    <row r="203" spans="1:2" x14ac:dyDescent="0.2">
      <c r="A203" s="342"/>
      <c r="B203" s="342"/>
    </row>
    <row r="204" spans="1:2" x14ac:dyDescent="0.2">
      <c r="A204" s="342"/>
      <c r="B204" s="342"/>
    </row>
    <row r="205" spans="1:2" x14ac:dyDescent="0.2">
      <c r="A205" s="342"/>
      <c r="B205" s="342"/>
    </row>
    <row r="206" spans="1:2" x14ac:dyDescent="0.2">
      <c r="A206" s="342"/>
      <c r="B206" s="342"/>
    </row>
    <row r="207" spans="1:2" x14ac:dyDescent="0.2">
      <c r="A207" s="342"/>
      <c r="B207" s="342"/>
    </row>
    <row r="208" spans="1:2" x14ac:dyDescent="0.2">
      <c r="A208" s="342"/>
      <c r="B208" s="342"/>
    </row>
    <row r="209" spans="1:2" x14ac:dyDescent="0.2">
      <c r="A209" s="342"/>
      <c r="B209" s="342"/>
    </row>
    <row r="210" spans="1:2" x14ac:dyDescent="0.2">
      <c r="A210" s="342"/>
      <c r="B210" s="342"/>
    </row>
    <row r="211" spans="1:2" x14ac:dyDescent="0.2">
      <c r="A211" s="342"/>
      <c r="B211" s="342"/>
    </row>
    <row r="212" spans="1:2" x14ac:dyDescent="0.2">
      <c r="A212" s="342"/>
      <c r="B212" s="342"/>
    </row>
    <row r="213" spans="1:2" x14ac:dyDescent="0.2">
      <c r="A213" s="342"/>
      <c r="B213" s="342"/>
    </row>
    <row r="214" spans="1:2" x14ac:dyDescent="0.2">
      <c r="A214" s="342"/>
      <c r="B214" s="342"/>
    </row>
    <row r="215" spans="1:2" x14ac:dyDescent="0.2">
      <c r="A215" s="342"/>
      <c r="B215" s="342"/>
    </row>
    <row r="216" spans="1:2" x14ac:dyDescent="0.2">
      <c r="A216" s="342"/>
      <c r="B216" s="342"/>
    </row>
    <row r="217" spans="1:2" x14ac:dyDescent="0.2">
      <c r="A217" s="342"/>
      <c r="B217" s="342"/>
    </row>
    <row r="218" spans="1:2" x14ac:dyDescent="0.2">
      <c r="A218" s="342"/>
      <c r="B218" s="342"/>
    </row>
    <row r="219" spans="1:2" x14ac:dyDescent="0.2">
      <c r="A219" s="342"/>
      <c r="B219" s="342"/>
    </row>
    <row r="220" spans="1:2" x14ac:dyDescent="0.2">
      <c r="A220" s="342"/>
      <c r="B220" s="342"/>
    </row>
    <row r="221" spans="1:2" x14ac:dyDescent="0.2">
      <c r="A221" s="342"/>
      <c r="B221" s="342"/>
    </row>
    <row r="222" spans="1:2" x14ac:dyDescent="0.2">
      <c r="A222" s="342"/>
      <c r="B222" s="342"/>
    </row>
    <row r="223" spans="1:2" x14ac:dyDescent="0.2">
      <c r="A223" s="342"/>
      <c r="B223" s="342"/>
    </row>
    <row r="224" spans="1:2" x14ac:dyDescent="0.2">
      <c r="A224" s="342"/>
      <c r="B224" s="342"/>
    </row>
    <row r="225" spans="1:2" x14ac:dyDescent="0.2">
      <c r="A225" s="342"/>
      <c r="B225" s="342"/>
    </row>
    <row r="226" spans="1:2" x14ac:dyDescent="0.2">
      <c r="A226" s="342"/>
      <c r="B226" s="342"/>
    </row>
    <row r="227" spans="1:2" x14ac:dyDescent="0.2">
      <c r="A227" s="342"/>
      <c r="B227" s="342"/>
    </row>
    <row r="228" spans="1:2" x14ac:dyDescent="0.2">
      <c r="A228" s="342"/>
      <c r="B228" s="342"/>
    </row>
    <row r="229" spans="1:2" x14ac:dyDescent="0.2">
      <c r="A229" s="342"/>
      <c r="B229" s="342"/>
    </row>
    <row r="230" spans="1:2" x14ac:dyDescent="0.2">
      <c r="A230" s="342"/>
      <c r="B230" s="342"/>
    </row>
    <row r="231" spans="1:2" x14ac:dyDescent="0.2">
      <c r="A231" s="342"/>
      <c r="B231" s="342"/>
    </row>
    <row r="232" spans="1:2" x14ac:dyDescent="0.2">
      <c r="A232" s="342"/>
      <c r="B232" s="342"/>
    </row>
    <row r="233" spans="1:2" x14ac:dyDescent="0.2">
      <c r="A233" s="342"/>
      <c r="B233" s="342"/>
    </row>
    <row r="234" spans="1:2" x14ac:dyDescent="0.2">
      <c r="A234" s="342"/>
      <c r="B234" s="342"/>
    </row>
    <row r="235" spans="1:2" x14ac:dyDescent="0.2">
      <c r="A235" s="342"/>
      <c r="B235" s="342"/>
    </row>
    <row r="236" spans="1:2" x14ac:dyDescent="0.2">
      <c r="A236" s="342"/>
      <c r="B236" s="342"/>
    </row>
    <row r="237" spans="1:2" x14ac:dyDescent="0.2">
      <c r="A237" s="342"/>
      <c r="B237" s="342"/>
    </row>
    <row r="238" spans="1:2" x14ac:dyDescent="0.2">
      <c r="A238" s="342"/>
      <c r="B238" s="342"/>
    </row>
    <row r="239" spans="1:2" x14ac:dyDescent="0.2">
      <c r="A239" s="342"/>
      <c r="B239" s="342"/>
    </row>
    <row r="240" spans="1:2" x14ac:dyDescent="0.2">
      <c r="A240" s="342"/>
      <c r="B240" s="342"/>
    </row>
    <row r="241" spans="1:2" x14ac:dyDescent="0.2">
      <c r="A241" s="342"/>
      <c r="B241" s="342"/>
    </row>
    <row r="242" spans="1:2" x14ac:dyDescent="0.2">
      <c r="A242" s="342"/>
      <c r="B242" s="342"/>
    </row>
    <row r="243" spans="1:2" x14ac:dyDescent="0.2">
      <c r="A243" s="342"/>
      <c r="B243" s="342"/>
    </row>
    <row r="244" spans="1:2" x14ac:dyDescent="0.2">
      <c r="A244" s="342"/>
      <c r="B244" s="342"/>
    </row>
    <row r="245" spans="1:2" x14ac:dyDescent="0.2">
      <c r="A245" s="342"/>
      <c r="B245" s="342"/>
    </row>
    <row r="246" spans="1:2" x14ac:dyDescent="0.2">
      <c r="A246" s="342"/>
      <c r="B246" s="342"/>
    </row>
    <row r="247" spans="1:2" x14ac:dyDescent="0.2">
      <c r="A247" s="342"/>
      <c r="B247" s="342"/>
    </row>
    <row r="248" spans="1:2" x14ac:dyDescent="0.2">
      <c r="A248" s="342"/>
      <c r="B248" s="342"/>
    </row>
    <row r="249" spans="1:2" x14ac:dyDescent="0.2">
      <c r="A249" s="342"/>
      <c r="B249" s="342"/>
    </row>
    <row r="250" spans="1:2" x14ac:dyDescent="0.2">
      <c r="A250" s="342"/>
      <c r="B250" s="342"/>
    </row>
    <row r="251" spans="1:2" x14ac:dyDescent="0.2">
      <c r="A251" s="342"/>
      <c r="B251" s="342"/>
    </row>
    <row r="252" spans="1:2" x14ac:dyDescent="0.2">
      <c r="A252" s="342"/>
      <c r="B252" s="342"/>
    </row>
    <row r="253" spans="1:2" x14ac:dyDescent="0.2">
      <c r="A253" s="342"/>
      <c r="B253" s="342"/>
    </row>
    <row r="254" spans="1:2" x14ac:dyDescent="0.2">
      <c r="A254" s="342"/>
      <c r="B254" s="342"/>
    </row>
    <row r="255" spans="1:2" x14ac:dyDescent="0.2">
      <c r="A255" s="342"/>
      <c r="B255" s="342"/>
    </row>
    <row r="256" spans="1:2" x14ac:dyDescent="0.2">
      <c r="A256" s="342"/>
      <c r="B256" s="342"/>
    </row>
    <row r="257" spans="1:2" x14ac:dyDescent="0.2">
      <c r="A257" s="342"/>
      <c r="B257" s="342"/>
    </row>
    <row r="258" spans="1:2" x14ac:dyDescent="0.2">
      <c r="A258" s="342"/>
      <c r="B258" s="342"/>
    </row>
    <row r="259" spans="1:2" x14ac:dyDescent="0.2">
      <c r="A259" s="342"/>
      <c r="B259" s="342"/>
    </row>
    <row r="260" spans="1:2" x14ac:dyDescent="0.2">
      <c r="A260" s="342"/>
      <c r="B260" s="342"/>
    </row>
    <row r="261" spans="1:2" x14ac:dyDescent="0.2">
      <c r="A261" s="342"/>
      <c r="B261" s="342"/>
    </row>
    <row r="262" spans="1:2" x14ac:dyDescent="0.2">
      <c r="A262" s="342"/>
      <c r="B262" s="342"/>
    </row>
    <row r="263" spans="1:2" x14ac:dyDescent="0.2">
      <c r="A263" s="342"/>
      <c r="B263" s="342"/>
    </row>
    <row r="264" spans="1:2" x14ac:dyDescent="0.2">
      <c r="A264" s="342"/>
      <c r="B264" s="342"/>
    </row>
    <row r="265" spans="1:2" x14ac:dyDescent="0.2">
      <c r="A265" s="342"/>
      <c r="B265" s="342"/>
    </row>
    <row r="266" spans="1:2" x14ac:dyDescent="0.2">
      <c r="A266" s="342"/>
      <c r="B266" s="342"/>
    </row>
    <row r="267" spans="1:2" x14ac:dyDescent="0.2">
      <c r="A267" s="342"/>
      <c r="B267" s="342"/>
    </row>
    <row r="268" spans="1:2" x14ac:dyDescent="0.2">
      <c r="A268" s="342"/>
      <c r="B268" s="342"/>
    </row>
    <row r="269" spans="1:2" x14ac:dyDescent="0.2">
      <c r="A269" s="342"/>
      <c r="B269" s="342"/>
    </row>
    <row r="270" spans="1:2" x14ac:dyDescent="0.2">
      <c r="A270" s="342"/>
      <c r="B270" s="342"/>
    </row>
    <row r="271" spans="1:2" x14ac:dyDescent="0.2">
      <c r="A271" s="342"/>
      <c r="B271" s="342"/>
    </row>
    <row r="272" spans="1:2" x14ac:dyDescent="0.2">
      <c r="A272" s="342"/>
      <c r="B272" s="342"/>
    </row>
    <row r="273" spans="1:2" x14ac:dyDescent="0.2">
      <c r="A273" s="342"/>
      <c r="B273" s="342"/>
    </row>
    <row r="274" spans="1:2" x14ac:dyDescent="0.2">
      <c r="A274" s="342"/>
      <c r="B274" s="342"/>
    </row>
    <row r="275" spans="1:2" x14ac:dyDescent="0.2">
      <c r="A275" s="342"/>
      <c r="B275" s="342"/>
    </row>
    <row r="276" spans="1:2" x14ac:dyDescent="0.2">
      <c r="A276" s="342"/>
      <c r="B276" s="342"/>
    </row>
    <row r="277" spans="1:2" x14ac:dyDescent="0.2">
      <c r="A277" s="342"/>
      <c r="B277" s="342"/>
    </row>
    <row r="278" spans="1:2" x14ac:dyDescent="0.2">
      <c r="A278" s="342"/>
      <c r="B278" s="342"/>
    </row>
    <row r="279" spans="1:2" x14ac:dyDescent="0.2">
      <c r="A279" s="342"/>
      <c r="B279" s="342"/>
    </row>
    <row r="280" spans="1:2" x14ac:dyDescent="0.2">
      <c r="A280" s="342"/>
      <c r="B280" s="342"/>
    </row>
    <row r="281" spans="1:2" x14ac:dyDescent="0.2">
      <c r="A281" s="342"/>
      <c r="B281" s="342"/>
    </row>
    <row r="282" spans="1:2" x14ac:dyDescent="0.2">
      <c r="A282" s="342"/>
      <c r="B282" s="342"/>
    </row>
    <row r="283" spans="1:2" x14ac:dyDescent="0.2">
      <c r="A283" s="342"/>
      <c r="B283" s="342"/>
    </row>
    <row r="284" spans="1:2" x14ac:dyDescent="0.2">
      <c r="A284" s="342"/>
      <c r="B284" s="342"/>
    </row>
    <row r="285" spans="1:2" x14ac:dyDescent="0.2">
      <c r="A285" s="342"/>
      <c r="B285" s="342"/>
    </row>
    <row r="286" spans="1:2" x14ac:dyDescent="0.2">
      <c r="A286" s="342"/>
      <c r="B286" s="342"/>
    </row>
    <row r="287" spans="1:2" x14ac:dyDescent="0.2">
      <c r="A287" s="342"/>
      <c r="B287" s="342"/>
    </row>
    <row r="288" spans="1:2" x14ac:dyDescent="0.2">
      <c r="A288" s="342"/>
      <c r="B288" s="342"/>
    </row>
    <row r="289" spans="1:2" x14ac:dyDescent="0.2">
      <c r="A289" s="342"/>
      <c r="B289" s="342"/>
    </row>
    <row r="290" spans="1:2" x14ac:dyDescent="0.2">
      <c r="A290" s="342"/>
      <c r="B290" s="342"/>
    </row>
    <row r="291" spans="1:2" x14ac:dyDescent="0.2">
      <c r="A291" s="342"/>
      <c r="B291" s="342"/>
    </row>
    <row r="292" spans="1:2" x14ac:dyDescent="0.2">
      <c r="A292" s="342"/>
      <c r="B292" s="342"/>
    </row>
    <row r="293" spans="1:2" x14ac:dyDescent="0.2">
      <c r="A293" s="342"/>
      <c r="B293" s="342"/>
    </row>
    <row r="294" spans="1:2" x14ac:dyDescent="0.2">
      <c r="A294" s="342"/>
      <c r="B294" s="342"/>
    </row>
    <row r="295" spans="1:2" x14ac:dyDescent="0.2">
      <c r="A295" s="342"/>
      <c r="B295" s="342"/>
    </row>
    <row r="296" spans="1:2" x14ac:dyDescent="0.2">
      <c r="A296" s="342"/>
      <c r="B296" s="342"/>
    </row>
    <row r="297" spans="1:2" x14ac:dyDescent="0.2">
      <c r="A297" s="342"/>
      <c r="B297" s="342"/>
    </row>
    <row r="298" spans="1:2" x14ac:dyDescent="0.2">
      <c r="A298" s="342"/>
      <c r="B298" s="342"/>
    </row>
    <row r="299" spans="1:2" x14ac:dyDescent="0.2">
      <c r="A299" s="342"/>
      <c r="B299" s="342"/>
    </row>
    <row r="300" spans="1:2" x14ac:dyDescent="0.2">
      <c r="A300" s="342"/>
      <c r="B300" s="342"/>
    </row>
    <row r="301" spans="1:2" x14ac:dyDescent="0.2">
      <c r="A301" s="342"/>
      <c r="B301" s="342"/>
    </row>
    <row r="302" spans="1:2" x14ac:dyDescent="0.2">
      <c r="A302" s="342"/>
      <c r="B302" s="342"/>
    </row>
    <row r="303" spans="1:2" x14ac:dyDescent="0.2">
      <c r="A303" s="342"/>
      <c r="B303" s="342"/>
    </row>
    <row r="304" spans="1:2" x14ac:dyDescent="0.2">
      <c r="A304" s="342"/>
      <c r="B304" s="342"/>
    </row>
    <row r="305" spans="1:2" x14ac:dyDescent="0.2">
      <c r="A305" s="342"/>
      <c r="B305" s="342"/>
    </row>
    <row r="306" spans="1:2" x14ac:dyDescent="0.2">
      <c r="A306" s="342"/>
      <c r="B306" s="342"/>
    </row>
    <row r="307" spans="1:2" x14ac:dyDescent="0.2">
      <c r="A307" s="342"/>
      <c r="B307" s="342"/>
    </row>
    <row r="308" spans="1:2" x14ac:dyDescent="0.2">
      <c r="A308" s="342"/>
      <c r="B308" s="342"/>
    </row>
    <row r="309" spans="1:2" x14ac:dyDescent="0.2">
      <c r="A309" s="342"/>
      <c r="B309" s="342"/>
    </row>
    <row r="310" spans="1:2" x14ac:dyDescent="0.2">
      <c r="A310" s="342"/>
      <c r="B310" s="342"/>
    </row>
    <row r="311" spans="1:2" x14ac:dyDescent="0.2">
      <c r="A311" s="342"/>
      <c r="B311" s="342"/>
    </row>
    <row r="312" spans="1:2" x14ac:dyDescent="0.2">
      <c r="A312" s="342"/>
      <c r="B312" s="342"/>
    </row>
    <row r="313" spans="1:2" x14ac:dyDescent="0.2">
      <c r="A313" s="342"/>
      <c r="B313" s="342"/>
    </row>
    <row r="314" spans="1:2" x14ac:dyDescent="0.2">
      <c r="A314" s="342"/>
      <c r="B314" s="342"/>
    </row>
    <row r="315" spans="1:2" x14ac:dyDescent="0.2">
      <c r="A315" s="342"/>
      <c r="B315" s="342"/>
    </row>
    <row r="316" spans="1:2" x14ac:dyDescent="0.2">
      <c r="A316" s="342"/>
      <c r="B316" s="342"/>
    </row>
    <row r="317" spans="1:2" x14ac:dyDescent="0.2">
      <c r="A317" s="342"/>
      <c r="B317" s="342"/>
    </row>
    <row r="318" spans="1:2" x14ac:dyDescent="0.2">
      <c r="A318" s="342"/>
      <c r="B318" s="342"/>
    </row>
    <row r="319" spans="1:2" x14ac:dyDescent="0.2">
      <c r="A319" s="342"/>
      <c r="B319" s="342"/>
    </row>
    <row r="320" spans="1:2" x14ac:dyDescent="0.2">
      <c r="A320" s="342"/>
      <c r="B320" s="342"/>
    </row>
    <row r="321" spans="1:2" x14ac:dyDescent="0.2">
      <c r="A321" s="342"/>
      <c r="B321" s="342"/>
    </row>
    <row r="322" spans="1:2" x14ac:dyDescent="0.2">
      <c r="A322" s="342"/>
      <c r="B322" s="342"/>
    </row>
    <row r="323" spans="1:2" x14ac:dyDescent="0.2">
      <c r="A323" s="342"/>
      <c r="B323" s="342"/>
    </row>
    <row r="324" spans="1:2" x14ac:dyDescent="0.2">
      <c r="A324" s="342"/>
      <c r="B324" s="342"/>
    </row>
    <row r="325" spans="1:2" x14ac:dyDescent="0.2">
      <c r="A325" s="342"/>
      <c r="B325" s="342"/>
    </row>
    <row r="326" spans="1:2" x14ac:dyDescent="0.2">
      <c r="A326" s="342"/>
      <c r="B326" s="342"/>
    </row>
    <row r="327" spans="1:2" x14ac:dyDescent="0.2">
      <c r="A327" s="342"/>
      <c r="B327" s="342"/>
    </row>
    <row r="328" spans="1:2" x14ac:dyDescent="0.2">
      <c r="A328" s="342"/>
      <c r="B328" s="342"/>
    </row>
    <row r="329" spans="1:2" x14ac:dyDescent="0.2">
      <c r="A329" s="342"/>
      <c r="B329" s="342"/>
    </row>
    <row r="330" spans="1:2" x14ac:dyDescent="0.2">
      <c r="A330" s="342"/>
      <c r="B330" s="342"/>
    </row>
    <row r="331" spans="1:2" x14ac:dyDescent="0.2">
      <c r="A331" s="342"/>
      <c r="B331" s="342"/>
    </row>
    <row r="332" spans="1:2" x14ac:dyDescent="0.2">
      <c r="A332" s="342"/>
      <c r="B332" s="342"/>
    </row>
    <row r="333" spans="1:2" x14ac:dyDescent="0.2">
      <c r="A333" s="342"/>
      <c r="B333" s="342"/>
    </row>
    <row r="334" spans="1:2" x14ac:dyDescent="0.2">
      <c r="A334" s="342"/>
      <c r="B334" s="342"/>
    </row>
    <row r="335" spans="1:2" x14ac:dyDescent="0.2">
      <c r="A335" s="342"/>
      <c r="B335" s="342"/>
    </row>
    <row r="336" spans="1:2" x14ac:dyDescent="0.2">
      <c r="A336" s="342"/>
      <c r="B336" s="342"/>
    </row>
    <row r="337" spans="1:2" x14ac:dyDescent="0.2">
      <c r="A337" s="342"/>
      <c r="B337" s="342"/>
    </row>
    <row r="338" spans="1:2" x14ac:dyDescent="0.2">
      <c r="A338" s="342"/>
      <c r="B338" s="342"/>
    </row>
    <row r="339" spans="1:2" x14ac:dyDescent="0.2">
      <c r="A339" s="342"/>
      <c r="B339" s="342"/>
    </row>
    <row r="340" spans="1:2" x14ac:dyDescent="0.2">
      <c r="A340" s="342"/>
      <c r="B340" s="342"/>
    </row>
    <row r="341" spans="1:2" x14ac:dyDescent="0.2">
      <c r="A341" s="342"/>
      <c r="B341" s="342"/>
    </row>
    <row r="342" spans="1:2" x14ac:dyDescent="0.2">
      <c r="A342" s="342"/>
      <c r="B342" s="342"/>
    </row>
    <row r="343" spans="1:2" x14ac:dyDescent="0.2">
      <c r="A343" s="342"/>
      <c r="B343" s="342"/>
    </row>
    <row r="344" spans="1:2" x14ac:dyDescent="0.2">
      <c r="A344" s="342"/>
      <c r="B344" s="342"/>
    </row>
    <row r="345" spans="1:2" x14ac:dyDescent="0.2">
      <c r="A345" s="342"/>
      <c r="B345" s="342"/>
    </row>
    <row r="346" spans="1:2" x14ac:dyDescent="0.2">
      <c r="A346" s="342"/>
      <c r="B346" s="342"/>
    </row>
    <row r="347" spans="1:2" x14ac:dyDescent="0.2">
      <c r="A347" s="342"/>
      <c r="B347" s="342"/>
    </row>
    <row r="348" spans="1:2" x14ac:dyDescent="0.2">
      <c r="A348" s="342"/>
      <c r="B348" s="342"/>
    </row>
    <row r="349" spans="1:2" x14ac:dyDescent="0.2">
      <c r="A349" s="342"/>
      <c r="B349" s="342"/>
    </row>
    <row r="350" spans="1:2" x14ac:dyDescent="0.2">
      <c r="A350" s="342"/>
      <c r="B350" s="342"/>
    </row>
    <row r="351" spans="1:2" x14ac:dyDescent="0.2">
      <c r="A351" s="342"/>
      <c r="B351" s="342"/>
    </row>
    <row r="352" spans="1:2" x14ac:dyDescent="0.2">
      <c r="A352" s="342"/>
      <c r="B352" s="342"/>
    </row>
    <row r="353" spans="1:2" x14ac:dyDescent="0.2">
      <c r="A353" s="342"/>
      <c r="B353" s="342"/>
    </row>
    <row r="354" spans="1:2" x14ac:dyDescent="0.2">
      <c r="A354" s="342"/>
      <c r="B354" s="342"/>
    </row>
    <row r="355" spans="1:2" x14ac:dyDescent="0.2">
      <c r="A355" s="342"/>
      <c r="B355" s="342"/>
    </row>
    <row r="356" spans="1:2" x14ac:dyDescent="0.2">
      <c r="A356" s="342"/>
      <c r="B356" s="342"/>
    </row>
    <row r="357" spans="1:2" x14ac:dyDescent="0.2">
      <c r="A357" s="342"/>
      <c r="B357" s="342"/>
    </row>
    <row r="358" spans="1:2" x14ac:dyDescent="0.2">
      <c r="A358" s="342"/>
      <c r="B358" s="342"/>
    </row>
    <row r="359" spans="1:2" x14ac:dyDescent="0.2">
      <c r="A359" s="342"/>
      <c r="B359" s="342"/>
    </row>
    <row r="360" spans="1:2" x14ac:dyDescent="0.2">
      <c r="A360" s="342"/>
      <c r="B360" s="342"/>
    </row>
    <row r="361" spans="1:2" x14ac:dyDescent="0.2">
      <c r="A361" s="342"/>
      <c r="B361" s="342"/>
    </row>
    <row r="362" spans="1:2" x14ac:dyDescent="0.2">
      <c r="A362" s="342"/>
      <c r="B362" s="342"/>
    </row>
    <row r="363" spans="1:2" x14ac:dyDescent="0.2">
      <c r="A363" s="342"/>
      <c r="B363" s="342"/>
    </row>
    <row r="364" spans="1:2" x14ac:dyDescent="0.2">
      <c r="A364" s="342"/>
      <c r="B364" s="342"/>
    </row>
    <row r="365" spans="1:2" x14ac:dyDescent="0.2">
      <c r="A365" s="342"/>
      <c r="B365" s="342"/>
    </row>
    <row r="366" spans="1:2" x14ac:dyDescent="0.2">
      <c r="A366" s="342"/>
      <c r="B366" s="342"/>
    </row>
    <row r="367" spans="1:2" x14ac:dyDescent="0.2">
      <c r="A367" s="342"/>
      <c r="B367" s="342"/>
    </row>
    <row r="368" spans="1:2" x14ac:dyDescent="0.2">
      <c r="A368" s="342"/>
      <c r="B368" s="342"/>
    </row>
    <row r="369" spans="1:2" x14ac:dyDescent="0.2">
      <c r="A369" s="342"/>
      <c r="B369" s="342"/>
    </row>
    <row r="370" spans="1:2" x14ac:dyDescent="0.2">
      <c r="A370" s="342"/>
      <c r="B370" s="342"/>
    </row>
    <row r="371" spans="1:2" x14ac:dyDescent="0.2">
      <c r="A371" s="342"/>
      <c r="B371" s="342"/>
    </row>
    <row r="372" spans="1:2" x14ac:dyDescent="0.2">
      <c r="A372" s="342"/>
      <c r="B372" s="342"/>
    </row>
    <row r="373" spans="1:2" x14ac:dyDescent="0.2">
      <c r="A373" s="342"/>
      <c r="B373" s="342"/>
    </row>
    <row r="374" spans="1:2" x14ac:dyDescent="0.2">
      <c r="A374" s="342"/>
      <c r="B374" s="342"/>
    </row>
    <row r="375" spans="1:2" x14ac:dyDescent="0.2">
      <c r="A375" s="342"/>
      <c r="B375" s="342"/>
    </row>
    <row r="376" spans="1:2" x14ac:dyDescent="0.2">
      <c r="A376" s="342"/>
      <c r="B376" s="342"/>
    </row>
    <row r="377" spans="1:2" x14ac:dyDescent="0.2">
      <c r="A377" s="342"/>
      <c r="B377" s="342"/>
    </row>
    <row r="378" spans="1:2" x14ac:dyDescent="0.2">
      <c r="A378" s="342"/>
      <c r="B378" s="342"/>
    </row>
    <row r="379" spans="1:2" x14ac:dyDescent="0.2">
      <c r="A379" s="342"/>
      <c r="B379" s="342"/>
    </row>
    <row r="380" spans="1:2" x14ac:dyDescent="0.2">
      <c r="A380" s="342"/>
      <c r="B380" s="342"/>
    </row>
    <row r="381" spans="1:2" x14ac:dyDescent="0.2">
      <c r="A381" s="342"/>
      <c r="B381" s="342"/>
    </row>
    <row r="382" spans="1:2" x14ac:dyDescent="0.2">
      <c r="A382" s="342"/>
      <c r="B382" s="342"/>
    </row>
    <row r="383" spans="1:2" x14ac:dyDescent="0.2">
      <c r="A383" s="342"/>
      <c r="B383" s="342"/>
    </row>
    <row r="384" spans="1:2" x14ac:dyDescent="0.2">
      <c r="A384" s="342"/>
      <c r="B384" s="342"/>
    </row>
    <row r="385" spans="1:2" x14ac:dyDescent="0.2">
      <c r="A385" s="342"/>
      <c r="B385" s="342"/>
    </row>
    <row r="386" spans="1:2" x14ac:dyDescent="0.2">
      <c r="A386" s="342"/>
      <c r="B386" s="342"/>
    </row>
    <row r="387" spans="1:2" x14ac:dyDescent="0.2">
      <c r="A387" s="342"/>
      <c r="B387" s="342"/>
    </row>
    <row r="388" spans="1:2" x14ac:dyDescent="0.2">
      <c r="A388" s="342"/>
      <c r="B388" s="342"/>
    </row>
    <row r="389" spans="1:2" x14ac:dyDescent="0.2">
      <c r="A389" s="342"/>
      <c r="B389" s="342"/>
    </row>
    <row r="390" spans="1:2" x14ac:dyDescent="0.2">
      <c r="A390" s="342"/>
      <c r="B390" s="342"/>
    </row>
    <row r="391" spans="1:2" x14ac:dyDescent="0.2">
      <c r="A391" s="342"/>
      <c r="B391" s="342"/>
    </row>
    <row r="392" spans="1:2" x14ac:dyDescent="0.2">
      <c r="A392" s="342"/>
      <c r="B392" s="342"/>
    </row>
    <row r="393" spans="1:2" x14ac:dyDescent="0.2">
      <c r="A393" s="342"/>
      <c r="B393" s="342"/>
    </row>
    <row r="394" spans="1:2" x14ac:dyDescent="0.2">
      <c r="A394" s="342"/>
      <c r="B394" s="342"/>
    </row>
    <row r="395" spans="1:2" x14ac:dyDescent="0.2">
      <c r="A395" s="342"/>
      <c r="B395" s="342"/>
    </row>
    <row r="396" spans="1:2" x14ac:dyDescent="0.2">
      <c r="A396" s="342"/>
      <c r="B396" s="342"/>
    </row>
    <row r="397" spans="1:2" x14ac:dyDescent="0.2">
      <c r="A397" s="342"/>
      <c r="B397" s="342"/>
    </row>
    <row r="398" spans="1:2" x14ac:dyDescent="0.2">
      <c r="A398" s="342"/>
      <c r="B398" s="342"/>
    </row>
    <row r="399" spans="1:2" x14ac:dyDescent="0.2">
      <c r="A399" s="342"/>
      <c r="B399" s="342"/>
    </row>
    <row r="400" spans="1:2" x14ac:dyDescent="0.2">
      <c r="A400" s="342"/>
      <c r="B400" s="342"/>
    </row>
    <row r="401" spans="1:2" x14ac:dyDescent="0.2">
      <c r="A401" s="342"/>
      <c r="B401" s="342"/>
    </row>
    <row r="402" spans="1:2" x14ac:dyDescent="0.2">
      <c r="A402" s="342"/>
      <c r="B402" s="342"/>
    </row>
    <row r="403" spans="1:2" x14ac:dyDescent="0.2">
      <c r="A403" s="342"/>
      <c r="B403" s="342"/>
    </row>
    <row r="404" spans="1:2" x14ac:dyDescent="0.2">
      <c r="A404" s="342"/>
      <c r="B404" s="342"/>
    </row>
    <row r="405" spans="1:2" x14ac:dyDescent="0.2">
      <c r="A405" s="342"/>
      <c r="B405" s="342"/>
    </row>
    <row r="406" spans="1:2" x14ac:dyDescent="0.2">
      <c r="A406" s="342"/>
      <c r="B406" s="342"/>
    </row>
    <row r="407" spans="1:2" x14ac:dyDescent="0.2">
      <c r="A407" s="342"/>
      <c r="B407" s="342"/>
    </row>
    <row r="408" spans="1:2" x14ac:dyDescent="0.2">
      <c r="A408" s="342"/>
      <c r="B408" s="342"/>
    </row>
    <row r="409" spans="1:2" x14ac:dyDescent="0.2">
      <c r="A409" s="342"/>
      <c r="B409" s="342"/>
    </row>
    <row r="410" spans="1:2" x14ac:dyDescent="0.2">
      <c r="A410" s="342"/>
      <c r="B410" s="342"/>
    </row>
    <row r="411" spans="1:2" x14ac:dyDescent="0.2">
      <c r="A411" s="342"/>
      <c r="B411" s="342"/>
    </row>
    <row r="412" spans="1:2" x14ac:dyDescent="0.2">
      <c r="A412" s="342"/>
      <c r="B412" s="342"/>
    </row>
    <row r="413" spans="1:2" x14ac:dyDescent="0.2">
      <c r="A413" s="342"/>
      <c r="B413" s="342"/>
    </row>
    <row r="414" spans="1:2" x14ac:dyDescent="0.2">
      <c r="A414" s="342"/>
      <c r="B414" s="342"/>
    </row>
  </sheetData>
  <mergeCells count="2">
    <mergeCell ref="A1:H1"/>
    <mergeCell ref="A3:H3"/>
  </mergeCells>
  <pageMargins left="0.7" right="0.7" top="0.75" bottom="0.75" header="0.3" footer="0.3"/>
  <pageSetup orientation="landscape" horizontalDpi="1200" verticalDpi="1200" r:id="rId1"/>
  <headerFooter>
    <oddHeader>&amp;L&amp;"Times New Roman,Regular"DUKE ENERGY KENTUCKY, INC.
Regulatory Asset Amortizations&amp;R&amp;"Times New Roman,Bold"KyPSC Case No. 2019-00271
AG-DR-01-011 Attachment
 Page &amp;P of &amp;N</oddHead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3"/>
  <sheetViews>
    <sheetView tabSelected="1" view="pageBreakPreview" topLeftCell="E106" zoomScale="60" zoomScaleNormal="100" workbookViewId="0">
      <selection activeCell="E9" sqref="E9"/>
    </sheetView>
  </sheetViews>
  <sheetFormatPr defaultColWidth="8" defaultRowHeight="15" x14ac:dyDescent="0.25"/>
  <cols>
    <col min="1" max="1" width="7.5703125" style="526" customWidth="1"/>
    <col min="2" max="2" width="2" style="526" customWidth="1"/>
    <col min="3" max="3" width="54.7109375" style="526" customWidth="1"/>
    <col min="4" max="4" width="6.28515625" style="526" customWidth="1"/>
    <col min="5" max="5" width="3.7109375" style="526" customWidth="1"/>
    <col min="6" max="6" width="20.5703125" style="526" customWidth="1"/>
    <col min="7" max="7" width="3.140625" style="526" customWidth="1"/>
    <col min="8" max="8" width="8" style="526"/>
    <col min="9" max="9" width="17.5703125" style="526" customWidth="1"/>
    <col min="10" max="10" width="19.7109375" style="526" customWidth="1"/>
    <col min="11" max="11" width="13.85546875" style="526" customWidth="1"/>
    <col min="12" max="12" width="17.5703125" style="526" customWidth="1"/>
    <col min="13" max="14" width="14.7109375" style="526" customWidth="1"/>
    <col min="15" max="15" width="16.28515625" style="526" bestFit="1" customWidth="1"/>
    <col min="16" max="16" width="8" style="526"/>
    <col min="17" max="17" width="11.5703125" style="526" bestFit="1" customWidth="1"/>
    <col min="18" max="16384" width="8" style="526"/>
  </cols>
  <sheetData>
    <row r="1" spans="1:15" ht="20.25" x14ac:dyDescent="0.3">
      <c r="A1" s="525" t="s">
        <v>426</v>
      </c>
    </row>
    <row r="2" spans="1:15" x14ac:dyDescent="0.25">
      <c r="A2" s="527" t="s">
        <v>427</v>
      </c>
    </row>
    <row r="3" spans="1:15" ht="15.75" thickBot="1" x14ac:dyDescent="0.3"/>
    <row r="4" spans="1:15" ht="122.25" customHeight="1" thickBot="1" x14ac:dyDescent="0.3">
      <c r="A4" s="584" t="s">
        <v>428</v>
      </c>
      <c r="B4" s="585"/>
      <c r="C4" s="585"/>
      <c r="D4" s="585"/>
      <c r="E4" s="585"/>
      <c r="F4" s="585"/>
      <c r="G4" s="585"/>
      <c r="H4" s="585"/>
      <c r="I4" s="585"/>
      <c r="J4" s="585"/>
      <c r="K4" s="585"/>
      <c r="L4" s="586"/>
    </row>
    <row r="6" spans="1:15" x14ac:dyDescent="0.25">
      <c r="A6" s="528"/>
      <c r="B6" s="529"/>
      <c r="C6" s="529"/>
      <c r="D6" s="529"/>
      <c r="E6" s="530"/>
      <c r="G6" s="531"/>
      <c r="H6" s="531"/>
      <c r="I6" s="528"/>
      <c r="N6" s="530"/>
    </row>
    <row r="7" spans="1:15" x14ac:dyDescent="0.25">
      <c r="A7" s="528"/>
      <c r="B7" s="529"/>
      <c r="C7" s="529"/>
      <c r="D7" s="529"/>
      <c r="E7" s="532"/>
      <c r="G7" s="531"/>
      <c r="H7" s="531"/>
      <c r="I7" s="528"/>
      <c r="N7" s="532"/>
    </row>
    <row r="8" spans="1:15" x14ac:dyDescent="0.25">
      <c r="A8" s="528"/>
      <c r="B8" s="529"/>
      <c r="C8" s="529"/>
      <c r="D8" s="529"/>
      <c r="E8" s="529"/>
      <c r="F8" s="530"/>
      <c r="G8" s="531"/>
      <c r="H8" s="531"/>
      <c r="I8" s="528"/>
      <c r="N8" s="529"/>
    </row>
    <row r="9" spans="1:15" ht="15.75" x14ac:dyDescent="0.25">
      <c r="A9" s="533"/>
      <c r="B9" s="529"/>
      <c r="C9" s="529"/>
      <c r="D9" s="529"/>
      <c r="E9" s="529"/>
      <c r="F9" s="529"/>
      <c r="G9" s="531"/>
      <c r="H9" s="531"/>
      <c r="I9" s="533"/>
      <c r="O9" s="534"/>
    </row>
    <row r="10" spans="1:15" x14ac:dyDescent="0.25">
      <c r="A10" s="529"/>
      <c r="B10" s="529"/>
      <c r="C10" s="529"/>
      <c r="D10" s="529"/>
      <c r="E10" s="529"/>
      <c r="F10" s="529"/>
      <c r="G10" s="531"/>
      <c r="H10" s="531"/>
    </row>
    <row r="11" spans="1:15" x14ac:dyDescent="0.25">
      <c r="A11" s="529"/>
      <c r="B11" s="529"/>
      <c r="C11" s="529"/>
      <c r="D11" s="529"/>
      <c r="E11" s="535"/>
      <c r="F11" s="529"/>
      <c r="G11" s="531"/>
      <c r="H11" s="531"/>
    </row>
    <row r="12" spans="1:15" x14ac:dyDescent="0.25">
      <c r="A12" s="529"/>
      <c r="B12" s="529"/>
      <c r="C12" s="529"/>
      <c r="D12" s="529"/>
      <c r="E12" s="535"/>
      <c r="F12" s="529"/>
      <c r="G12" s="531"/>
      <c r="H12" s="531"/>
    </row>
    <row r="13" spans="1:15" x14ac:dyDescent="0.25">
      <c r="A13" s="536" t="s">
        <v>429</v>
      </c>
      <c r="B13" s="529"/>
      <c r="C13" s="529"/>
      <c r="D13" s="529"/>
      <c r="E13" s="535"/>
      <c r="F13" s="537"/>
      <c r="G13" s="531"/>
      <c r="H13" s="531"/>
      <c r="J13" s="538"/>
      <c r="K13" s="539" t="s">
        <v>430</v>
      </c>
      <c r="M13" s="539" t="s">
        <v>431</v>
      </c>
    </row>
    <row r="14" spans="1:15" x14ac:dyDescent="0.25">
      <c r="A14" s="540" t="s">
        <v>432</v>
      </c>
      <c r="B14" s="541"/>
      <c r="C14" s="540" t="s">
        <v>433</v>
      </c>
      <c r="D14" s="540"/>
      <c r="E14" s="542"/>
      <c r="F14" s="543" t="s">
        <v>66</v>
      </c>
      <c r="G14" s="531"/>
      <c r="H14" s="531"/>
      <c r="I14" s="536"/>
      <c r="J14" s="538"/>
      <c r="K14" s="539" t="s">
        <v>434</v>
      </c>
      <c r="L14" s="539" t="s">
        <v>435</v>
      </c>
      <c r="M14" s="539" t="s">
        <v>436</v>
      </c>
      <c r="N14" s="539" t="s">
        <v>437</v>
      </c>
      <c r="O14" s="544" t="s">
        <v>438</v>
      </c>
    </row>
    <row r="15" spans="1:15" x14ac:dyDescent="0.25">
      <c r="A15" s="529"/>
      <c r="B15" s="529"/>
      <c r="C15" s="529"/>
      <c r="D15" s="529"/>
      <c r="E15" s="535"/>
      <c r="F15" s="545"/>
      <c r="G15" s="531"/>
      <c r="H15" s="531"/>
      <c r="I15" s="540"/>
      <c r="J15" s="546" t="s">
        <v>415</v>
      </c>
      <c r="K15" s="539" t="s">
        <v>439</v>
      </c>
      <c r="L15" s="539" t="s">
        <v>434</v>
      </c>
      <c r="M15" s="539" t="s">
        <v>440</v>
      </c>
      <c r="N15" s="539" t="s">
        <v>441</v>
      </c>
      <c r="O15" s="547" t="s">
        <v>442</v>
      </c>
    </row>
    <row r="16" spans="1:15" x14ac:dyDescent="0.25">
      <c r="A16" s="529"/>
      <c r="B16" s="529"/>
      <c r="C16" s="529"/>
      <c r="D16" s="529"/>
      <c r="E16" s="529"/>
      <c r="F16" s="529"/>
      <c r="G16" s="531"/>
      <c r="H16" s="531"/>
      <c r="J16" s="538"/>
      <c r="K16" s="548" t="s">
        <v>361</v>
      </c>
      <c r="L16" s="548" t="s">
        <v>362</v>
      </c>
      <c r="M16" s="548" t="s">
        <v>443</v>
      </c>
      <c r="N16" s="548" t="s">
        <v>444</v>
      </c>
      <c r="O16" s="548" t="s">
        <v>445</v>
      </c>
    </row>
    <row r="17" spans="1:21" x14ac:dyDescent="0.25">
      <c r="A17" s="536">
        <v>1</v>
      </c>
      <c r="B17" s="529"/>
      <c r="C17" s="549" t="s">
        <v>446</v>
      </c>
      <c r="E17" s="529"/>
      <c r="F17" s="550"/>
      <c r="G17" s="531"/>
      <c r="H17" s="531"/>
      <c r="J17" s="538"/>
      <c r="K17" s="551"/>
      <c r="L17" s="531"/>
      <c r="M17" s="531"/>
    </row>
    <row r="18" spans="1:21" x14ac:dyDescent="0.25">
      <c r="A18" s="536">
        <v>2</v>
      </c>
      <c r="B18" s="529"/>
      <c r="C18" s="526" t="s">
        <v>447</v>
      </c>
      <c r="E18" s="529"/>
      <c r="F18" s="552">
        <v>214359000</v>
      </c>
      <c r="G18" s="531"/>
      <c r="H18" s="531"/>
      <c r="L18" s="553">
        <f>F25</f>
        <v>12400000</v>
      </c>
      <c r="O18" s="554"/>
      <c r="P18" s="587" t="s">
        <v>448</v>
      </c>
      <c r="Q18" s="587"/>
      <c r="R18" s="587"/>
      <c r="S18" s="587"/>
      <c r="T18" s="587"/>
      <c r="U18" s="587"/>
    </row>
    <row r="19" spans="1:21" x14ac:dyDescent="0.25">
      <c r="A19" s="536">
        <v>3</v>
      </c>
      <c r="B19" s="529"/>
      <c r="C19" s="526" t="s">
        <v>449</v>
      </c>
      <c r="E19" s="529"/>
      <c r="F19" s="555">
        <v>2.1600000000000001E-2</v>
      </c>
      <c r="G19" s="531"/>
      <c r="H19" s="531"/>
      <c r="I19" s="556"/>
      <c r="J19" s="557">
        <v>42035</v>
      </c>
      <c r="K19" s="558">
        <f>$F$21</f>
        <v>385846</v>
      </c>
      <c r="L19" s="554">
        <f t="shared" ref="L19:L51" si="0">L18-K19</f>
        <v>12014154</v>
      </c>
      <c r="M19" s="558">
        <f>$F$28</f>
        <v>22320</v>
      </c>
      <c r="N19" s="558">
        <f t="shared" ref="N19:N51" si="1">K19-M19</f>
        <v>363526</v>
      </c>
      <c r="O19" s="554">
        <f t="shared" ref="O19:O82" si="2">O18+N19</f>
        <v>363526</v>
      </c>
      <c r="P19" s="587"/>
      <c r="Q19" s="587"/>
      <c r="R19" s="587"/>
      <c r="S19" s="587"/>
      <c r="T19" s="587"/>
      <c r="U19" s="587"/>
    </row>
    <row r="20" spans="1:21" x14ac:dyDescent="0.25">
      <c r="A20" s="536">
        <v>4</v>
      </c>
      <c r="B20" s="529"/>
      <c r="C20" s="549" t="s">
        <v>450</v>
      </c>
      <c r="E20" s="529"/>
      <c r="F20" s="559">
        <f>ROUND(F18*F19,0)</f>
        <v>4630154</v>
      </c>
      <c r="G20" s="531"/>
      <c r="H20" s="531"/>
      <c r="I20" s="556"/>
      <c r="J20" s="557">
        <v>42063</v>
      </c>
      <c r="K20" s="558">
        <f t="shared" ref="K20:K50" si="3">$F$21</f>
        <v>385846</v>
      </c>
      <c r="L20" s="554">
        <f t="shared" si="0"/>
        <v>11628308</v>
      </c>
      <c r="M20" s="558">
        <f t="shared" ref="M20:M83" si="4">$F$28</f>
        <v>22320</v>
      </c>
      <c r="N20" s="554">
        <f t="shared" si="1"/>
        <v>363526</v>
      </c>
      <c r="O20" s="554">
        <f t="shared" si="2"/>
        <v>727052</v>
      </c>
    </row>
    <row r="21" spans="1:21" x14ac:dyDescent="0.25">
      <c r="A21" s="536">
        <v>5</v>
      </c>
      <c r="B21" s="529"/>
      <c r="C21" s="549" t="s">
        <v>451</v>
      </c>
      <c r="E21" s="529"/>
      <c r="F21" s="559">
        <f>ROUND(F20/12,0)</f>
        <v>385846</v>
      </c>
      <c r="G21" s="531"/>
      <c r="H21" s="531"/>
      <c r="I21" s="556"/>
      <c r="J21" s="557">
        <v>42094</v>
      </c>
      <c r="K21" s="558">
        <f t="shared" si="3"/>
        <v>385846</v>
      </c>
      <c r="L21" s="554">
        <f t="shared" si="0"/>
        <v>11242462</v>
      </c>
      <c r="M21" s="558">
        <f t="shared" si="4"/>
        <v>22320</v>
      </c>
      <c r="N21" s="554">
        <f t="shared" si="1"/>
        <v>363526</v>
      </c>
      <c r="O21" s="554">
        <f t="shared" si="2"/>
        <v>1090578</v>
      </c>
    </row>
    <row r="22" spans="1:21" x14ac:dyDescent="0.25">
      <c r="A22" s="536">
        <v>6</v>
      </c>
      <c r="B22" s="529"/>
      <c r="C22" s="526" t="s">
        <v>452</v>
      </c>
      <c r="E22" s="529"/>
      <c r="F22" s="560">
        <f>ROUND(F25/F21,2)</f>
        <v>32.14</v>
      </c>
      <c r="G22" s="531"/>
      <c r="H22" s="531"/>
      <c r="I22" s="556"/>
      <c r="J22" s="557">
        <v>42124</v>
      </c>
      <c r="K22" s="558">
        <f t="shared" si="3"/>
        <v>385846</v>
      </c>
      <c r="L22" s="554">
        <f t="shared" si="0"/>
        <v>10856616</v>
      </c>
      <c r="M22" s="558">
        <f t="shared" si="4"/>
        <v>22320</v>
      </c>
      <c r="N22" s="554">
        <f t="shared" si="1"/>
        <v>363526</v>
      </c>
      <c r="O22" s="554">
        <f t="shared" si="2"/>
        <v>1454104</v>
      </c>
    </row>
    <row r="23" spans="1:21" x14ac:dyDescent="0.25">
      <c r="A23" s="536">
        <v>7</v>
      </c>
      <c r="B23" s="529"/>
      <c r="E23" s="529"/>
      <c r="F23" s="561"/>
      <c r="G23" s="531"/>
      <c r="H23" s="531"/>
      <c r="I23" s="556"/>
      <c r="J23" s="557">
        <v>42155</v>
      </c>
      <c r="K23" s="558">
        <f t="shared" si="3"/>
        <v>385846</v>
      </c>
      <c r="L23" s="554">
        <f t="shared" si="0"/>
        <v>10470770</v>
      </c>
      <c r="M23" s="558">
        <f t="shared" si="4"/>
        <v>22320</v>
      </c>
      <c r="N23" s="554">
        <f t="shared" si="1"/>
        <v>363526</v>
      </c>
      <c r="O23" s="554">
        <f t="shared" si="2"/>
        <v>1817630</v>
      </c>
    </row>
    <row r="24" spans="1:21" x14ac:dyDescent="0.25">
      <c r="A24" s="536">
        <v>8</v>
      </c>
      <c r="B24" s="529"/>
      <c r="C24" s="549" t="s">
        <v>453</v>
      </c>
      <c r="E24" s="529"/>
      <c r="F24" s="549"/>
      <c r="G24" s="531"/>
      <c r="H24" s="531"/>
      <c r="I24" s="556"/>
      <c r="J24" s="557">
        <v>42185</v>
      </c>
      <c r="K24" s="558">
        <f t="shared" si="3"/>
        <v>385846</v>
      </c>
      <c r="L24" s="554">
        <f t="shared" si="0"/>
        <v>10084924</v>
      </c>
      <c r="M24" s="558">
        <f t="shared" si="4"/>
        <v>22320</v>
      </c>
      <c r="N24" s="554">
        <f t="shared" si="1"/>
        <v>363526</v>
      </c>
      <c r="O24" s="554">
        <f t="shared" si="2"/>
        <v>2181156</v>
      </c>
    </row>
    <row r="25" spans="1:21" x14ac:dyDescent="0.25">
      <c r="A25" s="536">
        <v>9</v>
      </c>
      <c r="B25" s="529"/>
      <c r="C25" s="526" t="s">
        <v>454</v>
      </c>
      <c r="E25" s="529"/>
      <c r="F25" s="552">
        <v>12400000</v>
      </c>
      <c r="G25" s="531"/>
      <c r="H25" s="531"/>
      <c r="I25" s="556"/>
      <c r="J25" s="557">
        <v>42216</v>
      </c>
      <c r="K25" s="558">
        <f t="shared" si="3"/>
        <v>385846</v>
      </c>
      <c r="L25" s="554">
        <f t="shared" si="0"/>
        <v>9699078</v>
      </c>
      <c r="M25" s="558">
        <f t="shared" si="4"/>
        <v>22320</v>
      </c>
      <c r="N25" s="554">
        <f t="shared" si="1"/>
        <v>363526</v>
      </c>
      <c r="O25" s="554">
        <f t="shared" si="2"/>
        <v>2544682</v>
      </c>
    </row>
    <row r="26" spans="1:21" x14ac:dyDescent="0.25">
      <c r="A26" s="536">
        <v>10</v>
      </c>
      <c r="B26" s="529"/>
      <c r="C26" s="526" t="s">
        <v>449</v>
      </c>
      <c r="E26" s="529"/>
      <c r="F26" s="562">
        <f>F19</f>
        <v>2.1600000000000001E-2</v>
      </c>
      <c r="G26" s="531"/>
      <c r="H26" s="531"/>
      <c r="I26" s="556"/>
      <c r="J26" s="557">
        <v>42247</v>
      </c>
      <c r="K26" s="558">
        <f t="shared" si="3"/>
        <v>385846</v>
      </c>
      <c r="L26" s="554">
        <f t="shared" si="0"/>
        <v>9313232</v>
      </c>
      <c r="M26" s="558">
        <f t="shared" si="4"/>
        <v>22320</v>
      </c>
      <c r="N26" s="554">
        <f t="shared" si="1"/>
        <v>363526</v>
      </c>
      <c r="O26" s="554">
        <f t="shared" si="2"/>
        <v>2908208</v>
      </c>
    </row>
    <row r="27" spans="1:21" x14ac:dyDescent="0.25">
      <c r="A27" s="536">
        <v>11</v>
      </c>
      <c r="B27" s="529"/>
      <c r="C27" s="549" t="s">
        <v>455</v>
      </c>
      <c r="E27" s="529"/>
      <c r="F27" s="559">
        <f>ROUND(F25*F26,0)</f>
        <v>267840</v>
      </c>
      <c r="G27" s="531"/>
      <c r="H27" s="531"/>
      <c r="I27" s="556"/>
      <c r="J27" s="557">
        <v>42277</v>
      </c>
      <c r="K27" s="558">
        <f t="shared" si="3"/>
        <v>385846</v>
      </c>
      <c r="L27" s="554">
        <f t="shared" si="0"/>
        <v>8927386</v>
      </c>
      <c r="M27" s="558">
        <f t="shared" si="4"/>
        <v>22320</v>
      </c>
      <c r="N27" s="554">
        <f t="shared" si="1"/>
        <v>363526</v>
      </c>
      <c r="O27" s="554">
        <f t="shared" si="2"/>
        <v>3271734</v>
      </c>
    </row>
    <row r="28" spans="1:21" x14ac:dyDescent="0.25">
      <c r="A28" s="536">
        <v>12</v>
      </c>
      <c r="B28" s="529"/>
      <c r="C28" s="549" t="s">
        <v>456</v>
      </c>
      <c r="E28" s="529"/>
      <c r="F28" s="559">
        <f>ROUND(F27/12,0)</f>
        <v>22320</v>
      </c>
      <c r="G28" s="531"/>
      <c r="H28" s="531"/>
      <c r="I28" s="556"/>
      <c r="J28" s="557">
        <v>42308</v>
      </c>
      <c r="K28" s="558">
        <f t="shared" si="3"/>
        <v>385846</v>
      </c>
      <c r="L28" s="554">
        <f t="shared" si="0"/>
        <v>8541540</v>
      </c>
      <c r="M28" s="558">
        <f t="shared" si="4"/>
        <v>22320</v>
      </c>
      <c r="N28" s="554">
        <f t="shared" si="1"/>
        <v>363526</v>
      </c>
      <c r="O28" s="554">
        <f t="shared" si="2"/>
        <v>3635260</v>
      </c>
    </row>
    <row r="29" spans="1:21" x14ac:dyDescent="0.25">
      <c r="A29" s="536">
        <v>13</v>
      </c>
      <c r="B29" s="529"/>
      <c r="C29" s="549" t="s">
        <v>457</v>
      </c>
      <c r="E29" s="529"/>
      <c r="F29" s="559">
        <f>ROUND(F28*F22,0)</f>
        <v>717365</v>
      </c>
      <c r="G29" s="531"/>
      <c r="H29" s="531"/>
      <c r="I29" s="556"/>
      <c r="J29" s="557">
        <v>42338</v>
      </c>
      <c r="K29" s="558">
        <f t="shared" si="3"/>
        <v>385846</v>
      </c>
      <c r="L29" s="554">
        <f t="shared" si="0"/>
        <v>8155694</v>
      </c>
      <c r="M29" s="558">
        <f t="shared" si="4"/>
        <v>22320</v>
      </c>
      <c r="N29" s="554">
        <f t="shared" si="1"/>
        <v>363526</v>
      </c>
      <c r="O29" s="554">
        <f t="shared" si="2"/>
        <v>3998786</v>
      </c>
    </row>
    <row r="30" spans="1:21" x14ac:dyDescent="0.25">
      <c r="A30" s="536">
        <v>14</v>
      </c>
      <c r="B30" s="529"/>
      <c r="E30" s="529"/>
      <c r="F30" s="563"/>
      <c r="G30" s="531"/>
      <c r="H30" s="531"/>
      <c r="I30" s="556"/>
      <c r="J30" s="557">
        <v>42369</v>
      </c>
      <c r="K30" s="558">
        <f t="shared" si="3"/>
        <v>385846</v>
      </c>
      <c r="L30" s="554">
        <f t="shared" si="0"/>
        <v>7769848</v>
      </c>
      <c r="M30" s="558">
        <f t="shared" si="4"/>
        <v>22320</v>
      </c>
      <c r="N30" s="554">
        <f t="shared" si="1"/>
        <v>363526</v>
      </c>
      <c r="O30" s="554">
        <f t="shared" si="2"/>
        <v>4362312</v>
      </c>
    </row>
    <row r="31" spans="1:21" x14ac:dyDescent="0.25">
      <c r="A31" s="536">
        <v>15</v>
      </c>
      <c r="B31" s="529"/>
      <c r="C31" s="526" t="s">
        <v>458</v>
      </c>
      <c r="E31" s="529"/>
      <c r="F31" s="559">
        <f>F25-F29</f>
        <v>11682635</v>
      </c>
      <c r="G31" s="531"/>
      <c r="H31" s="531"/>
      <c r="I31" s="556"/>
      <c r="J31" s="557">
        <v>42400</v>
      </c>
      <c r="K31" s="558">
        <f t="shared" si="3"/>
        <v>385846</v>
      </c>
      <c r="L31" s="554">
        <f t="shared" si="0"/>
        <v>7384002</v>
      </c>
      <c r="M31" s="558">
        <f t="shared" si="4"/>
        <v>22320</v>
      </c>
      <c r="N31" s="554">
        <f t="shared" si="1"/>
        <v>363526</v>
      </c>
      <c r="O31" s="554">
        <f t="shared" si="2"/>
        <v>4725838</v>
      </c>
    </row>
    <row r="32" spans="1:21" x14ac:dyDescent="0.25">
      <c r="A32" s="536">
        <v>16</v>
      </c>
      <c r="B32" s="529"/>
      <c r="E32" s="529"/>
      <c r="F32" s="563"/>
      <c r="G32" s="531"/>
      <c r="H32" s="531"/>
      <c r="I32" s="556"/>
      <c r="J32" s="557">
        <v>42429</v>
      </c>
      <c r="K32" s="558">
        <f t="shared" si="3"/>
        <v>385846</v>
      </c>
      <c r="L32" s="554">
        <f t="shared" si="0"/>
        <v>6998156</v>
      </c>
      <c r="M32" s="558">
        <f t="shared" si="4"/>
        <v>22320</v>
      </c>
      <c r="N32" s="554">
        <f t="shared" si="1"/>
        <v>363526</v>
      </c>
      <c r="O32" s="554">
        <f t="shared" si="2"/>
        <v>5089364</v>
      </c>
    </row>
    <row r="33" spans="1:15" x14ac:dyDescent="0.25">
      <c r="A33" s="536">
        <v>17</v>
      </c>
      <c r="B33" s="529"/>
      <c r="C33" s="549" t="s">
        <v>459</v>
      </c>
      <c r="E33" s="529"/>
      <c r="F33" s="563">
        <f>ROUND((F28*0.86)+(F28*6),0)</f>
        <v>153115</v>
      </c>
      <c r="G33" s="531"/>
      <c r="H33" s="531"/>
      <c r="I33" s="556"/>
      <c r="J33" s="557">
        <v>42460</v>
      </c>
      <c r="K33" s="558">
        <f t="shared" si="3"/>
        <v>385846</v>
      </c>
      <c r="L33" s="554">
        <f t="shared" si="0"/>
        <v>6612310</v>
      </c>
      <c r="M33" s="558">
        <f t="shared" si="4"/>
        <v>22320</v>
      </c>
      <c r="N33" s="554">
        <f t="shared" si="1"/>
        <v>363526</v>
      </c>
      <c r="O33" s="554">
        <f t="shared" si="2"/>
        <v>5452890</v>
      </c>
    </row>
    <row r="34" spans="1:15" x14ac:dyDescent="0.25">
      <c r="A34" s="536">
        <v>18</v>
      </c>
      <c r="B34" s="529"/>
      <c r="E34" s="529"/>
      <c r="F34" s="563"/>
      <c r="G34" s="531"/>
      <c r="H34" s="531"/>
      <c r="I34" s="556"/>
      <c r="J34" s="557">
        <v>42490</v>
      </c>
      <c r="K34" s="558">
        <f t="shared" si="3"/>
        <v>385846</v>
      </c>
      <c r="L34" s="554">
        <f t="shared" si="0"/>
        <v>6226464</v>
      </c>
      <c r="M34" s="558">
        <f t="shared" si="4"/>
        <v>22320</v>
      </c>
      <c r="N34" s="554">
        <f t="shared" si="1"/>
        <v>363526</v>
      </c>
      <c r="O34" s="554">
        <f t="shared" si="2"/>
        <v>5816416</v>
      </c>
    </row>
    <row r="35" spans="1:15" x14ac:dyDescent="0.25">
      <c r="A35" s="536">
        <v>19</v>
      </c>
      <c r="B35" s="529"/>
      <c r="C35" s="549" t="s">
        <v>460</v>
      </c>
      <c r="E35" s="529"/>
      <c r="F35" s="563">
        <f>F31-F33</f>
        <v>11529520</v>
      </c>
      <c r="G35" s="531"/>
      <c r="H35" s="531"/>
      <c r="I35" s="556"/>
      <c r="J35" s="557">
        <v>42521</v>
      </c>
      <c r="K35" s="558">
        <f t="shared" si="3"/>
        <v>385846</v>
      </c>
      <c r="L35" s="554">
        <f t="shared" si="0"/>
        <v>5840618</v>
      </c>
      <c r="M35" s="558">
        <f t="shared" si="4"/>
        <v>22320</v>
      </c>
      <c r="N35" s="554">
        <f t="shared" si="1"/>
        <v>363526</v>
      </c>
      <c r="O35" s="554">
        <f t="shared" si="2"/>
        <v>6179942</v>
      </c>
    </row>
    <row r="36" spans="1:15" x14ac:dyDescent="0.25">
      <c r="A36" s="536">
        <v>20</v>
      </c>
      <c r="B36" s="529"/>
      <c r="E36" s="529"/>
      <c r="F36" s="563"/>
      <c r="G36" s="531"/>
      <c r="H36" s="531"/>
      <c r="I36" s="556"/>
      <c r="J36" s="557">
        <v>42551</v>
      </c>
      <c r="K36" s="558">
        <f t="shared" si="3"/>
        <v>385846</v>
      </c>
      <c r="L36" s="554">
        <f t="shared" si="0"/>
        <v>5454772</v>
      </c>
      <c r="M36" s="558">
        <f t="shared" si="4"/>
        <v>22320</v>
      </c>
      <c r="N36" s="554">
        <f t="shared" si="1"/>
        <v>363526</v>
      </c>
      <c r="O36" s="554">
        <f t="shared" si="2"/>
        <v>6543468</v>
      </c>
    </row>
    <row r="37" spans="1:15" x14ac:dyDescent="0.25">
      <c r="A37" s="536">
        <v>21</v>
      </c>
      <c r="B37" s="529"/>
      <c r="C37" s="549" t="s">
        <v>461</v>
      </c>
      <c r="E37" s="529"/>
      <c r="F37" s="564">
        <v>23.5</v>
      </c>
      <c r="G37" s="531"/>
      <c r="H37" s="531"/>
      <c r="I37" s="556"/>
      <c r="J37" s="557">
        <v>42582</v>
      </c>
      <c r="K37" s="558">
        <f t="shared" si="3"/>
        <v>385846</v>
      </c>
      <c r="L37" s="554">
        <f t="shared" si="0"/>
        <v>5068926</v>
      </c>
      <c r="M37" s="558">
        <f t="shared" si="4"/>
        <v>22320</v>
      </c>
      <c r="N37" s="554">
        <f t="shared" si="1"/>
        <v>363526</v>
      </c>
      <c r="O37" s="554">
        <f t="shared" si="2"/>
        <v>6906994</v>
      </c>
    </row>
    <row r="38" spans="1:15" x14ac:dyDescent="0.25">
      <c r="A38" s="536">
        <v>22</v>
      </c>
      <c r="B38" s="529"/>
      <c r="E38" s="529"/>
      <c r="F38" s="563"/>
      <c r="G38" s="531"/>
      <c r="H38" s="531"/>
      <c r="I38" s="556"/>
      <c r="J38" s="557">
        <v>42613</v>
      </c>
      <c r="K38" s="558">
        <f t="shared" si="3"/>
        <v>385846</v>
      </c>
      <c r="L38" s="554">
        <f t="shared" si="0"/>
        <v>4683080</v>
      </c>
      <c r="M38" s="558">
        <f t="shared" si="4"/>
        <v>22320</v>
      </c>
      <c r="N38" s="554">
        <f t="shared" si="1"/>
        <v>363526</v>
      </c>
      <c r="O38" s="554">
        <f t="shared" si="2"/>
        <v>7270520</v>
      </c>
    </row>
    <row r="39" spans="1:15" ht="15.75" thickBot="1" x14ac:dyDescent="0.3">
      <c r="A39" s="536">
        <v>23</v>
      </c>
      <c r="B39" s="529"/>
      <c r="C39" s="526" t="s">
        <v>462</v>
      </c>
      <c r="E39" s="529"/>
      <c r="F39" s="565">
        <f>ROUND(F35/F37,0)</f>
        <v>490618</v>
      </c>
      <c r="G39" s="531"/>
      <c r="H39" s="531"/>
      <c r="I39" s="556"/>
      <c r="J39" s="557">
        <v>42643</v>
      </c>
      <c r="K39" s="558">
        <f t="shared" si="3"/>
        <v>385846</v>
      </c>
      <c r="L39" s="554">
        <f t="shared" si="0"/>
        <v>4297234</v>
      </c>
      <c r="M39" s="558">
        <f t="shared" si="4"/>
        <v>22320</v>
      </c>
      <c r="N39" s="554">
        <f t="shared" si="1"/>
        <v>363526</v>
      </c>
      <c r="O39" s="554">
        <f t="shared" si="2"/>
        <v>7634046</v>
      </c>
    </row>
    <row r="40" spans="1:15" ht="15.75" thickTop="1" x14ac:dyDescent="0.25">
      <c r="A40" s="536"/>
      <c r="B40" s="529"/>
      <c r="C40" s="533"/>
      <c r="D40" s="533"/>
      <c r="E40" s="529"/>
      <c r="F40" s="550"/>
      <c r="G40" s="531"/>
      <c r="H40" s="531"/>
      <c r="I40" s="556"/>
      <c r="J40" s="557">
        <v>42674</v>
      </c>
      <c r="K40" s="558">
        <f t="shared" si="3"/>
        <v>385846</v>
      </c>
      <c r="L40" s="554">
        <f t="shared" si="0"/>
        <v>3911388</v>
      </c>
      <c r="M40" s="558">
        <f t="shared" si="4"/>
        <v>22320</v>
      </c>
      <c r="N40" s="554">
        <f t="shared" si="1"/>
        <v>363526</v>
      </c>
      <c r="O40" s="554">
        <f t="shared" si="2"/>
        <v>7997572</v>
      </c>
    </row>
    <row r="41" spans="1:15" x14ac:dyDescent="0.25">
      <c r="A41" s="536"/>
      <c r="B41" s="529"/>
      <c r="C41" s="533" t="s">
        <v>463</v>
      </c>
      <c r="D41" s="533"/>
      <c r="E41" s="529"/>
      <c r="F41" s="550">
        <f>F39/12</f>
        <v>40884.833333333336</v>
      </c>
      <c r="G41" s="531"/>
      <c r="H41" s="531"/>
      <c r="I41" s="556"/>
      <c r="J41" s="557">
        <v>42704</v>
      </c>
      <c r="K41" s="558">
        <f t="shared" si="3"/>
        <v>385846</v>
      </c>
      <c r="L41" s="554">
        <f t="shared" si="0"/>
        <v>3525542</v>
      </c>
      <c r="M41" s="558">
        <f t="shared" si="4"/>
        <v>22320</v>
      </c>
      <c r="N41" s="554">
        <f t="shared" si="1"/>
        <v>363526</v>
      </c>
      <c r="O41" s="554">
        <f t="shared" si="2"/>
        <v>8361098</v>
      </c>
    </row>
    <row r="42" spans="1:15" x14ac:dyDescent="0.25">
      <c r="A42" s="528"/>
      <c r="B42" s="529"/>
      <c r="C42" s="533"/>
      <c r="D42" s="533"/>
      <c r="E42" s="529"/>
      <c r="F42" s="529"/>
      <c r="G42" s="531"/>
      <c r="H42" s="531"/>
      <c r="I42" s="556"/>
      <c r="J42" s="557">
        <v>42735</v>
      </c>
      <c r="K42" s="558">
        <f t="shared" si="3"/>
        <v>385846</v>
      </c>
      <c r="L42" s="554">
        <f t="shared" si="0"/>
        <v>3139696</v>
      </c>
      <c r="M42" s="558">
        <f t="shared" si="4"/>
        <v>22320</v>
      </c>
      <c r="N42" s="554">
        <f t="shared" si="1"/>
        <v>363526</v>
      </c>
      <c r="O42" s="554">
        <f t="shared" si="2"/>
        <v>8724624</v>
      </c>
    </row>
    <row r="43" spans="1:15" x14ac:dyDescent="0.25">
      <c r="A43" s="529"/>
      <c r="B43" s="529"/>
      <c r="C43" s="526" t="s">
        <v>464</v>
      </c>
      <c r="E43" s="529"/>
      <c r="F43" s="529"/>
      <c r="G43" s="531"/>
      <c r="H43" s="531"/>
      <c r="I43" s="556"/>
      <c r="J43" s="557">
        <v>42766</v>
      </c>
      <c r="K43" s="558">
        <f t="shared" si="3"/>
        <v>385846</v>
      </c>
      <c r="L43" s="554">
        <f t="shared" si="0"/>
        <v>2753850</v>
      </c>
      <c r="M43" s="558">
        <f t="shared" si="4"/>
        <v>22320</v>
      </c>
      <c r="N43" s="554">
        <f t="shared" si="1"/>
        <v>363526</v>
      </c>
      <c r="O43" s="554">
        <f t="shared" si="2"/>
        <v>9088150</v>
      </c>
    </row>
    <row r="44" spans="1:15" x14ac:dyDescent="0.25">
      <c r="A44" s="538"/>
      <c r="B44" s="538"/>
      <c r="C44" s="526" t="s">
        <v>465</v>
      </c>
      <c r="E44" s="538"/>
      <c r="F44" s="531"/>
      <c r="G44" s="531"/>
      <c r="H44" s="531"/>
      <c r="I44" s="556"/>
      <c r="J44" s="557">
        <v>42794</v>
      </c>
      <c r="K44" s="558">
        <f t="shared" si="3"/>
        <v>385846</v>
      </c>
      <c r="L44" s="554">
        <f t="shared" si="0"/>
        <v>2368004</v>
      </c>
      <c r="M44" s="558">
        <f t="shared" si="4"/>
        <v>22320</v>
      </c>
      <c r="N44" s="554">
        <f t="shared" si="1"/>
        <v>363526</v>
      </c>
      <c r="O44" s="554">
        <f t="shared" si="2"/>
        <v>9451676</v>
      </c>
    </row>
    <row r="45" spans="1:15" x14ac:dyDescent="0.25">
      <c r="A45" s="538"/>
      <c r="B45" s="538"/>
      <c r="C45" s="538"/>
      <c r="D45" s="538"/>
      <c r="E45" s="538"/>
      <c r="F45" s="538"/>
      <c r="G45" s="531"/>
      <c r="I45" s="556"/>
      <c r="J45" s="557">
        <v>42825</v>
      </c>
      <c r="K45" s="558">
        <f t="shared" si="3"/>
        <v>385846</v>
      </c>
      <c r="L45" s="554">
        <f t="shared" si="0"/>
        <v>1982158</v>
      </c>
      <c r="M45" s="558">
        <f t="shared" si="4"/>
        <v>22320</v>
      </c>
      <c r="N45" s="554">
        <f t="shared" si="1"/>
        <v>363526</v>
      </c>
      <c r="O45" s="554">
        <f t="shared" si="2"/>
        <v>9815202</v>
      </c>
    </row>
    <row r="46" spans="1:15" x14ac:dyDescent="0.25">
      <c r="A46" s="538"/>
      <c r="B46" s="538"/>
      <c r="C46" s="538"/>
      <c r="D46" s="538"/>
      <c r="E46" s="538"/>
      <c r="F46" s="538"/>
      <c r="G46" s="531"/>
      <c r="I46" s="556"/>
      <c r="J46" s="557">
        <v>42855</v>
      </c>
      <c r="K46" s="558">
        <f t="shared" si="3"/>
        <v>385846</v>
      </c>
      <c r="L46" s="554">
        <f t="shared" si="0"/>
        <v>1596312</v>
      </c>
      <c r="M46" s="558">
        <f t="shared" si="4"/>
        <v>22320</v>
      </c>
      <c r="N46" s="554">
        <f t="shared" si="1"/>
        <v>363526</v>
      </c>
      <c r="O46" s="554">
        <f t="shared" si="2"/>
        <v>10178728</v>
      </c>
    </row>
    <row r="47" spans="1:15" x14ac:dyDescent="0.25">
      <c r="A47" s="566"/>
      <c r="B47" s="538"/>
      <c r="C47" s="538"/>
      <c r="D47" s="538"/>
      <c r="E47" s="538"/>
      <c r="F47" s="566"/>
      <c r="G47" s="531"/>
      <c r="I47" s="556"/>
      <c r="J47" s="557">
        <v>42886</v>
      </c>
      <c r="K47" s="558">
        <f t="shared" si="3"/>
        <v>385846</v>
      </c>
      <c r="L47" s="554">
        <f t="shared" si="0"/>
        <v>1210466</v>
      </c>
      <c r="M47" s="558">
        <f t="shared" si="4"/>
        <v>22320</v>
      </c>
      <c r="N47" s="554">
        <f t="shared" si="1"/>
        <v>363526</v>
      </c>
      <c r="O47" s="554">
        <f t="shared" si="2"/>
        <v>10542254</v>
      </c>
    </row>
    <row r="48" spans="1:15" x14ac:dyDescent="0.25">
      <c r="I48" s="556"/>
      <c r="J48" s="557">
        <v>42916</v>
      </c>
      <c r="K48" s="558">
        <f t="shared" si="3"/>
        <v>385846</v>
      </c>
      <c r="L48" s="554">
        <f t="shared" si="0"/>
        <v>824620</v>
      </c>
      <c r="M48" s="558">
        <f t="shared" si="4"/>
        <v>22320</v>
      </c>
      <c r="N48" s="554">
        <f t="shared" si="1"/>
        <v>363526</v>
      </c>
      <c r="O48" s="554">
        <f t="shared" si="2"/>
        <v>10905780</v>
      </c>
    </row>
    <row r="49" spans="9:16" x14ac:dyDescent="0.25">
      <c r="I49" s="556"/>
      <c r="J49" s="557">
        <v>42947</v>
      </c>
      <c r="K49" s="558">
        <f t="shared" si="3"/>
        <v>385846</v>
      </c>
      <c r="L49" s="554">
        <f t="shared" si="0"/>
        <v>438774</v>
      </c>
      <c r="M49" s="558">
        <f t="shared" si="4"/>
        <v>22320</v>
      </c>
      <c r="N49" s="554">
        <f t="shared" si="1"/>
        <v>363526</v>
      </c>
      <c r="O49" s="554">
        <f t="shared" si="2"/>
        <v>11269306</v>
      </c>
    </row>
    <row r="50" spans="9:16" x14ac:dyDescent="0.25">
      <c r="I50" s="556"/>
      <c r="J50" s="557">
        <v>42978</v>
      </c>
      <c r="K50" s="558">
        <f t="shared" si="3"/>
        <v>385846</v>
      </c>
      <c r="L50" s="554">
        <f t="shared" si="0"/>
        <v>52928</v>
      </c>
      <c r="M50" s="558">
        <f t="shared" si="4"/>
        <v>22320</v>
      </c>
      <c r="N50" s="554">
        <f t="shared" si="1"/>
        <v>363526</v>
      </c>
      <c r="O50" s="554">
        <f t="shared" si="2"/>
        <v>11632832</v>
      </c>
    </row>
    <row r="51" spans="9:16" x14ac:dyDescent="0.25">
      <c r="I51" s="556"/>
      <c r="J51" s="557">
        <v>43008</v>
      </c>
      <c r="K51" s="554">
        <f>L50</f>
        <v>52928</v>
      </c>
      <c r="L51" s="554">
        <f t="shared" si="0"/>
        <v>0</v>
      </c>
      <c r="M51" s="558">
        <f>$F$28*0.14</f>
        <v>3124.8</v>
      </c>
      <c r="N51" s="554">
        <f t="shared" si="1"/>
        <v>49803.199999999997</v>
      </c>
      <c r="O51" s="554">
        <f t="shared" si="2"/>
        <v>11682635.199999999</v>
      </c>
    </row>
    <row r="52" spans="9:16" x14ac:dyDescent="0.25">
      <c r="I52" s="556"/>
      <c r="J52" s="557">
        <v>43008</v>
      </c>
      <c r="K52" s="554"/>
      <c r="L52" s="554"/>
      <c r="M52" s="558">
        <f>$F$28*0.86</f>
        <v>19195.2</v>
      </c>
      <c r="N52" s="554">
        <f>-M50*0.86</f>
        <v>-19195.2</v>
      </c>
      <c r="O52" s="554">
        <f t="shared" si="2"/>
        <v>11663440</v>
      </c>
    </row>
    <row r="53" spans="9:16" x14ac:dyDescent="0.25">
      <c r="I53" s="556"/>
      <c r="J53" s="557">
        <v>43039</v>
      </c>
      <c r="K53" s="567"/>
      <c r="L53" s="554">
        <f>L51-K53</f>
        <v>0</v>
      </c>
      <c r="M53" s="558">
        <f t="shared" si="4"/>
        <v>22320</v>
      </c>
      <c r="N53" s="554">
        <f t="shared" ref="N53:N59" si="5">-M53</f>
        <v>-22320</v>
      </c>
      <c r="O53" s="554">
        <f t="shared" si="2"/>
        <v>11641120</v>
      </c>
    </row>
    <row r="54" spans="9:16" x14ac:dyDescent="0.25">
      <c r="I54" s="556"/>
      <c r="J54" s="557">
        <v>43069</v>
      </c>
      <c r="K54" s="567"/>
      <c r="L54" s="554">
        <f t="shared" ref="L54:L117" si="6">L53-K54</f>
        <v>0</v>
      </c>
      <c r="M54" s="558">
        <f t="shared" si="4"/>
        <v>22320</v>
      </c>
      <c r="N54" s="554">
        <f t="shared" si="5"/>
        <v>-22320</v>
      </c>
      <c r="O54" s="554">
        <f t="shared" si="2"/>
        <v>11618800</v>
      </c>
    </row>
    <row r="55" spans="9:16" x14ac:dyDescent="0.25">
      <c r="I55" s="556"/>
      <c r="J55" s="557">
        <v>43100</v>
      </c>
      <c r="K55" s="567"/>
      <c r="L55" s="554">
        <f t="shared" si="6"/>
        <v>0</v>
      </c>
      <c r="M55" s="558">
        <f t="shared" si="4"/>
        <v>22320</v>
      </c>
      <c r="N55" s="554">
        <f t="shared" si="5"/>
        <v>-22320</v>
      </c>
      <c r="O55" s="554">
        <f t="shared" si="2"/>
        <v>11596480</v>
      </c>
    </row>
    <row r="56" spans="9:16" x14ac:dyDescent="0.25">
      <c r="I56" s="556"/>
      <c r="J56" s="557">
        <v>43131</v>
      </c>
      <c r="K56" s="567"/>
      <c r="L56" s="554">
        <f t="shared" si="6"/>
        <v>0</v>
      </c>
      <c r="M56" s="558">
        <f t="shared" si="4"/>
        <v>22320</v>
      </c>
      <c r="N56" s="554">
        <f t="shared" si="5"/>
        <v>-22320</v>
      </c>
      <c r="O56" s="554">
        <f t="shared" si="2"/>
        <v>11574160</v>
      </c>
    </row>
    <row r="57" spans="9:16" x14ac:dyDescent="0.25">
      <c r="I57" s="556"/>
      <c r="J57" s="557">
        <v>43159</v>
      </c>
      <c r="K57" s="567"/>
      <c r="L57" s="554">
        <f t="shared" si="6"/>
        <v>0</v>
      </c>
      <c r="M57" s="558">
        <f t="shared" si="4"/>
        <v>22320</v>
      </c>
      <c r="N57" s="554">
        <f t="shared" si="5"/>
        <v>-22320</v>
      </c>
      <c r="O57" s="554">
        <f t="shared" si="2"/>
        <v>11551840</v>
      </c>
    </row>
    <row r="58" spans="9:16" x14ac:dyDescent="0.25">
      <c r="I58" s="556"/>
      <c r="J58" s="557">
        <v>43190</v>
      </c>
      <c r="K58" s="567"/>
      <c r="L58" s="554">
        <f t="shared" si="6"/>
        <v>0</v>
      </c>
      <c r="M58" s="558">
        <f t="shared" si="4"/>
        <v>22320</v>
      </c>
      <c r="N58" s="554">
        <f t="shared" si="5"/>
        <v>-22320</v>
      </c>
      <c r="O58" s="554">
        <f t="shared" si="2"/>
        <v>11529520</v>
      </c>
    </row>
    <row r="59" spans="9:16" x14ac:dyDescent="0.25">
      <c r="I59" s="556"/>
      <c r="J59" s="568">
        <v>43220</v>
      </c>
      <c r="K59" s="569"/>
      <c r="L59" s="570">
        <f t="shared" si="6"/>
        <v>0</v>
      </c>
      <c r="M59" s="571">
        <f t="shared" si="4"/>
        <v>22320</v>
      </c>
      <c r="N59" s="570">
        <f t="shared" si="5"/>
        <v>-22320</v>
      </c>
      <c r="O59" s="570">
        <f t="shared" si="2"/>
        <v>11507200</v>
      </c>
      <c r="P59" s="572" t="s">
        <v>466</v>
      </c>
    </row>
    <row r="60" spans="9:16" x14ac:dyDescent="0.25">
      <c r="I60" s="556"/>
      <c r="J60" s="557">
        <v>43251</v>
      </c>
      <c r="K60" s="567"/>
      <c r="L60" s="554">
        <f t="shared" si="6"/>
        <v>0</v>
      </c>
      <c r="M60" s="558">
        <f t="shared" si="4"/>
        <v>22320</v>
      </c>
      <c r="N60" s="554">
        <f t="shared" ref="N60:N123" si="7">-$F$39/12</f>
        <v>-40884.833333333336</v>
      </c>
      <c r="O60" s="554">
        <f t="shared" si="2"/>
        <v>11466315.166666666</v>
      </c>
    </row>
    <row r="61" spans="9:16" x14ac:dyDescent="0.25">
      <c r="I61" s="556"/>
      <c r="J61" s="557">
        <v>43281</v>
      </c>
      <c r="K61" s="567"/>
      <c r="L61" s="554">
        <f t="shared" si="6"/>
        <v>0</v>
      </c>
      <c r="M61" s="558">
        <f t="shared" si="4"/>
        <v>22320</v>
      </c>
      <c r="N61" s="554">
        <f t="shared" si="7"/>
        <v>-40884.833333333336</v>
      </c>
      <c r="O61" s="554">
        <f t="shared" si="2"/>
        <v>11425430.333333332</v>
      </c>
    </row>
    <row r="62" spans="9:16" x14ac:dyDescent="0.25">
      <c r="I62" s="556"/>
      <c r="J62" s="557">
        <v>43312</v>
      </c>
      <c r="K62" s="567"/>
      <c r="L62" s="554">
        <f t="shared" si="6"/>
        <v>0</v>
      </c>
      <c r="M62" s="558">
        <f t="shared" si="4"/>
        <v>22320</v>
      </c>
      <c r="N62" s="554">
        <f t="shared" si="7"/>
        <v>-40884.833333333336</v>
      </c>
      <c r="O62" s="554">
        <f t="shared" si="2"/>
        <v>11384545.499999998</v>
      </c>
    </row>
    <row r="63" spans="9:16" x14ac:dyDescent="0.25">
      <c r="I63" s="556"/>
      <c r="J63" s="557">
        <v>43343</v>
      </c>
      <c r="K63" s="567"/>
      <c r="L63" s="554">
        <f t="shared" si="6"/>
        <v>0</v>
      </c>
      <c r="M63" s="558">
        <f t="shared" si="4"/>
        <v>22320</v>
      </c>
      <c r="N63" s="554">
        <f t="shared" si="7"/>
        <v>-40884.833333333336</v>
      </c>
      <c r="O63" s="554">
        <f t="shared" si="2"/>
        <v>11343660.666666664</v>
      </c>
    </row>
    <row r="64" spans="9:16" x14ac:dyDescent="0.25">
      <c r="I64" s="556"/>
      <c r="J64" s="557">
        <v>43373</v>
      </c>
      <c r="K64" s="567"/>
      <c r="L64" s="554">
        <f t="shared" si="6"/>
        <v>0</v>
      </c>
      <c r="M64" s="558">
        <f t="shared" si="4"/>
        <v>22320</v>
      </c>
      <c r="N64" s="554">
        <f t="shared" si="7"/>
        <v>-40884.833333333336</v>
      </c>
      <c r="O64" s="554">
        <f t="shared" si="2"/>
        <v>11302775.83333333</v>
      </c>
    </row>
    <row r="65" spans="9:15" x14ac:dyDescent="0.25">
      <c r="I65" s="556"/>
      <c r="J65" s="557">
        <v>43404</v>
      </c>
      <c r="K65" s="567"/>
      <c r="L65" s="554">
        <f t="shared" si="6"/>
        <v>0</v>
      </c>
      <c r="M65" s="558">
        <f t="shared" si="4"/>
        <v>22320</v>
      </c>
      <c r="N65" s="554">
        <f t="shared" si="7"/>
        <v>-40884.833333333336</v>
      </c>
      <c r="O65" s="554">
        <f t="shared" si="2"/>
        <v>11261890.999999996</v>
      </c>
    </row>
    <row r="66" spans="9:15" x14ac:dyDescent="0.25">
      <c r="I66" s="556"/>
      <c r="J66" s="557">
        <v>43434</v>
      </c>
      <c r="K66" s="567"/>
      <c r="L66" s="554">
        <f t="shared" si="6"/>
        <v>0</v>
      </c>
      <c r="M66" s="558">
        <f t="shared" si="4"/>
        <v>22320</v>
      </c>
      <c r="N66" s="554">
        <f t="shared" si="7"/>
        <v>-40884.833333333336</v>
      </c>
      <c r="O66" s="554">
        <f t="shared" si="2"/>
        <v>11221006.166666662</v>
      </c>
    </row>
    <row r="67" spans="9:15" x14ac:dyDescent="0.25">
      <c r="I67" s="556"/>
      <c r="J67" s="557">
        <v>43465</v>
      </c>
      <c r="K67" s="567"/>
      <c r="L67" s="554">
        <f t="shared" si="6"/>
        <v>0</v>
      </c>
      <c r="M67" s="558">
        <f t="shared" si="4"/>
        <v>22320</v>
      </c>
      <c r="N67" s="554">
        <f t="shared" si="7"/>
        <v>-40884.833333333336</v>
      </c>
      <c r="O67" s="554">
        <f t="shared" si="2"/>
        <v>11180121.333333328</v>
      </c>
    </row>
    <row r="68" spans="9:15" x14ac:dyDescent="0.25">
      <c r="I68" s="556"/>
      <c r="J68" s="557">
        <v>43496</v>
      </c>
      <c r="K68" s="567"/>
      <c r="L68" s="554">
        <f t="shared" si="6"/>
        <v>0</v>
      </c>
      <c r="M68" s="558">
        <f t="shared" si="4"/>
        <v>22320</v>
      </c>
      <c r="N68" s="554">
        <f t="shared" si="7"/>
        <v>-40884.833333333336</v>
      </c>
      <c r="O68" s="554">
        <f t="shared" si="2"/>
        <v>11139236.499999994</v>
      </c>
    </row>
    <row r="69" spans="9:15" x14ac:dyDescent="0.25">
      <c r="I69" s="556"/>
      <c r="J69" s="557">
        <v>43524</v>
      </c>
      <c r="K69" s="567"/>
      <c r="L69" s="554">
        <f t="shared" si="6"/>
        <v>0</v>
      </c>
      <c r="M69" s="558">
        <f t="shared" si="4"/>
        <v>22320</v>
      </c>
      <c r="N69" s="554">
        <f t="shared" si="7"/>
        <v>-40884.833333333336</v>
      </c>
      <c r="O69" s="554">
        <f t="shared" si="2"/>
        <v>11098351.66666666</v>
      </c>
    </row>
    <row r="70" spans="9:15" x14ac:dyDescent="0.25">
      <c r="I70" s="556"/>
      <c r="J70" s="557">
        <v>43555</v>
      </c>
      <c r="K70" s="567"/>
      <c r="L70" s="554">
        <f t="shared" si="6"/>
        <v>0</v>
      </c>
      <c r="M70" s="558">
        <f t="shared" si="4"/>
        <v>22320</v>
      </c>
      <c r="N70" s="554">
        <f t="shared" si="7"/>
        <v>-40884.833333333336</v>
      </c>
      <c r="O70" s="554">
        <f t="shared" si="2"/>
        <v>11057466.833333327</v>
      </c>
    </row>
    <row r="71" spans="9:15" x14ac:dyDescent="0.25">
      <c r="J71" s="557">
        <v>43585</v>
      </c>
      <c r="K71" s="554"/>
      <c r="L71" s="554">
        <f t="shared" si="6"/>
        <v>0</v>
      </c>
      <c r="M71" s="558">
        <f t="shared" si="4"/>
        <v>22320</v>
      </c>
      <c r="N71" s="554">
        <f t="shared" si="7"/>
        <v>-40884.833333333336</v>
      </c>
      <c r="O71" s="554">
        <f t="shared" si="2"/>
        <v>11016581.999999993</v>
      </c>
    </row>
    <row r="72" spans="9:15" x14ac:dyDescent="0.25">
      <c r="J72" s="557">
        <v>43616</v>
      </c>
      <c r="K72" s="573"/>
      <c r="L72" s="554">
        <f t="shared" si="6"/>
        <v>0</v>
      </c>
      <c r="M72" s="558">
        <f t="shared" si="4"/>
        <v>22320</v>
      </c>
      <c r="N72" s="554">
        <f t="shared" si="7"/>
        <v>-40884.833333333336</v>
      </c>
      <c r="O72" s="554">
        <f t="shared" si="2"/>
        <v>10975697.166666659</v>
      </c>
    </row>
    <row r="73" spans="9:15" x14ac:dyDescent="0.25">
      <c r="J73" s="557">
        <v>43646</v>
      </c>
      <c r="L73" s="554">
        <f t="shared" si="6"/>
        <v>0</v>
      </c>
      <c r="M73" s="558">
        <f t="shared" si="4"/>
        <v>22320</v>
      </c>
      <c r="N73" s="554">
        <f t="shared" si="7"/>
        <v>-40884.833333333336</v>
      </c>
      <c r="O73" s="554">
        <f t="shared" si="2"/>
        <v>10934812.333333325</v>
      </c>
    </row>
    <row r="74" spans="9:15" x14ac:dyDescent="0.25">
      <c r="J74" s="557">
        <v>43677</v>
      </c>
      <c r="L74" s="554">
        <f t="shared" si="6"/>
        <v>0</v>
      </c>
      <c r="M74" s="558">
        <f t="shared" si="4"/>
        <v>22320</v>
      </c>
      <c r="N74" s="554">
        <f t="shared" si="7"/>
        <v>-40884.833333333336</v>
      </c>
      <c r="O74" s="554">
        <f t="shared" si="2"/>
        <v>10893927.499999991</v>
      </c>
    </row>
    <row r="75" spans="9:15" x14ac:dyDescent="0.25">
      <c r="J75" s="557">
        <v>43708</v>
      </c>
      <c r="L75" s="554">
        <f t="shared" si="6"/>
        <v>0</v>
      </c>
      <c r="M75" s="558">
        <f t="shared" si="4"/>
        <v>22320</v>
      </c>
      <c r="N75" s="554">
        <f t="shared" si="7"/>
        <v>-40884.833333333336</v>
      </c>
      <c r="O75" s="554">
        <f t="shared" si="2"/>
        <v>10853042.666666657</v>
      </c>
    </row>
    <row r="76" spans="9:15" x14ac:dyDescent="0.25">
      <c r="J76" s="557">
        <v>43738</v>
      </c>
      <c r="L76" s="554">
        <f t="shared" si="6"/>
        <v>0</v>
      </c>
      <c r="M76" s="558">
        <f t="shared" si="4"/>
        <v>22320</v>
      </c>
      <c r="N76" s="554">
        <f t="shared" si="7"/>
        <v>-40884.833333333336</v>
      </c>
      <c r="O76" s="554">
        <f t="shared" si="2"/>
        <v>10812157.833333323</v>
      </c>
    </row>
    <row r="77" spans="9:15" x14ac:dyDescent="0.25">
      <c r="J77" s="557">
        <v>43769</v>
      </c>
      <c r="L77" s="554">
        <f t="shared" si="6"/>
        <v>0</v>
      </c>
      <c r="M77" s="558">
        <f t="shared" si="4"/>
        <v>22320</v>
      </c>
      <c r="N77" s="554">
        <f t="shared" si="7"/>
        <v>-40884.833333333336</v>
      </c>
      <c r="O77" s="554">
        <f t="shared" si="2"/>
        <v>10771272.999999989</v>
      </c>
    </row>
    <row r="78" spans="9:15" x14ac:dyDescent="0.25">
      <c r="J78" s="557">
        <v>43799</v>
      </c>
      <c r="L78" s="554">
        <f t="shared" si="6"/>
        <v>0</v>
      </c>
      <c r="M78" s="558">
        <f t="shared" si="4"/>
        <v>22320</v>
      </c>
      <c r="N78" s="554">
        <f t="shared" si="7"/>
        <v>-40884.833333333336</v>
      </c>
      <c r="O78" s="554">
        <f t="shared" si="2"/>
        <v>10730388.166666655</v>
      </c>
    </row>
    <row r="79" spans="9:15" x14ac:dyDescent="0.25">
      <c r="J79" s="557">
        <v>43830</v>
      </c>
      <c r="L79" s="554">
        <f t="shared" si="6"/>
        <v>0</v>
      </c>
      <c r="M79" s="558">
        <f t="shared" si="4"/>
        <v>22320</v>
      </c>
      <c r="N79" s="554">
        <f t="shared" si="7"/>
        <v>-40884.833333333336</v>
      </c>
      <c r="O79" s="554">
        <f t="shared" si="2"/>
        <v>10689503.333333321</v>
      </c>
    </row>
    <row r="80" spans="9:15" x14ac:dyDescent="0.25">
      <c r="J80" s="557">
        <v>43861</v>
      </c>
      <c r="L80" s="554">
        <f t="shared" si="6"/>
        <v>0</v>
      </c>
      <c r="M80" s="558">
        <f t="shared" si="4"/>
        <v>22320</v>
      </c>
      <c r="N80" s="554">
        <f t="shared" si="7"/>
        <v>-40884.833333333336</v>
      </c>
      <c r="O80" s="554">
        <f t="shared" si="2"/>
        <v>10648618.499999987</v>
      </c>
    </row>
    <row r="81" spans="10:17" x14ac:dyDescent="0.25">
      <c r="J81" s="557">
        <v>43890</v>
      </c>
      <c r="L81" s="554">
        <f t="shared" si="6"/>
        <v>0</v>
      </c>
      <c r="M81" s="558">
        <f t="shared" si="4"/>
        <v>22320</v>
      </c>
      <c r="N81" s="554">
        <f t="shared" si="7"/>
        <v>-40884.833333333336</v>
      </c>
      <c r="O81" s="554">
        <f t="shared" si="2"/>
        <v>10607733.666666653</v>
      </c>
    </row>
    <row r="82" spans="10:17" x14ac:dyDescent="0.25">
      <c r="J82" s="557">
        <v>43921</v>
      </c>
      <c r="L82" s="554">
        <f t="shared" si="6"/>
        <v>0</v>
      </c>
      <c r="M82" s="558">
        <f t="shared" si="4"/>
        <v>22320</v>
      </c>
      <c r="N82" s="554">
        <f t="shared" si="7"/>
        <v>-40884.833333333336</v>
      </c>
      <c r="O82" s="554">
        <f t="shared" si="2"/>
        <v>10566848.833333319</v>
      </c>
    </row>
    <row r="83" spans="10:17" x14ac:dyDescent="0.25">
      <c r="J83" s="557">
        <v>43951</v>
      </c>
      <c r="L83" s="554">
        <f t="shared" si="6"/>
        <v>0</v>
      </c>
      <c r="M83" s="558">
        <f t="shared" si="4"/>
        <v>22320</v>
      </c>
      <c r="N83" s="554">
        <f t="shared" si="7"/>
        <v>-40884.833333333336</v>
      </c>
      <c r="O83" s="554">
        <f t="shared" ref="O83:O146" si="8">O82+N83</f>
        <v>10525963.999999985</v>
      </c>
    </row>
    <row r="84" spans="10:17" x14ac:dyDescent="0.25">
      <c r="J84" s="557">
        <v>43982</v>
      </c>
      <c r="L84" s="554">
        <f t="shared" si="6"/>
        <v>0</v>
      </c>
      <c r="M84" s="558">
        <f t="shared" ref="M84:M147" si="9">$F$28</f>
        <v>22320</v>
      </c>
      <c r="N84" s="554">
        <f t="shared" si="7"/>
        <v>-40884.833333333336</v>
      </c>
      <c r="O84" s="554">
        <f t="shared" si="8"/>
        <v>10485079.166666651</v>
      </c>
    </row>
    <row r="85" spans="10:17" x14ac:dyDescent="0.25">
      <c r="J85" s="557">
        <v>44012</v>
      </c>
      <c r="L85" s="554">
        <f t="shared" si="6"/>
        <v>0</v>
      </c>
      <c r="M85" s="558">
        <f t="shared" si="9"/>
        <v>22320</v>
      </c>
      <c r="N85" s="554">
        <f t="shared" si="7"/>
        <v>-40884.833333333336</v>
      </c>
      <c r="O85" s="554">
        <f t="shared" si="8"/>
        <v>10444194.333333317</v>
      </c>
    </row>
    <row r="86" spans="10:17" x14ac:dyDescent="0.25">
      <c r="J86" s="557">
        <v>44043</v>
      </c>
      <c r="L86" s="554">
        <f t="shared" si="6"/>
        <v>0</v>
      </c>
      <c r="M86" s="558">
        <f t="shared" si="9"/>
        <v>22320</v>
      </c>
      <c r="N86" s="554">
        <f t="shared" si="7"/>
        <v>-40884.833333333336</v>
      </c>
      <c r="O86" s="554">
        <f t="shared" si="8"/>
        <v>10403309.499999983</v>
      </c>
    </row>
    <row r="87" spans="10:17" x14ac:dyDescent="0.25">
      <c r="J87" s="557">
        <v>44074</v>
      </c>
      <c r="L87" s="554">
        <f t="shared" si="6"/>
        <v>0</v>
      </c>
      <c r="M87" s="558">
        <f t="shared" si="9"/>
        <v>22320</v>
      </c>
      <c r="N87" s="554">
        <f t="shared" si="7"/>
        <v>-40884.833333333336</v>
      </c>
      <c r="O87" s="554">
        <f t="shared" si="8"/>
        <v>10362424.666666649</v>
      </c>
    </row>
    <row r="88" spans="10:17" x14ac:dyDescent="0.25">
      <c r="J88" s="557">
        <v>44104</v>
      </c>
      <c r="L88" s="554">
        <f t="shared" si="6"/>
        <v>0</v>
      </c>
      <c r="M88" s="558">
        <f t="shared" si="9"/>
        <v>22320</v>
      </c>
      <c r="N88" s="554">
        <f t="shared" si="7"/>
        <v>-40884.833333333336</v>
      </c>
      <c r="O88" s="554">
        <f t="shared" si="8"/>
        <v>10321539.833333315</v>
      </c>
    </row>
    <row r="89" spans="10:17" x14ac:dyDescent="0.25">
      <c r="J89" s="557">
        <v>44135</v>
      </c>
      <c r="L89" s="554">
        <f t="shared" si="6"/>
        <v>0</v>
      </c>
      <c r="M89" s="558">
        <f t="shared" si="9"/>
        <v>22320</v>
      </c>
      <c r="N89" s="554">
        <f t="shared" si="7"/>
        <v>-40884.833333333336</v>
      </c>
      <c r="O89" s="554">
        <f t="shared" si="8"/>
        <v>10280654.999999981</v>
      </c>
    </row>
    <row r="90" spans="10:17" x14ac:dyDescent="0.25">
      <c r="J90" s="557">
        <v>44165</v>
      </c>
      <c r="L90" s="554">
        <f t="shared" si="6"/>
        <v>0</v>
      </c>
      <c r="M90" s="558">
        <f t="shared" si="9"/>
        <v>22320</v>
      </c>
      <c r="N90" s="554">
        <f t="shared" si="7"/>
        <v>-40884.833333333336</v>
      </c>
      <c r="O90" s="554">
        <f t="shared" si="8"/>
        <v>10239770.166666647</v>
      </c>
    </row>
    <row r="91" spans="10:17" x14ac:dyDescent="0.25">
      <c r="J91" s="557">
        <v>44196</v>
      </c>
      <c r="L91" s="554">
        <f t="shared" si="6"/>
        <v>0</v>
      </c>
      <c r="M91" s="558">
        <f t="shared" si="9"/>
        <v>22320</v>
      </c>
      <c r="N91" s="554">
        <f t="shared" si="7"/>
        <v>-40884.833333333336</v>
      </c>
      <c r="O91" s="554">
        <f t="shared" si="8"/>
        <v>10198885.333333313</v>
      </c>
    </row>
    <row r="92" spans="10:17" x14ac:dyDescent="0.25">
      <c r="J92" s="557">
        <v>44227</v>
      </c>
      <c r="L92" s="554">
        <f t="shared" si="6"/>
        <v>0</v>
      </c>
      <c r="M92" s="558">
        <f t="shared" si="9"/>
        <v>22320</v>
      </c>
      <c r="N92" s="554">
        <f t="shared" si="7"/>
        <v>-40884.833333333336</v>
      </c>
      <c r="O92" s="554">
        <f t="shared" si="8"/>
        <v>10158000.49999998</v>
      </c>
    </row>
    <row r="93" spans="10:17" x14ac:dyDescent="0.25">
      <c r="J93" s="557">
        <v>44255</v>
      </c>
      <c r="L93" s="554">
        <f t="shared" si="6"/>
        <v>0</v>
      </c>
      <c r="M93" s="558">
        <f t="shared" si="9"/>
        <v>22320</v>
      </c>
      <c r="N93" s="554">
        <f t="shared" si="7"/>
        <v>-40884.833333333336</v>
      </c>
      <c r="O93" s="554">
        <f t="shared" si="8"/>
        <v>10117115.666666646</v>
      </c>
    </row>
    <row r="94" spans="10:17" x14ac:dyDescent="0.25">
      <c r="J94" s="557">
        <v>44286</v>
      </c>
      <c r="L94" s="554">
        <f t="shared" si="6"/>
        <v>0</v>
      </c>
      <c r="M94" s="558">
        <f t="shared" si="9"/>
        <v>22320</v>
      </c>
      <c r="N94" s="554">
        <f t="shared" si="7"/>
        <v>-40884.833333333336</v>
      </c>
      <c r="O94" s="554">
        <f t="shared" si="8"/>
        <v>10076230.833333312</v>
      </c>
      <c r="Q94" s="574"/>
    </row>
    <row r="95" spans="10:17" x14ac:dyDescent="0.25">
      <c r="J95" s="557">
        <v>44316</v>
      </c>
      <c r="L95" s="554">
        <f t="shared" si="6"/>
        <v>0</v>
      </c>
      <c r="M95" s="558">
        <f t="shared" si="9"/>
        <v>22320</v>
      </c>
      <c r="N95" s="554">
        <f t="shared" si="7"/>
        <v>-40884.833333333336</v>
      </c>
      <c r="O95" s="554">
        <f t="shared" si="8"/>
        <v>10035345.999999978</v>
      </c>
    </row>
    <row r="96" spans="10:17" x14ac:dyDescent="0.25">
      <c r="J96" s="557">
        <v>44347</v>
      </c>
      <c r="L96" s="554">
        <f t="shared" si="6"/>
        <v>0</v>
      </c>
      <c r="M96" s="558">
        <f t="shared" si="9"/>
        <v>22320</v>
      </c>
      <c r="N96" s="554">
        <f t="shared" si="7"/>
        <v>-40884.833333333336</v>
      </c>
      <c r="O96" s="554">
        <f t="shared" si="8"/>
        <v>9994461.1666666437</v>
      </c>
    </row>
    <row r="97" spans="10:15" x14ac:dyDescent="0.25">
      <c r="J97" s="557">
        <v>44377</v>
      </c>
      <c r="L97" s="554">
        <f t="shared" si="6"/>
        <v>0</v>
      </c>
      <c r="M97" s="558">
        <f t="shared" si="9"/>
        <v>22320</v>
      </c>
      <c r="N97" s="554">
        <f t="shared" si="7"/>
        <v>-40884.833333333336</v>
      </c>
      <c r="O97" s="554">
        <f t="shared" si="8"/>
        <v>9953576.3333333097</v>
      </c>
    </row>
    <row r="98" spans="10:15" x14ac:dyDescent="0.25">
      <c r="J98" s="557">
        <v>44408</v>
      </c>
      <c r="L98" s="554">
        <f t="shared" si="6"/>
        <v>0</v>
      </c>
      <c r="M98" s="558">
        <f t="shared" si="9"/>
        <v>22320</v>
      </c>
      <c r="N98" s="554">
        <f t="shared" si="7"/>
        <v>-40884.833333333336</v>
      </c>
      <c r="O98" s="554">
        <f t="shared" si="8"/>
        <v>9912691.4999999758</v>
      </c>
    </row>
    <row r="99" spans="10:15" x14ac:dyDescent="0.25">
      <c r="J99" s="557">
        <v>44439</v>
      </c>
      <c r="L99" s="554">
        <f t="shared" si="6"/>
        <v>0</v>
      </c>
      <c r="M99" s="558">
        <f t="shared" si="9"/>
        <v>22320</v>
      </c>
      <c r="N99" s="554">
        <f t="shared" si="7"/>
        <v>-40884.833333333336</v>
      </c>
      <c r="O99" s="554">
        <f t="shared" si="8"/>
        <v>9871806.6666666418</v>
      </c>
    </row>
    <row r="100" spans="10:15" x14ac:dyDescent="0.25">
      <c r="J100" s="557">
        <v>44469</v>
      </c>
      <c r="L100" s="554">
        <f t="shared" si="6"/>
        <v>0</v>
      </c>
      <c r="M100" s="558">
        <f t="shared" si="9"/>
        <v>22320</v>
      </c>
      <c r="N100" s="554">
        <f t="shared" si="7"/>
        <v>-40884.833333333336</v>
      </c>
      <c r="O100" s="554">
        <f t="shared" si="8"/>
        <v>9830921.8333333079</v>
      </c>
    </row>
    <row r="101" spans="10:15" x14ac:dyDescent="0.25">
      <c r="J101" s="557">
        <v>44500</v>
      </c>
      <c r="L101" s="554">
        <f t="shared" si="6"/>
        <v>0</v>
      </c>
      <c r="M101" s="558">
        <f t="shared" si="9"/>
        <v>22320</v>
      </c>
      <c r="N101" s="554">
        <f t="shared" si="7"/>
        <v>-40884.833333333336</v>
      </c>
      <c r="O101" s="554">
        <f t="shared" si="8"/>
        <v>9790036.9999999739</v>
      </c>
    </row>
    <row r="102" spans="10:15" x14ac:dyDescent="0.25">
      <c r="J102" s="557">
        <v>44530</v>
      </c>
      <c r="L102" s="554">
        <f t="shared" si="6"/>
        <v>0</v>
      </c>
      <c r="M102" s="558">
        <f t="shared" si="9"/>
        <v>22320</v>
      </c>
      <c r="N102" s="554">
        <f t="shared" si="7"/>
        <v>-40884.833333333336</v>
      </c>
      <c r="O102" s="554">
        <f t="shared" si="8"/>
        <v>9749152.16666664</v>
      </c>
    </row>
    <row r="103" spans="10:15" x14ac:dyDescent="0.25">
      <c r="J103" s="557">
        <v>44561</v>
      </c>
      <c r="L103" s="554">
        <f t="shared" si="6"/>
        <v>0</v>
      </c>
      <c r="M103" s="558">
        <f t="shared" si="9"/>
        <v>22320</v>
      </c>
      <c r="N103" s="554">
        <f t="shared" si="7"/>
        <v>-40884.833333333336</v>
      </c>
      <c r="O103" s="554">
        <f t="shared" si="8"/>
        <v>9708267.333333306</v>
      </c>
    </row>
    <row r="104" spans="10:15" x14ac:dyDescent="0.25">
      <c r="J104" s="557">
        <v>44592</v>
      </c>
      <c r="L104" s="554">
        <f t="shared" si="6"/>
        <v>0</v>
      </c>
      <c r="M104" s="558">
        <f t="shared" si="9"/>
        <v>22320</v>
      </c>
      <c r="N104" s="554">
        <f t="shared" si="7"/>
        <v>-40884.833333333336</v>
      </c>
      <c r="O104" s="554">
        <f t="shared" si="8"/>
        <v>9667382.4999999721</v>
      </c>
    </row>
    <row r="105" spans="10:15" x14ac:dyDescent="0.25">
      <c r="J105" s="557">
        <v>44620</v>
      </c>
      <c r="L105" s="554">
        <f t="shared" si="6"/>
        <v>0</v>
      </c>
      <c r="M105" s="558">
        <f t="shared" si="9"/>
        <v>22320</v>
      </c>
      <c r="N105" s="554">
        <f t="shared" si="7"/>
        <v>-40884.833333333336</v>
      </c>
      <c r="O105" s="554">
        <f t="shared" si="8"/>
        <v>9626497.6666666381</v>
      </c>
    </row>
    <row r="106" spans="10:15" x14ac:dyDescent="0.25">
      <c r="J106" s="557">
        <v>44651</v>
      </c>
      <c r="L106" s="554">
        <f t="shared" si="6"/>
        <v>0</v>
      </c>
      <c r="M106" s="558">
        <f t="shared" si="9"/>
        <v>22320</v>
      </c>
      <c r="N106" s="554">
        <f t="shared" si="7"/>
        <v>-40884.833333333336</v>
      </c>
      <c r="O106" s="554">
        <f t="shared" si="8"/>
        <v>9585612.8333333042</v>
      </c>
    </row>
    <row r="107" spans="10:15" x14ac:dyDescent="0.25">
      <c r="J107" s="557">
        <v>44681</v>
      </c>
      <c r="L107" s="554">
        <f t="shared" si="6"/>
        <v>0</v>
      </c>
      <c r="M107" s="558">
        <f t="shared" si="9"/>
        <v>22320</v>
      </c>
      <c r="N107" s="554">
        <f t="shared" si="7"/>
        <v>-40884.833333333336</v>
      </c>
      <c r="O107" s="554">
        <f t="shared" si="8"/>
        <v>9544727.9999999702</v>
      </c>
    </row>
    <row r="108" spans="10:15" x14ac:dyDescent="0.25">
      <c r="J108" s="557">
        <v>44712</v>
      </c>
      <c r="L108" s="554">
        <f t="shared" si="6"/>
        <v>0</v>
      </c>
      <c r="M108" s="558">
        <f t="shared" si="9"/>
        <v>22320</v>
      </c>
      <c r="N108" s="554">
        <f t="shared" si="7"/>
        <v>-40884.833333333336</v>
      </c>
      <c r="O108" s="554">
        <f t="shared" si="8"/>
        <v>9503843.1666666362</v>
      </c>
    </row>
    <row r="109" spans="10:15" x14ac:dyDescent="0.25">
      <c r="J109" s="557">
        <v>44742</v>
      </c>
      <c r="L109" s="554">
        <f t="shared" si="6"/>
        <v>0</v>
      </c>
      <c r="M109" s="558">
        <f t="shared" si="9"/>
        <v>22320</v>
      </c>
      <c r="N109" s="554">
        <f t="shared" si="7"/>
        <v>-40884.833333333336</v>
      </c>
      <c r="O109" s="554">
        <f t="shared" si="8"/>
        <v>9462958.3333333023</v>
      </c>
    </row>
    <row r="110" spans="10:15" x14ac:dyDescent="0.25">
      <c r="J110" s="557">
        <v>44773</v>
      </c>
      <c r="L110" s="554">
        <f t="shared" si="6"/>
        <v>0</v>
      </c>
      <c r="M110" s="558">
        <f t="shared" si="9"/>
        <v>22320</v>
      </c>
      <c r="N110" s="554">
        <f t="shared" si="7"/>
        <v>-40884.833333333336</v>
      </c>
      <c r="O110" s="554">
        <f t="shared" si="8"/>
        <v>9422073.4999999683</v>
      </c>
    </row>
    <row r="111" spans="10:15" x14ac:dyDescent="0.25">
      <c r="J111" s="557">
        <v>44804</v>
      </c>
      <c r="L111" s="554">
        <f t="shared" si="6"/>
        <v>0</v>
      </c>
      <c r="M111" s="558">
        <f t="shared" si="9"/>
        <v>22320</v>
      </c>
      <c r="N111" s="554">
        <f t="shared" si="7"/>
        <v>-40884.833333333336</v>
      </c>
      <c r="O111" s="554">
        <f t="shared" si="8"/>
        <v>9381188.6666666344</v>
      </c>
    </row>
    <row r="112" spans="10:15" x14ac:dyDescent="0.25">
      <c r="J112" s="557">
        <v>44834</v>
      </c>
      <c r="L112" s="554">
        <f t="shared" si="6"/>
        <v>0</v>
      </c>
      <c r="M112" s="558">
        <f t="shared" si="9"/>
        <v>22320</v>
      </c>
      <c r="N112" s="554">
        <f t="shared" si="7"/>
        <v>-40884.833333333336</v>
      </c>
      <c r="O112" s="554">
        <f t="shared" si="8"/>
        <v>9340303.8333333004</v>
      </c>
    </row>
    <row r="113" spans="10:15" x14ac:dyDescent="0.25">
      <c r="J113" s="557">
        <v>44865</v>
      </c>
      <c r="L113" s="554">
        <f t="shared" si="6"/>
        <v>0</v>
      </c>
      <c r="M113" s="558">
        <f t="shared" si="9"/>
        <v>22320</v>
      </c>
      <c r="N113" s="554">
        <f t="shared" si="7"/>
        <v>-40884.833333333336</v>
      </c>
      <c r="O113" s="554">
        <f t="shared" si="8"/>
        <v>9299418.9999999665</v>
      </c>
    </row>
    <row r="114" spans="10:15" x14ac:dyDescent="0.25">
      <c r="J114" s="557">
        <v>44895</v>
      </c>
      <c r="L114" s="554">
        <f t="shared" si="6"/>
        <v>0</v>
      </c>
      <c r="M114" s="558">
        <f t="shared" si="9"/>
        <v>22320</v>
      </c>
      <c r="N114" s="554">
        <f t="shared" si="7"/>
        <v>-40884.833333333336</v>
      </c>
      <c r="O114" s="554">
        <f t="shared" si="8"/>
        <v>9258534.1666666325</v>
      </c>
    </row>
    <row r="115" spans="10:15" x14ac:dyDescent="0.25">
      <c r="J115" s="557">
        <v>44926</v>
      </c>
      <c r="L115" s="554">
        <f t="shared" si="6"/>
        <v>0</v>
      </c>
      <c r="M115" s="558">
        <f t="shared" si="9"/>
        <v>22320</v>
      </c>
      <c r="N115" s="554">
        <f t="shared" si="7"/>
        <v>-40884.833333333336</v>
      </c>
      <c r="O115" s="554">
        <f t="shared" si="8"/>
        <v>9217649.3333332986</v>
      </c>
    </row>
    <row r="116" spans="10:15" x14ac:dyDescent="0.25">
      <c r="J116" s="557">
        <v>44957</v>
      </c>
      <c r="L116" s="554">
        <f t="shared" si="6"/>
        <v>0</v>
      </c>
      <c r="M116" s="558">
        <f t="shared" si="9"/>
        <v>22320</v>
      </c>
      <c r="N116" s="554">
        <f t="shared" si="7"/>
        <v>-40884.833333333336</v>
      </c>
      <c r="O116" s="554">
        <f t="shared" si="8"/>
        <v>9176764.4999999646</v>
      </c>
    </row>
    <row r="117" spans="10:15" x14ac:dyDescent="0.25">
      <c r="J117" s="557">
        <v>44985</v>
      </c>
      <c r="L117" s="554">
        <f t="shared" si="6"/>
        <v>0</v>
      </c>
      <c r="M117" s="558">
        <f t="shared" si="9"/>
        <v>22320</v>
      </c>
      <c r="N117" s="554">
        <f t="shared" si="7"/>
        <v>-40884.833333333336</v>
      </c>
      <c r="O117" s="554">
        <f t="shared" si="8"/>
        <v>9135879.6666666307</v>
      </c>
    </row>
    <row r="118" spans="10:15" x14ac:dyDescent="0.25">
      <c r="J118" s="557">
        <v>45016</v>
      </c>
      <c r="L118" s="554">
        <f t="shared" ref="L118:L181" si="10">L117-K118</f>
        <v>0</v>
      </c>
      <c r="M118" s="558">
        <f t="shared" si="9"/>
        <v>22320</v>
      </c>
      <c r="N118" s="554">
        <f t="shared" si="7"/>
        <v>-40884.833333333336</v>
      </c>
      <c r="O118" s="554">
        <f t="shared" si="8"/>
        <v>9094994.8333332967</v>
      </c>
    </row>
    <row r="119" spans="10:15" x14ac:dyDescent="0.25">
      <c r="J119" s="557">
        <v>45046</v>
      </c>
      <c r="L119" s="554">
        <f t="shared" si="10"/>
        <v>0</v>
      </c>
      <c r="M119" s="558">
        <f t="shared" si="9"/>
        <v>22320</v>
      </c>
      <c r="N119" s="554">
        <f t="shared" si="7"/>
        <v>-40884.833333333336</v>
      </c>
      <c r="O119" s="554">
        <f t="shared" si="8"/>
        <v>9054109.9999999627</v>
      </c>
    </row>
    <row r="120" spans="10:15" x14ac:dyDescent="0.25">
      <c r="J120" s="557">
        <v>45077</v>
      </c>
      <c r="L120" s="554">
        <f t="shared" si="10"/>
        <v>0</v>
      </c>
      <c r="M120" s="558">
        <f t="shared" si="9"/>
        <v>22320</v>
      </c>
      <c r="N120" s="554">
        <f t="shared" si="7"/>
        <v>-40884.833333333336</v>
      </c>
      <c r="O120" s="554">
        <f t="shared" si="8"/>
        <v>9013225.1666666288</v>
      </c>
    </row>
    <row r="121" spans="10:15" x14ac:dyDescent="0.25">
      <c r="J121" s="557">
        <v>45107</v>
      </c>
      <c r="L121" s="554">
        <f t="shared" si="10"/>
        <v>0</v>
      </c>
      <c r="M121" s="558">
        <f t="shared" si="9"/>
        <v>22320</v>
      </c>
      <c r="N121" s="554">
        <f t="shared" si="7"/>
        <v>-40884.833333333336</v>
      </c>
      <c r="O121" s="554">
        <f t="shared" si="8"/>
        <v>8972340.3333332948</v>
      </c>
    </row>
    <row r="122" spans="10:15" x14ac:dyDescent="0.25">
      <c r="J122" s="557">
        <v>45138</v>
      </c>
      <c r="L122" s="554">
        <f t="shared" si="10"/>
        <v>0</v>
      </c>
      <c r="M122" s="558">
        <f t="shared" si="9"/>
        <v>22320</v>
      </c>
      <c r="N122" s="554">
        <f t="shared" si="7"/>
        <v>-40884.833333333336</v>
      </c>
      <c r="O122" s="554">
        <f t="shared" si="8"/>
        <v>8931455.4999999609</v>
      </c>
    </row>
    <row r="123" spans="10:15" x14ac:dyDescent="0.25">
      <c r="J123" s="557">
        <v>45169</v>
      </c>
      <c r="L123" s="554">
        <f t="shared" si="10"/>
        <v>0</v>
      </c>
      <c r="M123" s="558">
        <f t="shared" si="9"/>
        <v>22320</v>
      </c>
      <c r="N123" s="554">
        <f t="shared" si="7"/>
        <v>-40884.833333333336</v>
      </c>
      <c r="O123" s="554">
        <f t="shared" si="8"/>
        <v>8890570.6666666269</v>
      </c>
    </row>
    <row r="124" spans="10:15" x14ac:dyDescent="0.25">
      <c r="J124" s="557">
        <v>45199</v>
      </c>
      <c r="L124" s="554">
        <f t="shared" si="10"/>
        <v>0</v>
      </c>
      <c r="M124" s="558">
        <f t="shared" si="9"/>
        <v>22320</v>
      </c>
      <c r="N124" s="554">
        <f t="shared" ref="N124:N187" si="11">-$F$39/12</f>
        <v>-40884.833333333336</v>
      </c>
      <c r="O124" s="554">
        <f t="shared" si="8"/>
        <v>8849685.833333293</v>
      </c>
    </row>
    <row r="125" spans="10:15" x14ac:dyDescent="0.25">
      <c r="J125" s="557">
        <v>45230</v>
      </c>
      <c r="L125" s="554">
        <f t="shared" si="10"/>
        <v>0</v>
      </c>
      <c r="M125" s="558">
        <f t="shared" si="9"/>
        <v>22320</v>
      </c>
      <c r="N125" s="554">
        <f t="shared" si="11"/>
        <v>-40884.833333333336</v>
      </c>
      <c r="O125" s="554">
        <f t="shared" si="8"/>
        <v>8808800.999999959</v>
      </c>
    </row>
    <row r="126" spans="10:15" x14ac:dyDescent="0.25">
      <c r="J126" s="557">
        <v>45260</v>
      </c>
      <c r="L126" s="554">
        <f t="shared" si="10"/>
        <v>0</v>
      </c>
      <c r="M126" s="558">
        <f t="shared" si="9"/>
        <v>22320</v>
      </c>
      <c r="N126" s="554">
        <f t="shared" si="11"/>
        <v>-40884.833333333336</v>
      </c>
      <c r="O126" s="554">
        <f t="shared" si="8"/>
        <v>8767916.1666666251</v>
      </c>
    </row>
    <row r="127" spans="10:15" x14ac:dyDescent="0.25">
      <c r="J127" s="557">
        <v>45291</v>
      </c>
      <c r="L127" s="554">
        <f t="shared" si="10"/>
        <v>0</v>
      </c>
      <c r="M127" s="558">
        <f t="shared" si="9"/>
        <v>22320</v>
      </c>
      <c r="N127" s="554">
        <f t="shared" si="11"/>
        <v>-40884.833333333336</v>
      </c>
      <c r="O127" s="554">
        <f t="shared" si="8"/>
        <v>8727031.3333332911</v>
      </c>
    </row>
    <row r="128" spans="10:15" x14ac:dyDescent="0.25">
      <c r="J128" s="557">
        <v>45322</v>
      </c>
      <c r="L128" s="554">
        <f t="shared" si="10"/>
        <v>0</v>
      </c>
      <c r="M128" s="558">
        <f t="shared" si="9"/>
        <v>22320</v>
      </c>
      <c r="N128" s="554">
        <f t="shared" si="11"/>
        <v>-40884.833333333336</v>
      </c>
      <c r="O128" s="554">
        <f t="shared" si="8"/>
        <v>8686146.4999999572</v>
      </c>
    </row>
    <row r="129" spans="10:15" x14ac:dyDescent="0.25">
      <c r="J129" s="557">
        <v>45351</v>
      </c>
      <c r="L129" s="554">
        <f t="shared" si="10"/>
        <v>0</v>
      </c>
      <c r="M129" s="558">
        <f t="shared" si="9"/>
        <v>22320</v>
      </c>
      <c r="N129" s="554">
        <f t="shared" si="11"/>
        <v>-40884.833333333336</v>
      </c>
      <c r="O129" s="554">
        <f t="shared" si="8"/>
        <v>8645261.6666666232</v>
      </c>
    </row>
    <row r="130" spans="10:15" x14ac:dyDescent="0.25">
      <c r="J130" s="557">
        <v>45382</v>
      </c>
      <c r="L130" s="554">
        <f t="shared" si="10"/>
        <v>0</v>
      </c>
      <c r="M130" s="558">
        <f t="shared" si="9"/>
        <v>22320</v>
      </c>
      <c r="N130" s="554">
        <f t="shared" si="11"/>
        <v>-40884.833333333336</v>
      </c>
      <c r="O130" s="554">
        <f t="shared" si="8"/>
        <v>8604376.8333332893</v>
      </c>
    </row>
    <row r="131" spans="10:15" x14ac:dyDescent="0.25">
      <c r="J131" s="557">
        <v>45412</v>
      </c>
      <c r="L131" s="554">
        <f t="shared" si="10"/>
        <v>0</v>
      </c>
      <c r="M131" s="558">
        <f t="shared" si="9"/>
        <v>22320</v>
      </c>
      <c r="N131" s="554">
        <f t="shared" si="11"/>
        <v>-40884.833333333336</v>
      </c>
      <c r="O131" s="554">
        <f t="shared" si="8"/>
        <v>8563491.9999999553</v>
      </c>
    </row>
    <row r="132" spans="10:15" x14ac:dyDescent="0.25">
      <c r="J132" s="557">
        <v>45443</v>
      </c>
      <c r="L132" s="554">
        <f t="shared" si="10"/>
        <v>0</v>
      </c>
      <c r="M132" s="558">
        <f t="shared" si="9"/>
        <v>22320</v>
      </c>
      <c r="N132" s="554">
        <f t="shared" si="11"/>
        <v>-40884.833333333336</v>
      </c>
      <c r="O132" s="554">
        <f t="shared" si="8"/>
        <v>8522607.1666666213</v>
      </c>
    </row>
    <row r="133" spans="10:15" x14ac:dyDescent="0.25">
      <c r="J133" s="557">
        <v>45473</v>
      </c>
      <c r="L133" s="554">
        <f t="shared" si="10"/>
        <v>0</v>
      </c>
      <c r="M133" s="558">
        <f t="shared" si="9"/>
        <v>22320</v>
      </c>
      <c r="N133" s="554">
        <f t="shared" si="11"/>
        <v>-40884.833333333336</v>
      </c>
      <c r="O133" s="554">
        <f t="shared" si="8"/>
        <v>8481722.3333332874</v>
      </c>
    </row>
    <row r="134" spans="10:15" x14ac:dyDescent="0.25">
      <c r="J134" s="557">
        <v>45504</v>
      </c>
      <c r="L134" s="554">
        <f t="shared" si="10"/>
        <v>0</v>
      </c>
      <c r="M134" s="558">
        <f t="shared" si="9"/>
        <v>22320</v>
      </c>
      <c r="N134" s="554">
        <f t="shared" si="11"/>
        <v>-40884.833333333336</v>
      </c>
      <c r="O134" s="554">
        <f t="shared" si="8"/>
        <v>8440837.4999999534</v>
      </c>
    </row>
    <row r="135" spans="10:15" x14ac:dyDescent="0.25">
      <c r="J135" s="557">
        <v>45535</v>
      </c>
      <c r="L135" s="554">
        <f t="shared" si="10"/>
        <v>0</v>
      </c>
      <c r="M135" s="558">
        <f t="shared" si="9"/>
        <v>22320</v>
      </c>
      <c r="N135" s="554">
        <f t="shared" si="11"/>
        <v>-40884.833333333336</v>
      </c>
      <c r="O135" s="554">
        <f t="shared" si="8"/>
        <v>8399952.6666666195</v>
      </c>
    </row>
    <row r="136" spans="10:15" x14ac:dyDescent="0.25">
      <c r="J136" s="557">
        <v>45565</v>
      </c>
      <c r="L136" s="554">
        <f t="shared" si="10"/>
        <v>0</v>
      </c>
      <c r="M136" s="558">
        <f t="shared" si="9"/>
        <v>22320</v>
      </c>
      <c r="N136" s="554">
        <f t="shared" si="11"/>
        <v>-40884.833333333336</v>
      </c>
      <c r="O136" s="554">
        <f t="shared" si="8"/>
        <v>8359067.8333332865</v>
      </c>
    </row>
    <row r="137" spans="10:15" x14ac:dyDescent="0.25">
      <c r="J137" s="557">
        <v>45596</v>
      </c>
      <c r="L137" s="554">
        <f t="shared" si="10"/>
        <v>0</v>
      </c>
      <c r="M137" s="558">
        <f t="shared" si="9"/>
        <v>22320</v>
      </c>
      <c r="N137" s="554">
        <f t="shared" si="11"/>
        <v>-40884.833333333336</v>
      </c>
      <c r="O137" s="554">
        <f t="shared" si="8"/>
        <v>8318182.9999999534</v>
      </c>
    </row>
    <row r="138" spans="10:15" x14ac:dyDescent="0.25">
      <c r="J138" s="557">
        <v>45626</v>
      </c>
      <c r="L138" s="554">
        <f t="shared" si="10"/>
        <v>0</v>
      </c>
      <c r="M138" s="558">
        <f t="shared" si="9"/>
        <v>22320</v>
      </c>
      <c r="N138" s="554">
        <f t="shared" si="11"/>
        <v>-40884.833333333336</v>
      </c>
      <c r="O138" s="554">
        <f t="shared" si="8"/>
        <v>8277298.1666666204</v>
      </c>
    </row>
    <row r="139" spans="10:15" x14ac:dyDescent="0.25">
      <c r="J139" s="557">
        <v>45657</v>
      </c>
      <c r="L139" s="554">
        <f t="shared" si="10"/>
        <v>0</v>
      </c>
      <c r="M139" s="558">
        <f t="shared" si="9"/>
        <v>22320</v>
      </c>
      <c r="N139" s="554">
        <f t="shared" si="11"/>
        <v>-40884.833333333336</v>
      </c>
      <c r="O139" s="554">
        <f t="shared" si="8"/>
        <v>8236413.3333332874</v>
      </c>
    </row>
    <row r="140" spans="10:15" x14ac:dyDescent="0.25">
      <c r="J140" s="557">
        <v>45688</v>
      </c>
      <c r="L140" s="554">
        <f t="shared" si="10"/>
        <v>0</v>
      </c>
      <c r="M140" s="558">
        <f t="shared" si="9"/>
        <v>22320</v>
      </c>
      <c r="N140" s="554">
        <f t="shared" si="11"/>
        <v>-40884.833333333336</v>
      </c>
      <c r="O140" s="554">
        <f t="shared" si="8"/>
        <v>8195528.4999999544</v>
      </c>
    </row>
    <row r="141" spans="10:15" x14ac:dyDescent="0.25">
      <c r="J141" s="557">
        <v>45716</v>
      </c>
      <c r="L141" s="554">
        <f t="shared" si="10"/>
        <v>0</v>
      </c>
      <c r="M141" s="558">
        <f t="shared" si="9"/>
        <v>22320</v>
      </c>
      <c r="N141" s="554">
        <f t="shared" si="11"/>
        <v>-40884.833333333336</v>
      </c>
      <c r="O141" s="554">
        <f t="shared" si="8"/>
        <v>8154643.6666666213</v>
      </c>
    </row>
    <row r="142" spans="10:15" x14ac:dyDescent="0.25">
      <c r="J142" s="557">
        <v>45747</v>
      </c>
      <c r="L142" s="554">
        <f t="shared" si="10"/>
        <v>0</v>
      </c>
      <c r="M142" s="558">
        <f t="shared" si="9"/>
        <v>22320</v>
      </c>
      <c r="N142" s="554">
        <f t="shared" si="11"/>
        <v>-40884.833333333336</v>
      </c>
      <c r="O142" s="554">
        <f t="shared" si="8"/>
        <v>8113758.8333332883</v>
      </c>
    </row>
    <row r="143" spans="10:15" x14ac:dyDescent="0.25">
      <c r="J143" s="557">
        <v>45777</v>
      </c>
      <c r="L143" s="554">
        <f t="shared" si="10"/>
        <v>0</v>
      </c>
      <c r="M143" s="558">
        <f t="shared" si="9"/>
        <v>22320</v>
      </c>
      <c r="N143" s="554">
        <f t="shared" si="11"/>
        <v>-40884.833333333336</v>
      </c>
      <c r="O143" s="554">
        <f t="shared" si="8"/>
        <v>8072873.9999999553</v>
      </c>
    </row>
    <row r="144" spans="10:15" x14ac:dyDescent="0.25">
      <c r="J144" s="557">
        <v>45808</v>
      </c>
      <c r="L144" s="554">
        <f t="shared" si="10"/>
        <v>0</v>
      </c>
      <c r="M144" s="558">
        <f t="shared" si="9"/>
        <v>22320</v>
      </c>
      <c r="N144" s="554">
        <f t="shared" si="11"/>
        <v>-40884.833333333336</v>
      </c>
      <c r="O144" s="554">
        <f t="shared" si="8"/>
        <v>8031989.1666666223</v>
      </c>
    </row>
    <row r="145" spans="10:15" x14ac:dyDescent="0.25">
      <c r="J145" s="557">
        <v>45838</v>
      </c>
      <c r="L145" s="554">
        <f t="shared" si="10"/>
        <v>0</v>
      </c>
      <c r="M145" s="558">
        <f t="shared" si="9"/>
        <v>22320</v>
      </c>
      <c r="N145" s="554">
        <f t="shared" si="11"/>
        <v>-40884.833333333336</v>
      </c>
      <c r="O145" s="554">
        <f t="shared" si="8"/>
        <v>7991104.3333332893</v>
      </c>
    </row>
    <row r="146" spans="10:15" x14ac:dyDescent="0.25">
      <c r="J146" s="557">
        <v>45869</v>
      </c>
      <c r="L146" s="554">
        <f t="shared" si="10"/>
        <v>0</v>
      </c>
      <c r="M146" s="558">
        <f t="shared" si="9"/>
        <v>22320</v>
      </c>
      <c r="N146" s="554">
        <f t="shared" si="11"/>
        <v>-40884.833333333336</v>
      </c>
      <c r="O146" s="554">
        <f t="shared" si="8"/>
        <v>7950219.4999999562</v>
      </c>
    </row>
    <row r="147" spans="10:15" x14ac:dyDescent="0.25">
      <c r="J147" s="557">
        <v>45900</v>
      </c>
      <c r="L147" s="554">
        <f t="shared" si="10"/>
        <v>0</v>
      </c>
      <c r="M147" s="558">
        <f t="shared" si="9"/>
        <v>22320</v>
      </c>
      <c r="N147" s="554">
        <f t="shared" si="11"/>
        <v>-40884.833333333336</v>
      </c>
      <c r="O147" s="554">
        <f t="shared" ref="O147:O210" si="12">O146+N147</f>
        <v>7909334.6666666232</v>
      </c>
    </row>
    <row r="148" spans="10:15" x14ac:dyDescent="0.25">
      <c r="J148" s="557">
        <v>45930</v>
      </c>
      <c r="L148" s="554">
        <f t="shared" si="10"/>
        <v>0</v>
      </c>
      <c r="M148" s="558">
        <f t="shared" ref="M148:M211" si="13">$F$28</f>
        <v>22320</v>
      </c>
      <c r="N148" s="554">
        <f t="shared" si="11"/>
        <v>-40884.833333333336</v>
      </c>
      <c r="O148" s="554">
        <f t="shared" si="12"/>
        <v>7868449.8333332902</v>
      </c>
    </row>
    <row r="149" spans="10:15" x14ac:dyDescent="0.25">
      <c r="J149" s="557">
        <v>45961</v>
      </c>
      <c r="L149" s="554">
        <f t="shared" si="10"/>
        <v>0</v>
      </c>
      <c r="M149" s="558">
        <f t="shared" si="13"/>
        <v>22320</v>
      </c>
      <c r="N149" s="554">
        <f t="shared" si="11"/>
        <v>-40884.833333333336</v>
      </c>
      <c r="O149" s="554">
        <f t="shared" si="12"/>
        <v>7827564.9999999572</v>
      </c>
    </row>
    <row r="150" spans="10:15" x14ac:dyDescent="0.25">
      <c r="J150" s="557">
        <v>45991</v>
      </c>
      <c r="L150" s="554">
        <f t="shared" si="10"/>
        <v>0</v>
      </c>
      <c r="M150" s="558">
        <f t="shared" si="13"/>
        <v>22320</v>
      </c>
      <c r="N150" s="554">
        <f t="shared" si="11"/>
        <v>-40884.833333333336</v>
      </c>
      <c r="O150" s="554">
        <f t="shared" si="12"/>
        <v>7786680.1666666241</v>
      </c>
    </row>
    <row r="151" spans="10:15" x14ac:dyDescent="0.25">
      <c r="J151" s="557">
        <v>46022</v>
      </c>
      <c r="L151" s="554">
        <f t="shared" si="10"/>
        <v>0</v>
      </c>
      <c r="M151" s="558">
        <f t="shared" si="13"/>
        <v>22320</v>
      </c>
      <c r="N151" s="554">
        <f t="shared" si="11"/>
        <v>-40884.833333333336</v>
      </c>
      <c r="O151" s="554">
        <f t="shared" si="12"/>
        <v>7745795.3333332911</v>
      </c>
    </row>
    <row r="152" spans="10:15" x14ac:dyDescent="0.25">
      <c r="J152" s="557">
        <v>46053</v>
      </c>
      <c r="L152" s="554">
        <f t="shared" si="10"/>
        <v>0</v>
      </c>
      <c r="M152" s="558">
        <f t="shared" si="13"/>
        <v>22320</v>
      </c>
      <c r="N152" s="554">
        <f t="shared" si="11"/>
        <v>-40884.833333333336</v>
      </c>
      <c r="O152" s="554">
        <f t="shared" si="12"/>
        <v>7704910.4999999581</v>
      </c>
    </row>
    <row r="153" spans="10:15" x14ac:dyDescent="0.25">
      <c r="J153" s="557">
        <v>46081</v>
      </c>
      <c r="L153" s="554">
        <f t="shared" si="10"/>
        <v>0</v>
      </c>
      <c r="M153" s="558">
        <f t="shared" si="13"/>
        <v>22320</v>
      </c>
      <c r="N153" s="554">
        <f t="shared" si="11"/>
        <v>-40884.833333333336</v>
      </c>
      <c r="O153" s="554">
        <f t="shared" si="12"/>
        <v>7664025.6666666251</v>
      </c>
    </row>
    <row r="154" spans="10:15" x14ac:dyDescent="0.25">
      <c r="J154" s="557">
        <v>46112</v>
      </c>
      <c r="L154" s="554">
        <f t="shared" si="10"/>
        <v>0</v>
      </c>
      <c r="M154" s="558">
        <f t="shared" si="13"/>
        <v>22320</v>
      </c>
      <c r="N154" s="554">
        <f t="shared" si="11"/>
        <v>-40884.833333333336</v>
      </c>
      <c r="O154" s="554">
        <f t="shared" si="12"/>
        <v>7623140.833333292</v>
      </c>
    </row>
    <row r="155" spans="10:15" x14ac:dyDescent="0.25">
      <c r="J155" s="557">
        <v>46142</v>
      </c>
      <c r="L155" s="554">
        <f t="shared" si="10"/>
        <v>0</v>
      </c>
      <c r="M155" s="558">
        <f t="shared" si="13"/>
        <v>22320</v>
      </c>
      <c r="N155" s="554">
        <f t="shared" si="11"/>
        <v>-40884.833333333336</v>
      </c>
      <c r="O155" s="554">
        <f t="shared" si="12"/>
        <v>7582255.999999959</v>
      </c>
    </row>
    <row r="156" spans="10:15" x14ac:dyDescent="0.25">
      <c r="J156" s="557">
        <v>46173</v>
      </c>
      <c r="L156" s="554">
        <f t="shared" si="10"/>
        <v>0</v>
      </c>
      <c r="M156" s="558">
        <f t="shared" si="13"/>
        <v>22320</v>
      </c>
      <c r="N156" s="554">
        <f t="shared" si="11"/>
        <v>-40884.833333333336</v>
      </c>
      <c r="O156" s="554">
        <f t="shared" si="12"/>
        <v>7541371.166666626</v>
      </c>
    </row>
    <row r="157" spans="10:15" x14ac:dyDescent="0.25">
      <c r="J157" s="557">
        <v>46203</v>
      </c>
      <c r="L157" s="554">
        <f t="shared" si="10"/>
        <v>0</v>
      </c>
      <c r="M157" s="558">
        <f t="shared" si="13"/>
        <v>22320</v>
      </c>
      <c r="N157" s="554">
        <f t="shared" si="11"/>
        <v>-40884.833333333336</v>
      </c>
      <c r="O157" s="554">
        <f t="shared" si="12"/>
        <v>7500486.333333293</v>
      </c>
    </row>
    <row r="158" spans="10:15" x14ac:dyDescent="0.25">
      <c r="J158" s="557">
        <v>46234</v>
      </c>
      <c r="L158" s="554">
        <f t="shared" si="10"/>
        <v>0</v>
      </c>
      <c r="M158" s="558">
        <f t="shared" si="13"/>
        <v>22320</v>
      </c>
      <c r="N158" s="554">
        <f t="shared" si="11"/>
        <v>-40884.833333333336</v>
      </c>
      <c r="O158" s="554">
        <f t="shared" si="12"/>
        <v>7459601.49999996</v>
      </c>
    </row>
    <row r="159" spans="10:15" x14ac:dyDescent="0.25">
      <c r="J159" s="557">
        <v>46265</v>
      </c>
      <c r="L159" s="554">
        <f t="shared" si="10"/>
        <v>0</v>
      </c>
      <c r="M159" s="558">
        <f t="shared" si="13"/>
        <v>22320</v>
      </c>
      <c r="N159" s="554">
        <f t="shared" si="11"/>
        <v>-40884.833333333336</v>
      </c>
      <c r="O159" s="554">
        <f t="shared" si="12"/>
        <v>7418716.6666666269</v>
      </c>
    </row>
    <row r="160" spans="10:15" x14ac:dyDescent="0.25">
      <c r="J160" s="557">
        <v>46295</v>
      </c>
      <c r="L160" s="554">
        <f t="shared" si="10"/>
        <v>0</v>
      </c>
      <c r="M160" s="558">
        <f t="shared" si="13"/>
        <v>22320</v>
      </c>
      <c r="N160" s="554">
        <f t="shared" si="11"/>
        <v>-40884.833333333336</v>
      </c>
      <c r="O160" s="554">
        <f t="shared" si="12"/>
        <v>7377831.8333332939</v>
      </c>
    </row>
    <row r="161" spans="10:15" x14ac:dyDescent="0.25">
      <c r="J161" s="557">
        <v>46326</v>
      </c>
      <c r="L161" s="554">
        <f t="shared" si="10"/>
        <v>0</v>
      </c>
      <c r="M161" s="558">
        <f t="shared" si="13"/>
        <v>22320</v>
      </c>
      <c r="N161" s="554">
        <f t="shared" si="11"/>
        <v>-40884.833333333336</v>
      </c>
      <c r="O161" s="554">
        <f t="shared" si="12"/>
        <v>7336946.9999999609</v>
      </c>
    </row>
    <row r="162" spans="10:15" x14ac:dyDescent="0.25">
      <c r="J162" s="557">
        <v>46356</v>
      </c>
      <c r="L162" s="554">
        <f t="shared" si="10"/>
        <v>0</v>
      </c>
      <c r="M162" s="558">
        <f t="shared" si="13"/>
        <v>22320</v>
      </c>
      <c r="N162" s="554">
        <f t="shared" si="11"/>
        <v>-40884.833333333336</v>
      </c>
      <c r="O162" s="554">
        <f t="shared" si="12"/>
        <v>7296062.1666666279</v>
      </c>
    </row>
    <row r="163" spans="10:15" x14ac:dyDescent="0.25">
      <c r="J163" s="557">
        <v>46387</v>
      </c>
      <c r="L163" s="554">
        <f t="shared" si="10"/>
        <v>0</v>
      </c>
      <c r="M163" s="558">
        <f t="shared" si="13"/>
        <v>22320</v>
      </c>
      <c r="N163" s="554">
        <f t="shared" si="11"/>
        <v>-40884.833333333336</v>
      </c>
      <c r="O163" s="554">
        <f t="shared" si="12"/>
        <v>7255177.3333332948</v>
      </c>
    </row>
    <row r="164" spans="10:15" x14ac:dyDescent="0.25">
      <c r="J164" s="557">
        <v>46418</v>
      </c>
      <c r="L164" s="554">
        <f t="shared" si="10"/>
        <v>0</v>
      </c>
      <c r="M164" s="558">
        <f t="shared" si="13"/>
        <v>22320</v>
      </c>
      <c r="N164" s="554">
        <f t="shared" si="11"/>
        <v>-40884.833333333336</v>
      </c>
      <c r="O164" s="554">
        <f t="shared" si="12"/>
        <v>7214292.4999999618</v>
      </c>
    </row>
    <row r="165" spans="10:15" x14ac:dyDescent="0.25">
      <c r="J165" s="557">
        <v>46446</v>
      </c>
      <c r="L165" s="554">
        <f t="shared" si="10"/>
        <v>0</v>
      </c>
      <c r="M165" s="558">
        <f t="shared" si="13"/>
        <v>22320</v>
      </c>
      <c r="N165" s="554">
        <f t="shared" si="11"/>
        <v>-40884.833333333336</v>
      </c>
      <c r="O165" s="554">
        <f t="shared" si="12"/>
        <v>7173407.6666666288</v>
      </c>
    </row>
    <row r="166" spans="10:15" x14ac:dyDescent="0.25">
      <c r="J166" s="557">
        <v>46477</v>
      </c>
      <c r="L166" s="554">
        <f t="shared" si="10"/>
        <v>0</v>
      </c>
      <c r="M166" s="558">
        <f t="shared" si="13"/>
        <v>22320</v>
      </c>
      <c r="N166" s="554">
        <f t="shared" si="11"/>
        <v>-40884.833333333336</v>
      </c>
      <c r="O166" s="554">
        <f t="shared" si="12"/>
        <v>7132522.8333332958</v>
      </c>
    </row>
    <row r="167" spans="10:15" x14ac:dyDescent="0.25">
      <c r="J167" s="557">
        <v>46507</v>
      </c>
      <c r="L167" s="554">
        <f t="shared" si="10"/>
        <v>0</v>
      </c>
      <c r="M167" s="558">
        <f t="shared" si="13"/>
        <v>22320</v>
      </c>
      <c r="N167" s="554">
        <f t="shared" si="11"/>
        <v>-40884.833333333336</v>
      </c>
      <c r="O167" s="554">
        <f t="shared" si="12"/>
        <v>7091637.9999999627</v>
      </c>
    </row>
    <row r="168" spans="10:15" x14ac:dyDescent="0.25">
      <c r="J168" s="557">
        <v>46538</v>
      </c>
      <c r="L168" s="554">
        <f t="shared" si="10"/>
        <v>0</v>
      </c>
      <c r="M168" s="558">
        <f t="shared" si="13"/>
        <v>22320</v>
      </c>
      <c r="N168" s="554">
        <f t="shared" si="11"/>
        <v>-40884.833333333336</v>
      </c>
      <c r="O168" s="554">
        <f t="shared" si="12"/>
        <v>7050753.1666666297</v>
      </c>
    </row>
    <row r="169" spans="10:15" x14ac:dyDescent="0.25">
      <c r="J169" s="557">
        <v>46568</v>
      </c>
      <c r="L169" s="554">
        <f t="shared" si="10"/>
        <v>0</v>
      </c>
      <c r="M169" s="558">
        <f t="shared" si="13"/>
        <v>22320</v>
      </c>
      <c r="N169" s="554">
        <f t="shared" si="11"/>
        <v>-40884.833333333336</v>
      </c>
      <c r="O169" s="554">
        <f t="shared" si="12"/>
        <v>7009868.3333332967</v>
      </c>
    </row>
    <row r="170" spans="10:15" x14ac:dyDescent="0.25">
      <c r="J170" s="557">
        <v>46599</v>
      </c>
      <c r="L170" s="554">
        <f t="shared" si="10"/>
        <v>0</v>
      </c>
      <c r="M170" s="558">
        <f t="shared" si="13"/>
        <v>22320</v>
      </c>
      <c r="N170" s="554">
        <f t="shared" si="11"/>
        <v>-40884.833333333336</v>
      </c>
      <c r="O170" s="554">
        <f t="shared" si="12"/>
        <v>6968983.4999999637</v>
      </c>
    </row>
    <row r="171" spans="10:15" x14ac:dyDescent="0.25">
      <c r="J171" s="557">
        <v>46630</v>
      </c>
      <c r="L171" s="554">
        <f t="shared" si="10"/>
        <v>0</v>
      </c>
      <c r="M171" s="558">
        <f t="shared" si="13"/>
        <v>22320</v>
      </c>
      <c r="N171" s="554">
        <f t="shared" si="11"/>
        <v>-40884.833333333336</v>
      </c>
      <c r="O171" s="554">
        <f t="shared" si="12"/>
        <v>6928098.6666666307</v>
      </c>
    </row>
    <row r="172" spans="10:15" x14ac:dyDescent="0.25">
      <c r="J172" s="557">
        <v>46660</v>
      </c>
      <c r="L172" s="554">
        <f t="shared" si="10"/>
        <v>0</v>
      </c>
      <c r="M172" s="558">
        <f t="shared" si="13"/>
        <v>22320</v>
      </c>
      <c r="N172" s="554">
        <f t="shared" si="11"/>
        <v>-40884.833333333336</v>
      </c>
      <c r="O172" s="554">
        <f t="shared" si="12"/>
        <v>6887213.8333332976</v>
      </c>
    </row>
    <row r="173" spans="10:15" x14ac:dyDescent="0.25">
      <c r="J173" s="557">
        <v>46691</v>
      </c>
      <c r="L173" s="554">
        <f t="shared" si="10"/>
        <v>0</v>
      </c>
      <c r="M173" s="558">
        <f t="shared" si="13"/>
        <v>22320</v>
      </c>
      <c r="N173" s="554">
        <f t="shared" si="11"/>
        <v>-40884.833333333336</v>
      </c>
      <c r="O173" s="554">
        <f t="shared" si="12"/>
        <v>6846328.9999999646</v>
      </c>
    </row>
    <row r="174" spans="10:15" x14ac:dyDescent="0.25">
      <c r="J174" s="557">
        <v>46721</v>
      </c>
      <c r="L174" s="554">
        <f t="shared" si="10"/>
        <v>0</v>
      </c>
      <c r="M174" s="558">
        <f t="shared" si="13"/>
        <v>22320</v>
      </c>
      <c r="N174" s="554">
        <f t="shared" si="11"/>
        <v>-40884.833333333336</v>
      </c>
      <c r="O174" s="554">
        <f t="shared" si="12"/>
        <v>6805444.1666666316</v>
      </c>
    </row>
    <row r="175" spans="10:15" x14ac:dyDescent="0.25">
      <c r="J175" s="557">
        <v>46752</v>
      </c>
      <c r="L175" s="554">
        <f t="shared" si="10"/>
        <v>0</v>
      </c>
      <c r="M175" s="558">
        <f t="shared" si="13"/>
        <v>22320</v>
      </c>
      <c r="N175" s="554">
        <f t="shared" si="11"/>
        <v>-40884.833333333336</v>
      </c>
      <c r="O175" s="554">
        <f t="shared" si="12"/>
        <v>6764559.3333332986</v>
      </c>
    </row>
    <row r="176" spans="10:15" x14ac:dyDescent="0.25">
      <c r="J176" s="557">
        <v>46783</v>
      </c>
      <c r="L176" s="554">
        <f t="shared" si="10"/>
        <v>0</v>
      </c>
      <c r="M176" s="558">
        <f t="shared" si="13"/>
        <v>22320</v>
      </c>
      <c r="N176" s="554">
        <f t="shared" si="11"/>
        <v>-40884.833333333336</v>
      </c>
      <c r="O176" s="554">
        <f t="shared" si="12"/>
        <v>6723674.4999999655</v>
      </c>
    </row>
    <row r="177" spans="10:15" x14ac:dyDescent="0.25">
      <c r="J177" s="557">
        <v>46812</v>
      </c>
      <c r="L177" s="554">
        <f t="shared" si="10"/>
        <v>0</v>
      </c>
      <c r="M177" s="558">
        <f t="shared" si="13"/>
        <v>22320</v>
      </c>
      <c r="N177" s="554">
        <f t="shared" si="11"/>
        <v>-40884.833333333336</v>
      </c>
      <c r="O177" s="554">
        <f t="shared" si="12"/>
        <v>6682789.6666666325</v>
      </c>
    </row>
    <row r="178" spans="10:15" x14ac:dyDescent="0.25">
      <c r="J178" s="557">
        <v>46843</v>
      </c>
      <c r="L178" s="554">
        <f t="shared" si="10"/>
        <v>0</v>
      </c>
      <c r="M178" s="558">
        <f t="shared" si="13"/>
        <v>22320</v>
      </c>
      <c r="N178" s="554">
        <f t="shared" si="11"/>
        <v>-40884.833333333336</v>
      </c>
      <c r="O178" s="554">
        <f t="shared" si="12"/>
        <v>6641904.8333332995</v>
      </c>
    </row>
    <row r="179" spans="10:15" x14ac:dyDescent="0.25">
      <c r="J179" s="557">
        <v>46873</v>
      </c>
      <c r="L179" s="554">
        <f t="shared" si="10"/>
        <v>0</v>
      </c>
      <c r="M179" s="558">
        <f t="shared" si="13"/>
        <v>22320</v>
      </c>
      <c r="N179" s="554">
        <f t="shared" si="11"/>
        <v>-40884.833333333336</v>
      </c>
      <c r="O179" s="554">
        <f t="shared" si="12"/>
        <v>6601019.9999999665</v>
      </c>
    </row>
    <row r="180" spans="10:15" x14ac:dyDescent="0.25">
      <c r="J180" s="557">
        <v>46904</v>
      </c>
      <c r="L180" s="554">
        <f t="shared" si="10"/>
        <v>0</v>
      </c>
      <c r="M180" s="558">
        <f t="shared" si="13"/>
        <v>22320</v>
      </c>
      <c r="N180" s="554">
        <f t="shared" si="11"/>
        <v>-40884.833333333336</v>
      </c>
      <c r="O180" s="554">
        <f t="shared" si="12"/>
        <v>6560135.1666666334</v>
      </c>
    </row>
    <row r="181" spans="10:15" x14ac:dyDescent="0.25">
      <c r="J181" s="557">
        <v>46934</v>
      </c>
      <c r="L181" s="554">
        <f t="shared" si="10"/>
        <v>0</v>
      </c>
      <c r="M181" s="558">
        <f t="shared" si="13"/>
        <v>22320</v>
      </c>
      <c r="N181" s="554">
        <f t="shared" si="11"/>
        <v>-40884.833333333336</v>
      </c>
      <c r="O181" s="554">
        <f t="shared" si="12"/>
        <v>6519250.3333333004</v>
      </c>
    </row>
    <row r="182" spans="10:15" x14ac:dyDescent="0.25">
      <c r="J182" s="557">
        <v>46965</v>
      </c>
      <c r="L182" s="554">
        <f t="shared" ref="L182:L245" si="14">L181-K182</f>
        <v>0</v>
      </c>
      <c r="M182" s="558">
        <f t="shared" si="13"/>
        <v>22320</v>
      </c>
      <c r="N182" s="554">
        <f t="shared" si="11"/>
        <v>-40884.833333333336</v>
      </c>
      <c r="O182" s="554">
        <f t="shared" si="12"/>
        <v>6478365.4999999674</v>
      </c>
    </row>
    <row r="183" spans="10:15" x14ac:dyDescent="0.25">
      <c r="J183" s="557">
        <v>46996</v>
      </c>
      <c r="L183" s="554">
        <f t="shared" si="14"/>
        <v>0</v>
      </c>
      <c r="M183" s="558">
        <f t="shared" si="13"/>
        <v>22320</v>
      </c>
      <c r="N183" s="554">
        <f t="shared" si="11"/>
        <v>-40884.833333333336</v>
      </c>
      <c r="O183" s="554">
        <f t="shared" si="12"/>
        <v>6437480.6666666344</v>
      </c>
    </row>
    <row r="184" spans="10:15" x14ac:dyDescent="0.25">
      <c r="J184" s="557">
        <v>47026</v>
      </c>
      <c r="L184" s="554">
        <f t="shared" si="14"/>
        <v>0</v>
      </c>
      <c r="M184" s="558">
        <f t="shared" si="13"/>
        <v>22320</v>
      </c>
      <c r="N184" s="554">
        <f t="shared" si="11"/>
        <v>-40884.833333333336</v>
      </c>
      <c r="O184" s="554">
        <f t="shared" si="12"/>
        <v>6396595.8333333014</v>
      </c>
    </row>
    <row r="185" spans="10:15" x14ac:dyDescent="0.25">
      <c r="J185" s="557">
        <v>47057</v>
      </c>
      <c r="L185" s="554">
        <f t="shared" si="14"/>
        <v>0</v>
      </c>
      <c r="M185" s="558">
        <f t="shared" si="13"/>
        <v>22320</v>
      </c>
      <c r="N185" s="554">
        <f t="shared" si="11"/>
        <v>-40884.833333333336</v>
      </c>
      <c r="O185" s="554">
        <f t="shared" si="12"/>
        <v>6355710.9999999683</v>
      </c>
    </row>
    <row r="186" spans="10:15" x14ac:dyDescent="0.25">
      <c r="J186" s="557">
        <v>47087</v>
      </c>
      <c r="L186" s="554">
        <f t="shared" si="14"/>
        <v>0</v>
      </c>
      <c r="M186" s="558">
        <f t="shared" si="13"/>
        <v>22320</v>
      </c>
      <c r="N186" s="554">
        <f t="shared" si="11"/>
        <v>-40884.833333333336</v>
      </c>
      <c r="O186" s="554">
        <f t="shared" si="12"/>
        <v>6314826.1666666353</v>
      </c>
    </row>
    <row r="187" spans="10:15" x14ac:dyDescent="0.25">
      <c r="J187" s="557">
        <v>47118</v>
      </c>
      <c r="L187" s="554">
        <f t="shared" si="14"/>
        <v>0</v>
      </c>
      <c r="M187" s="558">
        <f t="shared" si="13"/>
        <v>22320</v>
      </c>
      <c r="N187" s="554">
        <f t="shared" si="11"/>
        <v>-40884.833333333336</v>
      </c>
      <c r="O187" s="554">
        <f t="shared" si="12"/>
        <v>6273941.3333333023</v>
      </c>
    </row>
    <row r="188" spans="10:15" x14ac:dyDescent="0.25">
      <c r="J188" s="557">
        <v>47149</v>
      </c>
      <c r="L188" s="554">
        <f t="shared" si="14"/>
        <v>0</v>
      </c>
      <c r="M188" s="558">
        <f t="shared" si="13"/>
        <v>22320</v>
      </c>
      <c r="N188" s="554">
        <f t="shared" ref="N188:N251" si="15">-$F$39/12</f>
        <v>-40884.833333333336</v>
      </c>
      <c r="O188" s="554">
        <f t="shared" si="12"/>
        <v>6233056.4999999693</v>
      </c>
    </row>
    <row r="189" spans="10:15" x14ac:dyDescent="0.25">
      <c r="J189" s="557">
        <v>47177</v>
      </c>
      <c r="L189" s="554">
        <f t="shared" si="14"/>
        <v>0</v>
      </c>
      <c r="M189" s="558">
        <f t="shared" si="13"/>
        <v>22320</v>
      </c>
      <c r="N189" s="554">
        <f t="shared" si="15"/>
        <v>-40884.833333333336</v>
      </c>
      <c r="O189" s="554">
        <f t="shared" si="12"/>
        <v>6192171.6666666362</v>
      </c>
    </row>
    <row r="190" spans="10:15" x14ac:dyDescent="0.25">
      <c r="J190" s="557">
        <v>47208</v>
      </c>
      <c r="L190" s="554">
        <f t="shared" si="14"/>
        <v>0</v>
      </c>
      <c r="M190" s="558">
        <f t="shared" si="13"/>
        <v>22320</v>
      </c>
      <c r="N190" s="554">
        <f t="shared" si="15"/>
        <v>-40884.833333333336</v>
      </c>
      <c r="O190" s="554">
        <f t="shared" si="12"/>
        <v>6151286.8333333032</v>
      </c>
    </row>
    <row r="191" spans="10:15" x14ac:dyDescent="0.25">
      <c r="J191" s="557">
        <v>47238</v>
      </c>
      <c r="L191" s="554">
        <f t="shared" si="14"/>
        <v>0</v>
      </c>
      <c r="M191" s="558">
        <f t="shared" si="13"/>
        <v>22320</v>
      </c>
      <c r="N191" s="554">
        <f t="shared" si="15"/>
        <v>-40884.833333333336</v>
      </c>
      <c r="O191" s="554">
        <f t="shared" si="12"/>
        <v>6110401.9999999702</v>
      </c>
    </row>
    <row r="192" spans="10:15" x14ac:dyDescent="0.25">
      <c r="J192" s="557">
        <v>47269</v>
      </c>
      <c r="L192" s="554">
        <f t="shared" si="14"/>
        <v>0</v>
      </c>
      <c r="M192" s="558">
        <f t="shared" si="13"/>
        <v>22320</v>
      </c>
      <c r="N192" s="554">
        <f t="shared" si="15"/>
        <v>-40884.833333333336</v>
      </c>
      <c r="O192" s="554">
        <f t="shared" si="12"/>
        <v>6069517.1666666372</v>
      </c>
    </row>
    <row r="193" spans="10:15" x14ac:dyDescent="0.25">
      <c r="J193" s="557">
        <v>47299</v>
      </c>
      <c r="L193" s="554">
        <f t="shared" si="14"/>
        <v>0</v>
      </c>
      <c r="M193" s="558">
        <f t="shared" si="13"/>
        <v>22320</v>
      </c>
      <c r="N193" s="554">
        <f t="shared" si="15"/>
        <v>-40884.833333333336</v>
      </c>
      <c r="O193" s="554">
        <f t="shared" si="12"/>
        <v>6028632.3333333042</v>
      </c>
    </row>
    <row r="194" spans="10:15" x14ac:dyDescent="0.25">
      <c r="J194" s="557">
        <v>47330</v>
      </c>
      <c r="L194" s="554">
        <f t="shared" si="14"/>
        <v>0</v>
      </c>
      <c r="M194" s="558">
        <f t="shared" si="13"/>
        <v>22320</v>
      </c>
      <c r="N194" s="554">
        <f t="shared" si="15"/>
        <v>-40884.833333333336</v>
      </c>
      <c r="O194" s="554">
        <f t="shared" si="12"/>
        <v>5987747.4999999711</v>
      </c>
    </row>
    <row r="195" spans="10:15" x14ac:dyDescent="0.25">
      <c r="J195" s="557">
        <v>47361</v>
      </c>
      <c r="L195" s="554">
        <f t="shared" si="14"/>
        <v>0</v>
      </c>
      <c r="M195" s="558">
        <f t="shared" si="13"/>
        <v>22320</v>
      </c>
      <c r="N195" s="554">
        <f t="shared" si="15"/>
        <v>-40884.833333333336</v>
      </c>
      <c r="O195" s="554">
        <f t="shared" si="12"/>
        <v>5946862.6666666381</v>
      </c>
    </row>
    <row r="196" spans="10:15" x14ac:dyDescent="0.25">
      <c r="J196" s="557">
        <v>47391</v>
      </c>
      <c r="L196" s="554">
        <f t="shared" si="14"/>
        <v>0</v>
      </c>
      <c r="M196" s="558">
        <f t="shared" si="13"/>
        <v>22320</v>
      </c>
      <c r="N196" s="554">
        <f t="shared" si="15"/>
        <v>-40884.833333333336</v>
      </c>
      <c r="O196" s="554">
        <f t="shared" si="12"/>
        <v>5905977.8333333051</v>
      </c>
    </row>
    <row r="197" spans="10:15" x14ac:dyDescent="0.25">
      <c r="J197" s="557">
        <v>47422</v>
      </c>
      <c r="L197" s="554">
        <f t="shared" si="14"/>
        <v>0</v>
      </c>
      <c r="M197" s="558">
        <f t="shared" si="13"/>
        <v>22320</v>
      </c>
      <c r="N197" s="554">
        <f t="shared" si="15"/>
        <v>-40884.833333333336</v>
      </c>
      <c r="O197" s="554">
        <f t="shared" si="12"/>
        <v>5865092.9999999721</v>
      </c>
    </row>
    <row r="198" spans="10:15" x14ac:dyDescent="0.25">
      <c r="J198" s="557">
        <v>47452</v>
      </c>
      <c r="L198" s="554">
        <f t="shared" si="14"/>
        <v>0</v>
      </c>
      <c r="M198" s="558">
        <f t="shared" si="13"/>
        <v>22320</v>
      </c>
      <c r="N198" s="554">
        <f t="shared" si="15"/>
        <v>-40884.833333333336</v>
      </c>
      <c r="O198" s="554">
        <f t="shared" si="12"/>
        <v>5824208.166666639</v>
      </c>
    </row>
    <row r="199" spans="10:15" x14ac:dyDescent="0.25">
      <c r="J199" s="557">
        <v>47483</v>
      </c>
      <c r="L199" s="554">
        <f t="shared" si="14"/>
        <v>0</v>
      </c>
      <c r="M199" s="558">
        <f t="shared" si="13"/>
        <v>22320</v>
      </c>
      <c r="N199" s="554">
        <f t="shared" si="15"/>
        <v>-40884.833333333336</v>
      </c>
      <c r="O199" s="554">
        <f t="shared" si="12"/>
        <v>5783323.333333306</v>
      </c>
    </row>
    <row r="200" spans="10:15" x14ac:dyDescent="0.25">
      <c r="J200" s="557">
        <v>47514</v>
      </c>
      <c r="L200" s="554">
        <f t="shared" si="14"/>
        <v>0</v>
      </c>
      <c r="M200" s="558">
        <f t="shared" si="13"/>
        <v>22320</v>
      </c>
      <c r="N200" s="554">
        <f t="shared" si="15"/>
        <v>-40884.833333333336</v>
      </c>
      <c r="O200" s="554">
        <f t="shared" si="12"/>
        <v>5742438.499999973</v>
      </c>
    </row>
    <row r="201" spans="10:15" x14ac:dyDescent="0.25">
      <c r="J201" s="557">
        <v>47542</v>
      </c>
      <c r="L201" s="554">
        <f t="shared" si="14"/>
        <v>0</v>
      </c>
      <c r="M201" s="558">
        <f t="shared" si="13"/>
        <v>22320</v>
      </c>
      <c r="N201" s="554">
        <f t="shared" si="15"/>
        <v>-40884.833333333336</v>
      </c>
      <c r="O201" s="554">
        <f t="shared" si="12"/>
        <v>5701553.66666664</v>
      </c>
    </row>
    <row r="202" spans="10:15" x14ac:dyDescent="0.25">
      <c r="J202" s="557">
        <v>47573</v>
      </c>
      <c r="L202" s="554">
        <f t="shared" si="14"/>
        <v>0</v>
      </c>
      <c r="M202" s="558">
        <f t="shared" si="13"/>
        <v>22320</v>
      </c>
      <c r="N202" s="554">
        <f t="shared" si="15"/>
        <v>-40884.833333333336</v>
      </c>
      <c r="O202" s="554">
        <f t="shared" si="12"/>
        <v>5660668.8333333069</v>
      </c>
    </row>
    <row r="203" spans="10:15" x14ac:dyDescent="0.25">
      <c r="J203" s="557">
        <v>47603</v>
      </c>
      <c r="L203" s="554">
        <f t="shared" si="14"/>
        <v>0</v>
      </c>
      <c r="M203" s="558">
        <f t="shared" si="13"/>
        <v>22320</v>
      </c>
      <c r="N203" s="554">
        <f t="shared" si="15"/>
        <v>-40884.833333333336</v>
      </c>
      <c r="O203" s="554">
        <f t="shared" si="12"/>
        <v>5619783.9999999739</v>
      </c>
    </row>
    <row r="204" spans="10:15" x14ac:dyDescent="0.25">
      <c r="J204" s="557">
        <v>47634</v>
      </c>
      <c r="L204" s="554">
        <f t="shared" si="14"/>
        <v>0</v>
      </c>
      <c r="M204" s="558">
        <f t="shared" si="13"/>
        <v>22320</v>
      </c>
      <c r="N204" s="554">
        <f t="shared" si="15"/>
        <v>-40884.833333333336</v>
      </c>
      <c r="O204" s="554">
        <f t="shared" si="12"/>
        <v>5578899.1666666409</v>
      </c>
    </row>
    <row r="205" spans="10:15" x14ac:dyDescent="0.25">
      <c r="J205" s="557">
        <v>47664</v>
      </c>
      <c r="L205" s="554">
        <f t="shared" si="14"/>
        <v>0</v>
      </c>
      <c r="M205" s="558">
        <f t="shared" si="13"/>
        <v>22320</v>
      </c>
      <c r="N205" s="554">
        <f t="shared" si="15"/>
        <v>-40884.833333333336</v>
      </c>
      <c r="O205" s="554">
        <f t="shared" si="12"/>
        <v>5538014.3333333079</v>
      </c>
    </row>
    <row r="206" spans="10:15" x14ac:dyDescent="0.25">
      <c r="J206" s="557">
        <v>47695</v>
      </c>
      <c r="L206" s="554">
        <f t="shared" si="14"/>
        <v>0</v>
      </c>
      <c r="M206" s="558">
        <f t="shared" si="13"/>
        <v>22320</v>
      </c>
      <c r="N206" s="554">
        <f t="shared" si="15"/>
        <v>-40884.833333333336</v>
      </c>
      <c r="O206" s="554">
        <f t="shared" si="12"/>
        <v>5497129.4999999749</v>
      </c>
    </row>
    <row r="207" spans="10:15" x14ac:dyDescent="0.25">
      <c r="J207" s="557">
        <v>47726</v>
      </c>
      <c r="L207" s="554">
        <f t="shared" si="14"/>
        <v>0</v>
      </c>
      <c r="M207" s="558">
        <f t="shared" si="13"/>
        <v>22320</v>
      </c>
      <c r="N207" s="554">
        <f t="shared" si="15"/>
        <v>-40884.833333333336</v>
      </c>
      <c r="O207" s="554">
        <f t="shared" si="12"/>
        <v>5456244.6666666418</v>
      </c>
    </row>
    <row r="208" spans="10:15" x14ac:dyDescent="0.25">
      <c r="J208" s="557">
        <v>47756</v>
      </c>
      <c r="L208" s="554">
        <f t="shared" si="14"/>
        <v>0</v>
      </c>
      <c r="M208" s="558">
        <f t="shared" si="13"/>
        <v>22320</v>
      </c>
      <c r="N208" s="554">
        <f t="shared" si="15"/>
        <v>-40884.833333333336</v>
      </c>
      <c r="O208" s="554">
        <f t="shared" si="12"/>
        <v>5415359.8333333088</v>
      </c>
    </row>
    <row r="209" spans="10:15" x14ac:dyDescent="0.25">
      <c r="J209" s="557">
        <v>47787</v>
      </c>
      <c r="L209" s="554">
        <f t="shared" si="14"/>
        <v>0</v>
      </c>
      <c r="M209" s="558">
        <f t="shared" si="13"/>
        <v>22320</v>
      </c>
      <c r="N209" s="554">
        <f t="shared" si="15"/>
        <v>-40884.833333333336</v>
      </c>
      <c r="O209" s="554">
        <f t="shared" si="12"/>
        <v>5374474.9999999758</v>
      </c>
    </row>
    <row r="210" spans="10:15" x14ac:dyDescent="0.25">
      <c r="J210" s="557">
        <v>47817</v>
      </c>
      <c r="L210" s="554">
        <f t="shared" si="14"/>
        <v>0</v>
      </c>
      <c r="M210" s="558">
        <f t="shared" si="13"/>
        <v>22320</v>
      </c>
      <c r="N210" s="554">
        <f t="shared" si="15"/>
        <v>-40884.833333333336</v>
      </c>
      <c r="O210" s="554">
        <f t="shared" si="12"/>
        <v>5333590.1666666428</v>
      </c>
    </row>
    <row r="211" spans="10:15" x14ac:dyDescent="0.25">
      <c r="J211" s="557">
        <v>47848</v>
      </c>
      <c r="L211" s="554">
        <f t="shared" si="14"/>
        <v>0</v>
      </c>
      <c r="M211" s="558">
        <f t="shared" si="13"/>
        <v>22320</v>
      </c>
      <c r="N211" s="554">
        <f t="shared" si="15"/>
        <v>-40884.833333333336</v>
      </c>
      <c r="O211" s="554">
        <f t="shared" ref="O211:O274" si="16">O210+N211</f>
        <v>5292705.3333333097</v>
      </c>
    </row>
    <row r="212" spans="10:15" x14ac:dyDescent="0.25">
      <c r="J212" s="557">
        <v>47879</v>
      </c>
      <c r="L212" s="554">
        <f t="shared" si="14"/>
        <v>0</v>
      </c>
      <c r="M212" s="558">
        <f t="shared" ref="M212:M275" si="17">$F$28</f>
        <v>22320</v>
      </c>
      <c r="N212" s="554">
        <f t="shared" si="15"/>
        <v>-40884.833333333336</v>
      </c>
      <c r="O212" s="554">
        <f t="shared" si="16"/>
        <v>5251820.4999999767</v>
      </c>
    </row>
    <row r="213" spans="10:15" x14ac:dyDescent="0.25">
      <c r="J213" s="557">
        <v>47907</v>
      </c>
      <c r="L213" s="554">
        <f t="shared" si="14"/>
        <v>0</v>
      </c>
      <c r="M213" s="558">
        <f t="shared" si="17"/>
        <v>22320</v>
      </c>
      <c r="N213" s="554">
        <f t="shared" si="15"/>
        <v>-40884.833333333336</v>
      </c>
      <c r="O213" s="554">
        <f t="shared" si="16"/>
        <v>5210935.6666666437</v>
      </c>
    </row>
    <row r="214" spans="10:15" x14ac:dyDescent="0.25">
      <c r="J214" s="557">
        <v>47938</v>
      </c>
      <c r="L214" s="554">
        <f t="shared" si="14"/>
        <v>0</v>
      </c>
      <c r="M214" s="558">
        <f t="shared" si="17"/>
        <v>22320</v>
      </c>
      <c r="N214" s="554">
        <f t="shared" si="15"/>
        <v>-40884.833333333336</v>
      </c>
      <c r="O214" s="554">
        <f t="shared" si="16"/>
        <v>5170050.8333333107</v>
      </c>
    </row>
    <row r="215" spans="10:15" x14ac:dyDescent="0.25">
      <c r="J215" s="557">
        <v>47968</v>
      </c>
      <c r="L215" s="554">
        <f t="shared" si="14"/>
        <v>0</v>
      </c>
      <c r="M215" s="558">
        <f t="shared" si="17"/>
        <v>22320</v>
      </c>
      <c r="N215" s="554">
        <f t="shared" si="15"/>
        <v>-40884.833333333336</v>
      </c>
      <c r="O215" s="554">
        <f t="shared" si="16"/>
        <v>5129165.9999999776</v>
      </c>
    </row>
    <row r="216" spans="10:15" x14ac:dyDescent="0.25">
      <c r="J216" s="557">
        <v>47999</v>
      </c>
      <c r="L216" s="554">
        <f t="shared" si="14"/>
        <v>0</v>
      </c>
      <c r="M216" s="558">
        <f t="shared" si="17"/>
        <v>22320</v>
      </c>
      <c r="N216" s="554">
        <f t="shared" si="15"/>
        <v>-40884.833333333336</v>
      </c>
      <c r="O216" s="554">
        <f t="shared" si="16"/>
        <v>5088281.1666666446</v>
      </c>
    </row>
    <row r="217" spans="10:15" x14ac:dyDescent="0.25">
      <c r="J217" s="557">
        <v>48029</v>
      </c>
      <c r="L217" s="554">
        <f t="shared" si="14"/>
        <v>0</v>
      </c>
      <c r="M217" s="558">
        <f t="shared" si="17"/>
        <v>22320</v>
      </c>
      <c r="N217" s="554">
        <f t="shared" si="15"/>
        <v>-40884.833333333336</v>
      </c>
      <c r="O217" s="554">
        <f t="shared" si="16"/>
        <v>5047396.3333333116</v>
      </c>
    </row>
    <row r="218" spans="10:15" x14ac:dyDescent="0.25">
      <c r="J218" s="557">
        <v>48060</v>
      </c>
      <c r="L218" s="554">
        <f t="shared" si="14"/>
        <v>0</v>
      </c>
      <c r="M218" s="558">
        <f t="shared" si="17"/>
        <v>22320</v>
      </c>
      <c r="N218" s="554">
        <f t="shared" si="15"/>
        <v>-40884.833333333336</v>
      </c>
      <c r="O218" s="554">
        <f t="shared" si="16"/>
        <v>5006511.4999999786</v>
      </c>
    </row>
    <row r="219" spans="10:15" x14ac:dyDescent="0.25">
      <c r="J219" s="557">
        <v>48091</v>
      </c>
      <c r="L219" s="554">
        <f t="shared" si="14"/>
        <v>0</v>
      </c>
      <c r="M219" s="558">
        <f t="shared" si="17"/>
        <v>22320</v>
      </c>
      <c r="N219" s="554">
        <f t="shared" si="15"/>
        <v>-40884.833333333336</v>
      </c>
      <c r="O219" s="554">
        <f t="shared" si="16"/>
        <v>4965626.6666666456</v>
      </c>
    </row>
    <row r="220" spans="10:15" x14ac:dyDescent="0.25">
      <c r="J220" s="557">
        <v>48121</v>
      </c>
      <c r="L220" s="554">
        <f t="shared" si="14"/>
        <v>0</v>
      </c>
      <c r="M220" s="558">
        <f t="shared" si="17"/>
        <v>22320</v>
      </c>
      <c r="N220" s="554">
        <f t="shared" si="15"/>
        <v>-40884.833333333336</v>
      </c>
      <c r="O220" s="554">
        <f t="shared" si="16"/>
        <v>4924741.8333333125</v>
      </c>
    </row>
    <row r="221" spans="10:15" x14ac:dyDescent="0.25">
      <c r="J221" s="557">
        <v>48152</v>
      </c>
      <c r="L221" s="554">
        <f t="shared" si="14"/>
        <v>0</v>
      </c>
      <c r="M221" s="558">
        <f t="shared" si="17"/>
        <v>22320</v>
      </c>
      <c r="N221" s="554">
        <f t="shared" si="15"/>
        <v>-40884.833333333336</v>
      </c>
      <c r="O221" s="554">
        <f t="shared" si="16"/>
        <v>4883856.9999999795</v>
      </c>
    </row>
    <row r="222" spans="10:15" x14ac:dyDescent="0.25">
      <c r="J222" s="557">
        <v>48182</v>
      </c>
      <c r="L222" s="554">
        <f t="shared" si="14"/>
        <v>0</v>
      </c>
      <c r="M222" s="558">
        <f t="shared" si="17"/>
        <v>22320</v>
      </c>
      <c r="N222" s="554">
        <f t="shared" si="15"/>
        <v>-40884.833333333336</v>
      </c>
      <c r="O222" s="554">
        <f t="shared" si="16"/>
        <v>4842972.1666666465</v>
      </c>
    </row>
    <row r="223" spans="10:15" x14ac:dyDescent="0.25">
      <c r="J223" s="557">
        <v>48213</v>
      </c>
      <c r="L223" s="554">
        <f t="shared" si="14"/>
        <v>0</v>
      </c>
      <c r="M223" s="558">
        <f t="shared" si="17"/>
        <v>22320</v>
      </c>
      <c r="N223" s="554">
        <f t="shared" si="15"/>
        <v>-40884.833333333336</v>
      </c>
      <c r="O223" s="554">
        <f t="shared" si="16"/>
        <v>4802087.3333333135</v>
      </c>
    </row>
    <row r="224" spans="10:15" x14ac:dyDescent="0.25">
      <c r="J224" s="557">
        <v>48244</v>
      </c>
      <c r="L224" s="554">
        <f t="shared" si="14"/>
        <v>0</v>
      </c>
      <c r="M224" s="558">
        <f t="shared" si="17"/>
        <v>22320</v>
      </c>
      <c r="N224" s="554">
        <f t="shared" si="15"/>
        <v>-40884.833333333336</v>
      </c>
      <c r="O224" s="554">
        <f t="shared" si="16"/>
        <v>4761202.4999999804</v>
      </c>
    </row>
    <row r="225" spans="10:15" x14ac:dyDescent="0.25">
      <c r="J225" s="557">
        <v>48273</v>
      </c>
      <c r="L225" s="554">
        <f t="shared" si="14"/>
        <v>0</v>
      </c>
      <c r="M225" s="558">
        <f t="shared" si="17"/>
        <v>22320</v>
      </c>
      <c r="N225" s="554">
        <f t="shared" si="15"/>
        <v>-40884.833333333336</v>
      </c>
      <c r="O225" s="554">
        <f t="shared" si="16"/>
        <v>4720317.6666666474</v>
      </c>
    </row>
    <row r="226" spans="10:15" x14ac:dyDescent="0.25">
      <c r="J226" s="557">
        <v>48304</v>
      </c>
      <c r="L226" s="554">
        <f t="shared" si="14"/>
        <v>0</v>
      </c>
      <c r="M226" s="558">
        <f t="shared" si="17"/>
        <v>22320</v>
      </c>
      <c r="N226" s="554">
        <f t="shared" si="15"/>
        <v>-40884.833333333336</v>
      </c>
      <c r="O226" s="554">
        <f t="shared" si="16"/>
        <v>4679432.8333333144</v>
      </c>
    </row>
    <row r="227" spans="10:15" x14ac:dyDescent="0.25">
      <c r="J227" s="557">
        <v>48334</v>
      </c>
      <c r="L227" s="554">
        <f t="shared" si="14"/>
        <v>0</v>
      </c>
      <c r="M227" s="558">
        <f t="shared" si="17"/>
        <v>22320</v>
      </c>
      <c r="N227" s="554">
        <f t="shared" si="15"/>
        <v>-40884.833333333336</v>
      </c>
      <c r="O227" s="554">
        <f t="shared" si="16"/>
        <v>4638547.9999999814</v>
      </c>
    </row>
    <row r="228" spans="10:15" x14ac:dyDescent="0.25">
      <c r="J228" s="557">
        <v>48365</v>
      </c>
      <c r="L228" s="554">
        <f t="shared" si="14"/>
        <v>0</v>
      </c>
      <c r="M228" s="558">
        <f t="shared" si="17"/>
        <v>22320</v>
      </c>
      <c r="N228" s="554">
        <f t="shared" si="15"/>
        <v>-40884.833333333336</v>
      </c>
      <c r="O228" s="554">
        <f t="shared" si="16"/>
        <v>4597663.1666666484</v>
      </c>
    </row>
    <row r="229" spans="10:15" x14ac:dyDescent="0.25">
      <c r="J229" s="557">
        <v>48395</v>
      </c>
      <c r="L229" s="554">
        <f t="shared" si="14"/>
        <v>0</v>
      </c>
      <c r="M229" s="558">
        <f t="shared" si="17"/>
        <v>22320</v>
      </c>
      <c r="N229" s="554">
        <f t="shared" si="15"/>
        <v>-40884.833333333336</v>
      </c>
      <c r="O229" s="554">
        <f t="shared" si="16"/>
        <v>4556778.3333333153</v>
      </c>
    </row>
    <row r="230" spans="10:15" x14ac:dyDescent="0.25">
      <c r="J230" s="557">
        <v>48426</v>
      </c>
      <c r="L230" s="554">
        <f t="shared" si="14"/>
        <v>0</v>
      </c>
      <c r="M230" s="558">
        <f t="shared" si="17"/>
        <v>22320</v>
      </c>
      <c r="N230" s="554">
        <f t="shared" si="15"/>
        <v>-40884.833333333336</v>
      </c>
      <c r="O230" s="554">
        <f t="shared" si="16"/>
        <v>4515893.4999999823</v>
      </c>
    </row>
    <row r="231" spans="10:15" x14ac:dyDescent="0.25">
      <c r="J231" s="557">
        <v>48457</v>
      </c>
      <c r="L231" s="554">
        <f t="shared" si="14"/>
        <v>0</v>
      </c>
      <c r="M231" s="558">
        <f t="shared" si="17"/>
        <v>22320</v>
      </c>
      <c r="N231" s="554">
        <f t="shared" si="15"/>
        <v>-40884.833333333336</v>
      </c>
      <c r="O231" s="554">
        <f t="shared" si="16"/>
        <v>4475008.6666666493</v>
      </c>
    </row>
    <row r="232" spans="10:15" x14ac:dyDescent="0.25">
      <c r="J232" s="557">
        <v>48487</v>
      </c>
      <c r="L232" s="554">
        <f t="shared" si="14"/>
        <v>0</v>
      </c>
      <c r="M232" s="558">
        <f t="shared" si="17"/>
        <v>22320</v>
      </c>
      <c r="N232" s="554">
        <f t="shared" si="15"/>
        <v>-40884.833333333336</v>
      </c>
      <c r="O232" s="554">
        <f t="shared" si="16"/>
        <v>4434123.8333333163</v>
      </c>
    </row>
    <row r="233" spans="10:15" x14ac:dyDescent="0.25">
      <c r="J233" s="557">
        <v>48518</v>
      </c>
      <c r="L233" s="554">
        <f t="shared" si="14"/>
        <v>0</v>
      </c>
      <c r="M233" s="558">
        <f t="shared" si="17"/>
        <v>22320</v>
      </c>
      <c r="N233" s="554">
        <f t="shared" si="15"/>
        <v>-40884.833333333336</v>
      </c>
      <c r="O233" s="554">
        <f t="shared" si="16"/>
        <v>4393238.9999999832</v>
      </c>
    </row>
    <row r="234" spans="10:15" x14ac:dyDescent="0.25">
      <c r="J234" s="557">
        <v>48548</v>
      </c>
      <c r="L234" s="554">
        <f t="shared" si="14"/>
        <v>0</v>
      </c>
      <c r="M234" s="558">
        <f t="shared" si="17"/>
        <v>22320</v>
      </c>
      <c r="N234" s="554">
        <f t="shared" si="15"/>
        <v>-40884.833333333336</v>
      </c>
      <c r="O234" s="554">
        <f t="shared" si="16"/>
        <v>4352354.1666666502</v>
      </c>
    </row>
    <row r="235" spans="10:15" x14ac:dyDescent="0.25">
      <c r="J235" s="557">
        <v>48579</v>
      </c>
      <c r="L235" s="554">
        <f t="shared" si="14"/>
        <v>0</v>
      </c>
      <c r="M235" s="558">
        <f t="shared" si="17"/>
        <v>22320</v>
      </c>
      <c r="N235" s="554">
        <f t="shared" si="15"/>
        <v>-40884.833333333336</v>
      </c>
      <c r="O235" s="554">
        <f t="shared" si="16"/>
        <v>4311469.3333333172</v>
      </c>
    </row>
    <row r="236" spans="10:15" x14ac:dyDescent="0.25">
      <c r="J236" s="557">
        <v>48610</v>
      </c>
      <c r="L236" s="554">
        <f t="shared" si="14"/>
        <v>0</v>
      </c>
      <c r="M236" s="558">
        <f t="shared" si="17"/>
        <v>22320</v>
      </c>
      <c r="N236" s="554">
        <f t="shared" si="15"/>
        <v>-40884.833333333336</v>
      </c>
      <c r="O236" s="554">
        <f t="shared" si="16"/>
        <v>4270584.4999999842</v>
      </c>
    </row>
    <row r="237" spans="10:15" x14ac:dyDescent="0.25">
      <c r="J237" s="557">
        <v>48638</v>
      </c>
      <c r="L237" s="554">
        <f t="shared" si="14"/>
        <v>0</v>
      </c>
      <c r="M237" s="558">
        <f t="shared" si="17"/>
        <v>22320</v>
      </c>
      <c r="N237" s="554">
        <f t="shared" si="15"/>
        <v>-40884.833333333336</v>
      </c>
      <c r="O237" s="554">
        <f t="shared" si="16"/>
        <v>4229699.6666666511</v>
      </c>
    </row>
    <row r="238" spans="10:15" x14ac:dyDescent="0.25">
      <c r="J238" s="557">
        <v>48669</v>
      </c>
      <c r="L238" s="554">
        <f t="shared" si="14"/>
        <v>0</v>
      </c>
      <c r="M238" s="558">
        <f t="shared" si="17"/>
        <v>22320</v>
      </c>
      <c r="N238" s="554">
        <f t="shared" si="15"/>
        <v>-40884.833333333336</v>
      </c>
      <c r="O238" s="554">
        <f t="shared" si="16"/>
        <v>4188814.8333333177</v>
      </c>
    </row>
    <row r="239" spans="10:15" x14ac:dyDescent="0.25">
      <c r="J239" s="557">
        <v>48699</v>
      </c>
      <c r="L239" s="554">
        <f t="shared" si="14"/>
        <v>0</v>
      </c>
      <c r="M239" s="558">
        <f t="shared" si="17"/>
        <v>22320</v>
      </c>
      <c r="N239" s="554">
        <f t="shared" si="15"/>
        <v>-40884.833333333336</v>
      </c>
      <c r="O239" s="554">
        <f t="shared" si="16"/>
        <v>4147929.9999999842</v>
      </c>
    </row>
    <row r="240" spans="10:15" x14ac:dyDescent="0.25">
      <c r="J240" s="557">
        <v>48730</v>
      </c>
      <c r="L240" s="554">
        <f t="shared" si="14"/>
        <v>0</v>
      </c>
      <c r="M240" s="558">
        <f t="shared" si="17"/>
        <v>22320</v>
      </c>
      <c r="N240" s="554">
        <f t="shared" si="15"/>
        <v>-40884.833333333336</v>
      </c>
      <c r="O240" s="554">
        <f t="shared" si="16"/>
        <v>4107045.1666666507</v>
      </c>
    </row>
    <row r="241" spans="10:15" x14ac:dyDescent="0.25">
      <c r="J241" s="557">
        <v>48760</v>
      </c>
      <c r="L241" s="554">
        <f t="shared" si="14"/>
        <v>0</v>
      </c>
      <c r="M241" s="558">
        <f t="shared" si="17"/>
        <v>22320</v>
      </c>
      <c r="N241" s="554">
        <f t="shared" si="15"/>
        <v>-40884.833333333336</v>
      </c>
      <c r="O241" s="554">
        <f t="shared" si="16"/>
        <v>4066160.3333333172</v>
      </c>
    </row>
    <row r="242" spans="10:15" x14ac:dyDescent="0.25">
      <c r="J242" s="557">
        <v>48791</v>
      </c>
      <c r="L242" s="554">
        <f t="shared" si="14"/>
        <v>0</v>
      </c>
      <c r="M242" s="558">
        <f t="shared" si="17"/>
        <v>22320</v>
      </c>
      <c r="N242" s="554">
        <f t="shared" si="15"/>
        <v>-40884.833333333336</v>
      </c>
      <c r="O242" s="554">
        <f t="shared" si="16"/>
        <v>4025275.4999999837</v>
      </c>
    </row>
    <row r="243" spans="10:15" x14ac:dyDescent="0.25">
      <c r="J243" s="557">
        <v>48822</v>
      </c>
      <c r="L243" s="554">
        <f t="shared" si="14"/>
        <v>0</v>
      </c>
      <c r="M243" s="558">
        <f t="shared" si="17"/>
        <v>22320</v>
      </c>
      <c r="N243" s="554">
        <f t="shared" si="15"/>
        <v>-40884.833333333336</v>
      </c>
      <c r="O243" s="554">
        <f t="shared" si="16"/>
        <v>3984390.6666666502</v>
      </c>
    </row>
    <row r="244" spans="10:15" x14ac:dyDescent="0.25">
      <c r="J244" s="557">
        <v>48852</v>
      </c>
      <c r="L244" s="554">
        <f t="shared" si="14"/>
        <v>0</v>
      </c>
      <c r="M244" s="558">
        <f t="shared" si="17"/>
        <v>22320</v>
      </c>
      <c r="N244" s="554">
        <f t="shared" si="15"/>
        <v>-40884.833333333336</v>
      </c>
      <c r="O244" s="554">
        <f t="shared" si="16"/>
        <v>3943505.8333333167</v>
      </c>
    </row>
    <row r="245" spans="10:15" x14ac:dyDescent="0.25">
      <c r="J245" s="557">
        <v>48883</v>
      </c>
      <c r="L245" s="554">
        <f t="shared" si="14"/>
        <v>0</v>
      </c>
      <c r="M245" s="558">
        <f t="shared" si="17"/>
        <v>22320</v>
      </c>
      <c r="N245" s="554">
        <f t="shared" si="15"/>
        <v>-40884.833333333336</v>
      </c>
      <c r="O245" s="554">
        <f t="shared" si="16"/>
        <v>3902620.9999999832</v>
      </c>
    </row>
    <row r="246" spans="10:15" x14ac:dyDescent="0.25">
      <c r="J246" s="557">
        <v>48913</v>
      </c>
      <c r="L246" s="554">
        <f t="shared" ref="L246:L309" si="18">L245-K246</f>
        <v>0</v>
      </c>
      <c r="M246" s="558">
        <f t="shared" si="17"/>
        <v>22320</v>
      </c>
      <c r="N246" s="554">
        <f t="shared" si="15"/>
        <v>-40884.833333333336</v>
      </c>
      <c r="O246" s="554">
        <f t="shared" si="16"/>
        <v>3861736.1666666497</v>
      </c>
    </row>
    <row r="247" spans="10:15" x14ac:dyDescent="0.25">
      <c r="J247" s="557">
        <v>48944</v>
      </c>
      <c r="L247" s="554">
        <f t="shared" si="18"/>
        <v>0</v>
      </c>
      <c r="M247" s="558">
        <f t="shared" si="17"/>
        <v>22320</v>
      </c>
      <c r="N247" s="554">
        <f t="shared" si="15"/>
        <v>-40884.833333333336</v>
      </c>
      <c r="O247" s="554">
        <f t="shared" si="16"/>
        <v>3820851.3333333163</v>
      </c>
    </row>
    <row r="248" spans="10:15" x14ac:dyDescent="0.25">
      <c r="J248" s="557">
        <v>48975</v>
      </c>
      <c r="L248" s="554">
        <f t="shared" si="18"/>
        <v>0</v>
      </c>
      <c r="M248" s="558">
        <f t="shared" si="17"/>
        <v>22320</v>
      </c>
      <c r="N248" s="554">
        <f t="shared" si="15"/>
        <v>-40884.833333333336</v>
      </c>
      <c r="O248" s="554">
        <f t="shared" si="16"/>
        <v>3779966.4999999828</v>
      </c>
    </row>
    <row r="249" spans="10:15" x14ac:dyDescent="0.25">
      <c r="J249" s="557">
        <v>49003</v>
      </c>
      <c r="L249" s="554">
        <f t="shared" si="18"/>
        <v>0</v>
      </c>
      <c r="M249" s="558">
        <f t="shared" si="17"/>
        <v>22320</v>
      </c>
      <c r="N249" s="554">
        <f t="shared" si="15"/>
        <v>-40884.833333333336</v>
      </c>
      <c r="O249" s="554">
        <f t="shared" si="16"/>
        <v>3739081.6666666493</v>
      </c>
    </row>
    <row r="250" spans="10:15" x14ac:dyDescent="0.25">
      <c r="J250" s="557">
        <v>49034</v>
      </c>
      <c r="L250" s="554">
        <f t="shared" si="18"/>
        <v>0</v>
      </c>
      <c r="M250" s="558">
        <f t="shared" si="17"/>
        <v>22320</v>
      </c>
      <c r="N250" s="554">
        <f t="shared" si="15"/>
        <v>-40884.833333333336</v>
      </c>
      <c r="O250" s="554">
        <f t="shared" si="16"/>
        <v>3698196.8333333158</v>
      </c>
    </row>
    <row r="251" spans="10:15" x14ac:dyDescent="0.25">
      <c r="J251" s="557">
        <v>49064</v>
      </c>
      <c r="L251" s="554">
        <f t="shared" si="18"/>
        <v>0</v>
      </c>
      <c r="M251" s="558">
        <f t="shared" si="17"/>
        <v>22320</v>
      </c>
      <c r="N251" s="554">
        <f t="shared" si="15"/>
        <v>-40884.833333333336</v>
      </c>
      <c r="O251" s="554">
        <f t="shared" si="16"/>
        <v>3657311.9999999823</v>
      </c>
    </row>
    <row r="252" spans="10:15" x14ac:dyDescent="0.25">
      <c r="J252" s="557">
        <v>49095</v>
      </c>
      <c r="L252" s="554">
        <f t="shared" si="18"/>
        <v>0</v>
      </c>
      <c r="M252" s="558">
        <f t="shared" si="17"/>
        <v>22320</v>
      </c>
      <c r="N252" s="554">
        <f t="shared" ref="N252:N315" si="19">-$F$39/12</f>
        <v>-40884.833333333336</v>
      </c>
      <c r="O252" s="554">
        <f t="shared" si="16"/>
        <v>3616427.1666666488</v>
      </c>
    </row>
    <row r="253" spans="10:15" x14ac:dyDescent="0.25">
      <c r="J253" s="557">
        <v>49125</v>
      </c>
      <c r="L253" s="554">
        <f t="shared" si="18"/>
        <v>0</v>
      </c>
      <c r="M253" s="558">
        <f t="shared" si="17"/>
        <v>22320</v>
      </c>
      <c r="N253" s="554">
        <f t="shared" si="19"/>
        <v>-40884.833333333336</v>
      </c>
      <c r="O253" s="554">
        <f t="shared" si="16"/>
        <v>3575542.3333333153</v>
      </c>
    </row>
    <row r="254" spans="10:15" x14ac:dyDescent="0.25">
      <c r="J254" s="557">
        <v>49156</v>
      </c>
      <c r="L254" s="554">
        <f t="shared" si="18"/>
        <v>0</v>
      </c>
      <c r="M254" s="558">
        <f t="shared" si="17"/>
        <v>22320</v>
      </c>
      <c r="N254" s="554">
        <f t="shared" si="19"/>
        <v>-40884.833333333336</v>
      </c>
      <c r="O254" s="554">
        <f t="shared" si="16"/>
        <v>3534657.4999999818</v>
      </c>
    </row>
    <row r="255" spans="10:15" x14ac:dyDescent="0.25">
      <c r="J255" s="557">
        <v>49187</v>
      </c>
      <c r="L255" s="554">
        <f t="shared" si="18"/>
        <v>0</v>
      </c>
      <c r="M255" s="558">
        <f t="shared" si="17"/>
        <v>22320</v>
      </c>
      <c r="N255" s="554">
        <f t="shared" si="19"/>
        <v>-40884.833333333336</v>
      </c>
      <c r="O255" s="554">
        <f t="shared" si="16"/>
        <v>3493772.6666666484</v>
      </c>
    </row>
    <row r="256" spans="10:15" x14ac:dyDescent="0.25">
      <c r="J256" s="557">
        <v>49217</v>
      </c>
      <c r="L256" s="554">
        <f t="shared" si="18"/>
        <v>0</v>
      </c>
      <c r="M256" s="558">
        <f t="shared" si="17"/>
        <v>22320</v>
      </c>
      <c r="N256" s="554">
        <f t="shared" si="19"/>
        <v>-40884.833333333336</v>
      </c>
      <c r="O256" s="554">
        <f t="shared" si="16"/>
        <v>3452887.8333333149</v>
      </c>
    </row>
    <row r="257" spans="10:15" x14ac:dyDescent="0.25">
      <c r="J257" s="557">
        <v>49248</v>
      </c>
      <c r="L257" s="554">
        <f t="shared" si="18"/>
        <v>0</v>
      </c>
      <c r="M257" s="558">
        <f t="shared" si="17"/>
        <v>22320</v>
      </c>
      <c r="N257" s="554">
        <f t="shared" si="19"/>
        <v>-40884.833333333336</v>
      </c>
      <c r="O257" s="554">
        <f t="shared" si="16"/>
        <v>3412002.9999999814</v>
      </c>
    </row>
    <row r="258" spans="10:15" x14ac:dyDescent="0.25">
      <c r="J258" s="557">
        <v>49278</v>
      </c>
      <c r="L258" s="554">
        <f t="shared" si="18"/>
        <v>0</v>
      </c>
      <c r="M258" s="558">
        <f t="shared" si="17"/>
        <v>22320</v>
      </c>
      <c r="N258" s="554">
        <f t="shared" si="19"/>
        <v>-40884.833333333336</v>
      </c>
      <c r="O258" s="554">
        <f t="shared" si="16"/>
        <v>3371118.1666666479</v>
      </c>
    </row>
    <row r="259" spans="10:15" x14ac:dyDescent="0.25">
      <c r="J259" s="557">
        <v>49309</v>
      </c>
      <c r="L259" s="554">
        <f t="shared" si="18"/>
        <v>0</v>
      </c>
      <c r="M259" s="558">
        <f t="shared" si="17"/>
        <v>22320</v>
      </c>
      <c r="N259" s="554">
        <f t="shared" si="19"/>
        <v>-40884.833333333336</v>
      </c>
      <c r="O259" s="554">
        <f t="shared" si="16"/>
        <v>3330233.3333333144</v>
      </c>
    </row>
    <row r="260" spans="10:15" x14ac:dyDescent="0.25">
      <c r="J260" s="557">
        <v>49340</v>
      </c>
      <c r="L260" s="554">
        <f t="shared" si="18"/>
        <v>0</v>
      </c>
      <c r="M260" s="558">
        <f t="shared" si="17"/>
        <v>22320</v>
      </c>
      <c r="N260" s="554">
        <f t="shared" si="19"/>
        <v>-40884.833333333336</v>
      </c>
      <c r="O260" s="554">
        <f t="shared" si="16"/>
        <v>3289348.4999999809</v>
      </c>
    </row>
    <row r="261" spans="10:15" x14ac:dyDescent="0.25">
      <c r="J261" s="557">
        <v>49368</v>
      </c>
      <c r="L261" s="554">
        <f t="shared" si="18"/>
        <v>0</v>
      </c>
      <c r="M261" s="558">
        <f t="shared" si="17"/>
        <v>22320</v>
      </c>
      <c r="N261" s="554">
        <f t="shared" si="19"/>
        <v>-40884.833333333336</v>
      </c>
      <c r="O261" s="554">
        <f t="shared" si="16"/>
        <v>3248463.6666666474</v>
      </c>
    </row>
    <row r="262" spans="10:15" x14ac:dyDescent="0.25">
      <c r="J262" s="557">
        <v>49399</v>
      </c>
      <c r="L262" s="554">
        <f t="shared" si="18"/>
        <v>0</v>
      </c>
      <c r="M262" s="558">
        <f t="shared" si="17"/>
        <v>22320</v>
      </c>
      <c r="N262" s="554">
        <f t="shared" si="19"/>
        <v>-40884.833333333336</v>
      </c>
      <c r="O262" s="554">
        <f t="shared" si="16"/>
        <v>3207578.8333333139</v>
      </c>
    </row>
    <row r="263" spans="10:15" x14ac:dyDescent="0.25">
      <c r="J263" s="557">
        <v>49429</v>
      </c>
      <c r="L263" s="554">
        <f t="shared" si="18"/>
        <v>0</v>
      </c>
      <c r="M263" s="558">
        <f t="shared" si="17"/>
        <v>22320</v>
      </c>
      <c r="N263" s="554">
        <f t="shared" si="19"/>
        <v>-40884.833333333336</v>
      </c>
      <c r="O263" s="554">
        <f t="shared" si="16"/>
        <v>3166693.9999999804</v>
      </c>
    </row>
    <row r="264" spans="10:15" x14ac:dyDescent="0.25">
      <c r="J264" s="557">
        <v>49460</v>
      </c>
      <c r="L264" s="554">
        <f t="shared" si="18"/>
        <v>0</v>
      </c>
      <c r="M264" s="558">
        <f t="shared" si="17"/>
        <v>22320</v>
      </c>
      <c r="N264" s="554">
        <f t="shared" si="19"/>
        <v>-40884.833333333336</v>
      </c>
      <c r="O264" s="554">
        <f t="shared" si="16"/>
        <v>3125809.166666647</v>
      </c>
    </row>
    <row r="265" spans="10:15" x14ac:dyDescent="0.25">
      <c r="J265" s="557">
        <v>49490</v>
      </c>
      <c r="L265" s="554">
        <f t="shared" si="18"/>
        <v>0</v>
      </c>
      <c r="M265" s="558">
        <f t="shared" si="17"/>
        <v>22320</v>
      </c>
      <c r="N265" s="554">
        <f t="shared" si="19"/>
        <v>-40884.833333333336</v>
      </c>
      <c r="O265" s="554">
        <f t="shared" si="16"/>
        <v>3084924.3333333135</v>
      </c>
    </row>
    <row r="266" spans="10:15" x14ac:dyDescent="0.25">
      <c r="J266" s="557">
        <v>49521</v>
      </c>
      <c r="L266" s="554">
        <f t="shared" si="18"/>
        <v>0</v>
      </c>
      <c r="M266" s="558">
        <f t="shared" si="17"/>
        <v>22320</v>
      </c>
      <c r="N266" s="554">
        <f t="shared" si="19"/>
        <v>-40884.833333333336</v>
      </c>
      <c r="O266" s="554">
        <f t="shared" si="16"/>
        <v>3044039.49999998</v>
      </c>
    </row>
    <row r="267" spans="10:15" x14ac:dyDescent="0.25">
      <c r="J267" s="557">
        <v>49552</v>
      </c>
      <c r="L267" s="554">
        <f t="shared" si="18"/>
        <v>0</v>
      </c>
      <c r="M267" s="558">
        <f t="shared" si="17"/>
        <v>22320</v>
      </c>
      <c r="N267" s="554">
        <f t="shared" si="19"/>
        <v>-40884.833333333336</v>
      </c>
      <c r="O267" s="554">
        <f t="shared" si="16"/>
        <v>3003154.6666666465</v>
      </c>
    </row>
    <row r="268" spans="10:15" x14ac:dyDescent="0.25">
      <c r="J268" s="557">
        <v>49582</v>
      </c>
      <c r="L268" s="554">
        <f t="shared" si="18"/>
        <v>0</v>
      </c>
      <c r="M268" s="558">
        <f t="shared" si="17"/>
        <v>22320</v>
      </c>
      <c r="N268" s="554">
        <f t="shared" si="19"/>
        <v>-40884.833333333336</v>
      </c>
      <c r="O268" s="554">
        <f t="shared" si="16"/>
        <v>2962269.833333313</v>
      </c>
    </row>
    <row r="269" spans="10:15" x14ac:dyDescent="0.25">
      <c r="J269" s="557">
        <v>49613</v>
      </c>
      <c r="L269" s="554">
        <f t="shared" si="18"/>
        <v>0</v>
      </c>
      <c r="M269" s="558">
        <f t="shared" si="17"/>
        <v>22320</v>
      </c>
      <c r="N269" s="554">
        <f t="shared" si="19"/>
        <v>-40884.833333333336</v>
      </c>
      <c r="O269" s="554">
        <f t="shared" si="16"/>
        <v>2921384.9999999795</v>
      </c>
    </row>
    <row r="270" spans="10:15" x14ac:dyDescent="0.25">
      <c r="J270" s="557">
        <v>49643</v>
      </c>
      <c r="L270" s="554">
        <f t="shared" si="18"/>
        <v>0</v>
      </c>
      <c r="M270" s="558">
        <f t="shared" si="17"/>
        <v>22320</v>
      </c>
      <c r="N270" s="554">
        <f t="shared" si="19"/>
        <v>-40884.833333333336</v>
      </c>
      <c r="O270" s="554">
        <f t="shared" si="16"/>
        <v>2880500.166666646</v>
      </c>
    </row>
    <row r="271" spans="10:15" x14ac:dyDescent="0.25">
      <c r="J271" s="557">
        <v>49674</v>
      </c>
      <c r="L271" s="554">
        <f t="shared" si="18"/>
        <v>0</v>
      </c>
      <c r="M271" s="558">
        <f t="shared" si="17"/>
        <v>22320</v>
      </c>
      <c r="N271" s="554">
        <f t="shared" si="19"/>
        <v>-40884.833333333336</v>
      </c>
      <c r="O271" s="554">
        <f t="shared" si="16"/>
        <v>2839615.3333333125</v>
      </c>
    </row>
    <row r="272" spans="10:15" x14ac:dyDescent="0.25">
      <c r="J272" s="557">
        <v>49705</v>
      </c>
      <c r="L272" s="554">
        <f t="shared" si="18"/>
        <v>0</v>
      </c>
      <c r="M272" s="558">
        <f t="shared" si="17"/>
        <v>22320</v>
      </c>
      <c r="N272" s="554">
        <f t="shared" si="19"/>
        <v>-40884.833333333336</v>
      </c>
      <c r="O272" s="554">
        <f t="shared" si="16"/>
        <v>2798730.499999979</v>
      </c>
    </row>
    <row r="273" spans="10:15" x14ac:dyDescent="0.25">
      <c r="J273" s="557">
        <v>49734</v>
      </c>
      <c r="L273" s="554">
        <f t="shared" si="18"/>
        <v>0</v>
      </c>
      <c r="M273" s="558">
        <f t="shared" si="17"/>
        <v>22320</v>
      </c>
      <c r="N273" s="554">
        <f t="shared" si="19"/>
        <v>-40884.833333333336</v>
      </c>
      <c r="O273" s="554">
        <f t="shared" si="16"/>
        <v>2757845.6666666456</v>
      </c>
    </row>
    <row r="274" spans="10:15" x14ac:dyDescent="0.25">
      <c r="J274" s="557">
        <v>49765</v>
      </c>
      <c r="L274" s="554">
        <f t="shared" si="18"/>
        <v>0</v>
      </c>
      <c r="M274" s="558">
        <f t="shared" si="17"/>
        <v>22320</v>
      </c>
      <c r="N274" s="554">
        <f t="shared" si="19"/>
        <v>-40884.833333333336</v>
      </c>
      <c r="O274" s="554">
        <f t="shared" si="16"/>
        <v>2716960.8333333121</v>
      </c>
    </row>
    <row r="275" spans="10:15" x14ac:dyDescent="0.25">
      <c r="J275" s="557">
        <v>49795</v>
      </c>
      <c r="L275" s="554">
        <f t="shared" si="18"/>
        <v>0</v>
      </c>
      <c r="M275" s="558">
        <f t="shared" si="17"/>
        <v>22320</v>
      </c>
      <c r="N275" s="554">
        <f t="shared" si="19"/>
        <v>-40884.833333333336</v>
      </c>
      <c r="O275" s="554">
        <f t="shared" ref="O275:O338" si="20">O274+N275</f>
        <v>2676075.9999999786</v>
      </c>
    </row>
    <row r="276" spans="10:15" x14ac:dyDescent="0.25">
      <c r="J276" s="557">
        <v>49826</v>
      </c>
      <c r="L276" s="554">
        <f t="shared" si="18"/>
        <v>0</v>
      </c>
      <c r="M276" s="558">
        <f t="shared" ref="M276:M339" si="21">$F$28</f>
        <v>22320</v>
      </c>
      <c r="N276" s="554">
        <f t="shared" si="19"/>
        <v>-40884.833333333336</v>
      </c>
      <c r="O276" s="554">
        <f t="shared" si="20"/>
        <v>2635191.1666666451</v>
      </c>
    </row>
    <row r="277" spans="10:15" x14ac:dyDescent="0.25">
      <c r="J277" s="557">
        <v>49856</v>
      </c>
      <c r="L277" s="554">
        <f t="shared" si="18"/>
        <v>0</v>
      </c>
      <c r="M277" s="558">
        <f t="shared" si="21"/>
        <v>22320</v>
      </c>
      <c r="N277" s="554">
        <f t="shared" si="19"/>
        <v>-40884.833333333336</v>
      </c>
      <c r="O277" s="554">
        <f t="shared" si="20"/>
        <v>2594306.3333333116</v>
      </c>
    </row>
    <row r="278" spans="10:15" x14ac:dyDescent="0.25">
      <c r="J278" s="557">
        <v>49887</v>
      </c>
      <c r="L278" s="554">
        <f t="shared" si="18"/>
        <v>0</v>
      </c>
      <c r="M278" s="558">
        <f t="shared" si="21"/>
        <v>22320</v>
      </c>
      <c r="N278" s="554">
        <f t="shared" si="19"/>
        <v>-40884.833333333336</v>
      </c>
      <c r="O278" s="554">
        <f t="shared" si="20"/>
        <v>2553421.4999999781</v>
      </c>
    </row>
    <row r="279" spans="10:15" x14ac:dyDescent="0.25">
      <c r="J279" s="557">
        <v>49918</v>
      </c>
      <c r="L279" s="554">
        <f t="shared" si="18"/>
        <v>0</v>
      </c>
      <c r="M279" s="558">
        <f t="shared" si="21"/>
        <v>22320</v>
      </c>
      <c r="N279" s="554">
        <f t="shared" si="19"/>
        <v>-40884.833333333336</v>
      </c>
      <c r="O279" s="554">
        <f t="shared" si="20"/>
        <v>2512536.6666666446</v>
      </c>
    </row>
    <row r="280" spans="10:15" x14ac:dyDescent="0.25">
      <c r="J280" s="557">
        <v>49948</v>
      </c>
      <c r="L280" s="554">
        <f t="shared" si="18"/>
        <v>0</v>
      </c>
      <c r="M280" s="558">
        <f t="shared" si="21"/>
        <v>22320</v>
      </c>
      <c r="N280" s="554">
        <f t="shared" si="19"/>
        <v>-40884.833333333336</v>
      </c>
      <c r="O280" s="554">
        <f t="shared" si="20"/>
        <v>2471651.8333333111</v>
      </c>
    </row>
    <row r="281" spans="10:15" x14ac:dyDescent="0.25">
      <c r="J281" s="557">
        <v>49979</v>
      </c>
      <c r="L281" s="554">
        <f t="shared" si="18"/>
        <v>0</v>
      </c>
      <c r="M281" s="558">
        <f t="shared" si="21"/>
        <v>22320</v>
      </c>
      <c r="N281" s="554">
        <f t="shared" si="19"/>
        <v>-40884.833333333336</v>
      </c>
      <c r="O281" s="554">
        <f t="shared" si="20"/>
        <v>2430766.9999999776</v>
      </c>
    </row>
    <row r="282" spans="10:15" x14ac:dyDescent="0.25">
      <c r="J282" s="557">
        <v>50009</v>
      </c>
      <c r="L282" s="554">
        <f t="shared" si="18"/>
        <v>0</v>
      </c>
      <c r="M282" s="558">
        <f t="shared" si="21"/>
        <v>22320</v>
      </c>
      <c r="N282" s="554">
        <f t="shared" si="19"/>
        <v>-40884.833333333336</v>
      </c>
      <c r="O282" s="554">
        <f t="shared" si="20"/>
        <v>2389882.1666666442</v>
      </c>
    </row>
    <row r="283" spans="10:15" x14ac:dyDescent="0.25">
      <c r="J283" s="557">
        <v>50040</v>
      </c>
      <c r="L283" s="554">
        <f t="shared" si="18"/>
        <v>0</v>
      </c>
      <c r="M283" s="558">
        <f t="shared" si="21"/>
        <v>22320</v>
      </c>
      <c r="N283" s="554">
        <f t="shared" si="19"/>
        <v>-40884.833333333336</v>
      </c>
      <c r="O283" s="554">
        <f t="shared" si="20"/>
        <v>2348997.3333333107</v>
      </c>
    </row>
    <row r="284" spans="10:15" x14ac:dyDescent="0.25">
      <c r="J284" s="557">
        <v>50071</v>
      </c>
      <c r="L284" s="554">
        <f t="shared" si="18"/>
        <v>0</v>
      </c>
      <c r="M284" s="558">
        <f t="shared" si="21"/>
        <v>22320</v>
      </c>
      <c r="N284" s="554">
        <f t="shared" si="19"/>
        <v>-40884.833333333336</v>
      </c>
      <c r="O284" s="554">
        <f t="shared" si="20"/>
        <v>2308112.4999999772</v>
      </c>
    </row>
    <row r="285" spans="10:15" x14ac:dyDescent="0.25">
      <c r="J285" s="557">
        <v>50099</v>
      </c>
      <c r="L285" s="554">
        <f t="shared" si="18"/>
        <v>0</v>
      </c>
      <c r="M285" s="558">
        <f t="shared" si="21"/>
        <v>22320</v>
      </c>
      <c r="N285" s="554">
        <f t="shared" si="19"/>
        <v>-40884.833333333336</v>
      </c>
      <c r="O285" s="554">
        <f t="shared" si="20"/>
        <v>2267227.6666666437</v>
      </c>
    </row>
    <row r="286" spans="10:15" x14ac:dyDescent="0.25">
      <c r="J286" s="557">
        <v>50130</v>
      </c>
      <c r="L286" s="554">
        <f t="shared" si="18"/>
        <v>0</v>
      </c>
      <c r="M286" s="558">
        <f t="shared" si="21"/>
        <v>22320</v>
      </c>
      <c r="N286" s="554">
        <f t="shared" si="19"/>
        <v>-40884.833333333336</v>
      </c>
      <c r="O286" s="554">
        <f t="shared" si="20"/>
        <v>2226342.8333333102</v>
      </c>
    </row>
    <row r="287" spans="10:15" x14ac:dyDescent="0.25">
      <c r="J287" s="557">
        <v>50160</v>
      </c>
      <c r="L287" s="554">
        <f t="shared" si="18"/>
        <v>0</v>
      </c>
      <c r="M287" s="558">
        <f t="shared" si="21"/>
        <v>22320</v>
      </c>
      <c r="N287" s="554">
        <f t="shared" si="19"/>
        <v>-40884.833333333336</v>
      </c>
      <c r="O287" s="554">
        <f t="shared" si="20"/>
        <v>2185457.9999999767</v>
      </c>
    </row>
    <row r="288" spans="10:15" x14ac:dyDescent="0.25">
      <c r="J288" s="557">
        <v>50191</v>
      </c>
      <c r="L288" s="554">
        <f t="shared" si="18"/>
        <v>0</v>
      </c>
      <c r="M288" s="558">
        <f t="shared" si="21"/>
        <v>22320</v>
      </c>
      <c r="N288" s="554">
        <f t="shared" si="19"/>
        <v>-40884.833333333336</v>
      </c>
      <c r="O288" s="554">
        <f t="shared" si="20"/>
        <v>2144573.1666666432</v>
      </c>
    </row>
    <row r="289" spans="10:15" x14ac:dyDescent="0.25">
      <c r="J289" s="557">
        <v>50221</v>
      </c>
      <c r="L289" s="554">
        <f t="shared" si="18"/>
        <v>0</v>
      </c>
      <c r="M289" s="558">
        <f t="shared" si="21"/>
        <v>22320</v>
      </c>
      <c r="N289" s="554">
        <f t="shared" si="19"/>
        <v>-40884.833333333336</v>
      </c>
      <c r="O289" s="554">
        <f t="shared" si="20"/>
        <v>2103688.3333333097</v>
      </c>
    </row>
    <row r="290" spans="10:15" x14ac:dyDescent="0.25">
      <c r="J290" s="557">
        <v>50252</v>
      </c>
      <c r="L290" s="554">
        <f t="shared" si="18"/>
        <v>0</v>
      </c>
      <c r="M290" s="558">
        <f t="shared" si="21"/>
        <v>22320</v>
      </c>
      <c r="N290" s="554">
        <f t="shared" si="19"/>
        <v>-40884.833333333336</v>
      </c>
      <c r="O290" s="554">
        <f t="shared" si="20"/>
        <v>2062803.4999999765</v>
      </c>
    </row>
    <row r="291" spans="10:15" x14ac:dyDescent="0.25">
      <c r="J291" s="557">
        <v>50283</v>
      </c>
      <c r="L291" s="554">
        <f t="shared" si="18"/>
        <v>0</v>
      </c>
      <c r="M291" s="558">
        <f t="shared" si="21"/>
        <v>22320</v>
      </c>
      <c r="N291" s="554">
        <f t="shared" si="19"/>
        <v>-40884.833333333336</v>
      </c>
      <c r="O291" s="554">
        <f t="shared" si="20"/>
        <v>2021918.6666666432</v>
      </c>
    </row>
    <row r="292" spans="10:15" x14ac:dyDescent="0.25">
      <c r="J292" s="557">
        <v>50313</v>
      </c>
      <c r="L292" s="554">
        <f t="shared" si="18"/>
        <v>0</v>
      </c>
      <c r="M292" s="558">
        <f t="shared" si="21"/>
        <v>22320</v>
      </c>
      <c r="N292" s="554">
        <f t="shared" si="19"/>
        <v>-40884.833333333336</v>
      </c>
      <c r="O292" s="554">
        <f t="shared" si="20"/>
        <v>1981033.83333331</v>
      </c>
    </row>
    <row r="293" spans="10:15" x14ac:dyDescent="0.25">
      <c r="J293" s="557">
        <v>50344</v>
      </c>
      <c r="L293" s="554">
        <f t="shared" si="18"/>
        <v>0</v>
      </c>
      <c r="M293" s="558">
        <f t="shared" si="21"/>
        <v>22320</v>
      </c>
      <c r="N293" s="554">
        <f t="shared" si="19"/>
        <v>-40884.833333333336</v>
      </c>
      <c r="O293" s="554">
        <f t="shared" si="20"/>
        <v>1940148.9999999767</v>
      </c>
    </row>
    <row r="294" spans="10:15" x14ac:dyDescent="0.25">
      <c r="J294" s="557">
        <v>50374</v>
      </c>
      <c r="L294" s="554">
        <f t="shared" si="18"/>
        <v>0</v>
      </c>
      <c r="M294" s="558">
        <f t="shared" si="21"/>
        <v>22320</v>
      </c>
      <c r="N294" s="554">
        <f t="shared" si="19"/>
        <v>-40884.833333333336</v>
      </c>
      <c r="O294" s="554">
        <f t="shared" si="20"/>
        <v>1899264.1666666435</v>
      </c>
    </row>
    <row r="295" spans="10:15" x14ac:dyDescent="0.25">
      <c r="J295" s="557">
        <v>50405</v>
      </c>
      <c r="L295" s="554">
        <f t="shared" si="18"/>
        <v>0</v>
      </c>
      <c r="M295" s="558">
        <f t="shared" si="21"/>
        <v>22320</v>
      </c>
      <c r="N295" s="554">
        <f t="shared" si="19"/>
        <v>-40884.833333333336</v>
      </c>
      <c r="O295" s="554">
        <f t="shared" si="20"/>
        <v>1858379.3333333102</v>
      </c>
    </row>
    <row r="296" spans="10:15" x14ac:dyDescent="0.25">
      <c r="J296" s="557">
        <v>50436</v>
      </c>
      <c r="L296" s="554">
        <f t="shared" si="18"/>
        <v>0</v>
      </c>
      <c r="M296" s="558">
        <f t="shared" si="21"/>
        <v>22320</v>
      </c>
      <c r="N296" s="554">
        <f t="shared" si="19"/>
        <v>-40884.833333333336</v>
      </c>
      <c r="O296" s="554">
        <f t="shared" si="20"/>
        <v>1817494.4999999769</v>
      </c>
    </row>
    <row r="297" spans="10:15" x14ac:dyDescent="0.25">
      <c r="J297" s="557">
        <v>50464</v>
      </c>
      <c r="L297" s="554">
        <f t="shared" si="18"/>
        <v>0</v>
      </c>
      <c r="M297" s="558">
        <f t="shared" si="21"/>
        <v>22320</v>
      </c>
      <c r="N297" s="554">
        <f t="shared" si="19"/>
        <v>-40884.833333333336</v>
      </c>
      <c r="O297" s="554">
        <f t="shared" si="20"/>
        <v>1776609.6666666437</v>
      </c>
    </row>
    <row r="298" spans="10:15" x14ac:dyDescent="0.25">
      <c r="J298" s="557">
        <v>50495</v>
      </c>
      <c r="L298" s="554">
        <f t="shared" si="18"/>
        <v>0</v>
      </c>
      <c r="M298" s="558">
        <f t="shared" si="21"/>
        <v>22320</v>
      </c>
      <c r="N298" s="554">
        <f t="shared" si="19"/>
        <v>-40884.833333333336</v>
      </c>
      <c r="O298" s="554">
        <f t="shared" si="20"/>
        <v>1735724.8333333104</v>
      </c>
    </row>
    <row r="299" spans="10:15" x14ac:dyDescent="0.25">
      <c r="J299" s="557">
        <v>50525</v>
      </c>
      <c r="L299" s="554">
        <f t="shared" si="18"/>
        <v>0</v>
      </c>
      <c r="M299" s="558">
        <f t="shared" si="21"/>
        <v>22320</v>
      </c>
      <c r="N299" s="554">
        <f t="shared" si="19"/>
        <v>-40884.833333333336</v>
      </c>
      <c r="O299" s="554">
        <f t="shared" si="20"/>
        <v>1694839.9999999772</v>
      </c>
    </row>
    <row r="300" spans="10:15" x14ac:dyDescent="0.25">
      <c r="J300" s="557">
        <v>50556</v>
      </c>
      <c r="L300" s="554">
        <f t="shared" si="18"/>
        <v>0</v>
      </c>
      <c r="M300" s="558">
        <f t="shared" si="21"/>
        <v>22320</v>
      </c>
      <c r="N300" s="554">
        <f t="shared" si="19"/>
        <v>-40884.833333333336</v>
      </c>
      <c r="O300" s="554">
        <f t="shared" si="20"/>
        <v>1653955.1666666439</v>
      </c>
    </row>
    <row r="301" spans="10:15" x14ac:dyDescent="0.25">
      <c r="J301" s="557">
        <v>50586</v>
      </c>
      <c r="L301" s="554">
        <f t="shared" si="18"/>
        <v>0</v>
      </c>
      <c r="M301" s="558">
        <f t="shared" si="21"/>
        <v>22320</v>
      </c>
      <c r="N301" s="554">
        <f t="shared" si="19"/>
        <v>-40884.833333333336</v>
      </c>
      <c r="O301" s="554">
        <f t="shared" si="20"/>
        <v>1613070.3333333107</v>
      </c>
    </row>
    <row r="302" spans="10:15" x14ac:dyDescent="0.25">
      <c r="J302" s="557">
        <v>50617</v>
      </c>
      <c r="L302" s="554">
        <f t="shared" si="18"/>
        <v>0</v>
      </c>
      <c r="M302" s="558">
        <f t="shared" si="21"/>
        <v>22320</v>
      </c>
      <c r="N302" s="554">
        <f t="shared" si="19"/>
        <v>-40884.833333333336</v>
      </c>
      <c r="O302" s="554">
        <f t="shared" si="20"/>
        <v>1572185.4999999774</v>
      </c>
    </row>
    <row r="303" spans="10:15" x14ac:dyDescent="0.25">
      <c r="J303" s="557">
        <v>50648</v>
      </c>
      <c r="L303" s="554">
        <f t="shared" si="18"/>
        <v>0</v>
      </c>
      <c r="M303" s="558">
        <f t="shared" si="21"/>
        <v>22320</v>
      </c>
      <c r="N303" s="554">
        <f t="shared" si="19"/>
        <v>-40884.833333333336</v>
      </c>
      <c r="O303" s="554">
        <f t="shared" si="20"/>
        <v>1531300.6666666442</v>
      </c>
    </row>
    <row r="304" spans="10:15" x14ac:dyDescent="0.25">
      <c r="J304" s="557">
        <v>50678</v>
      </c>
      <c r="L304" s="554">
        <f t="shared" si="18"/>
        <v>0</v>
      </c>
      <c r="M304" s="558">
        <f t="shared" si="21"/>
        <v>22320</v>
      </c>
      <c r="N304" s="554">
        <f t="shared" si="19"/>
        <v>-40884.833333333336</v>
      </c>
      <c r="O304" s="554">
        <f t="shared" si="20"/>
        <v>1490415.8333333109</v>
      </c>
    </row>
    <row r="305" spans="10:15" x14ac:dyDescent="0.25">
      <c r="J305" s="557">
        <v>50709</v>
      </c>
      <c r="L305" s="554">
        <f t="shared" si="18"/>
        <v>0</v>
      </c>
      <c r="M305" s="558">
        <f t="shared" si="21"/>
        <v>22320</v>
      </c>
      <c r="N305" s="554">
        <f t="shared" si="19"/>
        <v>-40884.833333333336</v>
      </c>
      <c r="O305" s="554">
        <f t="shared" si="20"/>
        <v>1449530.9999999776</v>
      </c>
    </row>
    <row r="306" spans="10:15" x14ac:dyDescent="0.25">
      <c r="J306" s="557">
        <v>50739</v>
      </c>
      <c r="L306" s="554">
        <f t="shared" si="18"/>
        <v>0</v>
      </c>
      <c r="M306" s="558">
        <f t="shared" si="21"/>
        <v>22320</v>
      </c>
      <c r="N306" s="554">
        <f t="shared" si="19"/>
        <v>-40884.833333333336</v>
      </c>
      <c r="O306" s="554">
        <f t="shared" si="20"/>
        <v>1408646.1666666444</v>
      </c>
    </row>
    <row r="307" spans="10:15" x14ac:dyDescent="0.25">
      <c r="J307" s="557">
        <v>50770</v>
      </c>
      <c r="L307" s="554">
        <f t="shared" si="18"/>
        <v>0</v>
      </c>
      <c r="M307" s="558">
        <f t="shared" si="21"/>
        <v>22320</v>
      </c>
      <c r="N307" s="554">
        <f t="shared" si="19"/>
        <v>-40884.833333333336</v>
      </c>
      <c r="O307" s="554">
        <f t="shared" si="20"/>
        <v>1367761.3333333111</v>
      </c>
    </row>
    <row r="308" spans="10:15" x14ac:dyDescent="0.25">
      <c r="J308" s="557">
        <v>50801</v>
      </c>
      <c r="L308" s="554">
        <f t="shared" si="18"/>
        <v>0</v>
      </c>
      <c r="M308" s="558">
        <f t="shared" si="21"/>
        <v>22320</v>
      </c>
      <c r="N308" s="554">
        <f t="shared" si="19"/>
        <v>-40884.833333333336</v>
      </c>
      <c r="O308" s="554">
        <f t="shared" si="20"/>
        <v>1326876.4999999779</v>
      </c>
    </row>
    <row r="309" spans="10:15" x14ac:dyDescent="0.25">
      <c r="J309" s="557">
        <v>50829</v>
      </c>
      <c r="L309" s="554">
        <f t="shared" si="18"/>
        <v>0</v>
      </c>
      <c r="M309" s="558">
        <f t="shared" si="21"/>
        <v>22320</v>
      </c>
      <c r="N309" s="554">
        <f t="shared" si="19"/>
        <v>-40884.833333333336</v>
      </c>
      <c r="O309" s="554">
        <f t="shared" si="20"/>
        <v>1285991.6666666446</v>
      </c>
    </row>
    <row r="310" spans="10:15" x14ac:dyDescent="0.25">
      <c r="J310" s="557">
        <v>50860</v>
      </c>
      <c r="L310" s="554">
        <f t="shared" ref="L310:L341" si="22">L309-K310</f>
        <v>0</v>
      </c>
      <c r="M310" s="558">
        <f t="shared" si="21"/>
        <v>22320</v>
      </c>
      <c r="N310" s="554">
        <f t="shared" si="19"/>
        <v>-40884.833333333336</v>
      </c>
      <c r="O310" s="554">
        <f t="shared" si="20"/>
        <v>1245106.8333333114</v>
      </c>
    </row>
    <row r="311" spans="10:15" x14ac:dyDescent="0.25">
      <c r="J311" s="557">
        <v>50890</v>
      </c>
      <c r="L311" s="554">
        <f t="shared" si="22"/>
        <v>0</v>
      </c>
      <c r="M311" s="558">
        <f t="shared" si="21"/>
        <v>22320</v>
      </c>
      <c r="N311" s="554">
        <f t="shared" si="19"/>
        <v>-40884.833333333336</v>
      </c>
      <c r="O311" s="554">
        <f t="shared" si="20"/>
        <v>1204221.9999999781</v>
      </c>
    </row>
    <row r="312" spans="10:15" x14ac:dyDescent="0.25">
      <c r="J312" s="557">
        <v>50921</v>
      </c>
      <c r="L312" s="554">
        <f t="shared" si="22"/>
        <v>0</v>
      </c>
      <c r="M312" s="558">
        <f t="shared" si="21"/>
        <v>22320</v>
      </c>
      <c r="N312" s="554">
        <f t="shared" si="19"/>
        <v>-40884.833333333336</v>
      </c>
      <c r="O312" s="554">
        <f t="shared" si="20"/>
        <v>1163337.1666666449</v>
      </c>
    </row>
    <row r="313" spans="10:15" x14ac:dyDescent="0.25">
      <c r="J313" s="557">
        <v>50951</v>
      </c>
      <c r="L313" s="554">
        <f t="shared" si="22"/>
        <v>0</v>
      </c>
      <c r="M313" s="558">
        <f t="shared" si="21"/>
        <v>22320</v>
      </c>
      <c r="N313" s="554">
        <f t="shared" si="19"/>
        <v>-40884.833333333336</v>
      </c>
      <c r="O313" s="554">
        <f t="shared" si="20"/>
        <v>1122452.3333333116</v>
      </c>
    </row>
    <row r="314" spans="10:15" x14ac:dyDescent="0.25">
      <c r="J314" s="557">
        <v>50982</v>
      </c>
      <c r="L314" s="554">
        <f t="shared" si="22"/>
        <v>0</v>
      </c>
      <c r="M314" s="558">
        <f t="shared" si="21"/>
        <v>22320</v>
      </c>
      <c r="N314" s="554">
        <f t="shared" si="19"/>
        <v>-40884.833333333336</v>
      </c>
      <c r="O314" s="554">
        <f t="shared" si="20"/>
        <v>1081567.4999999783</v>
      </c>
    </row>
    <row r="315" spans="10:15" x14ac:dyDescent="0.25">
      <c r="J315" s="557">
        <v>51013</v>
      </c>
      <c r="L315" s="554">
        <f t="shared" si="22"/>
        <v>0</v>
      </c>
      <c r="M315" s="558">
        <f t="shared" si="21"/>
        <v>22320</v>
      </c>
      <c r="N315" s="554">
        <f t="shared" si="19"/>
        <v>-40884.833333333336</v>
      </c>
      <c r="O315" s="554">
        <f t="shared" si="20"/>
        <v>1040682.666666645</v>
      </c>
    </row>
    <row r="316" spans="10:15" x14ac:dyDescent="0.25">
      <c r="J316" s="557">
        <v>51043</v>
      </c>
      <c r="L316" s="554">
        <f t="shared" si="22"/>
        <v>0</v>
      </c>
      <c r="M316" s="558">
        <f t="shared" si="21"/>
        <v>22320</v>
      </c>
      <c r="N316" s="554">
        <f t="shared" ref="N316:N340" si="23">-$F$39/12</f>
        <v>-40884.833333333336</v>
      </c>
      <c r="O316" s="554">
        <f t="shared" si="20"/>
        <v>999797.8333333116</v>
      </c>
    </row>
    <row r="317" spans="10:15" x14ac:dyDescent="0.25">
      <c r="J317" s="557">
        <v>51074</v>
      </c>
      <c r="L317" s="554">
        <f t="shared" si="22"/>
        <v>0</v>
      </c>
      <c r="M317" s="558">
        <f t="shared" si="21"/>
        <v>22320</v>
      </c>
      <c r="N317" s="554">
        <f t="shared" si="23"/>
        <v>-40884.833333333336</v>
      </c>
      <c r="O317" s="554">
        <f t="shared" si="20"/>
        <v>958912.99999997823</v>
      </c>
    </row>
    <row r="318" spans="10:15" x14ac:dyDescent="0.25">
      <c r="J318" s="557">
        <v>51104</v>
      </c>
      <c r="L318" s="554">
        <f t="shared" si="22"/>
        <v>0</v>
      </c>
      <c r="M318" s="558">
        <f t="shared" si="21"/>
        <v>22320</v>
      </c>
      <c r="N318" s="554">
        <f t="shared" si="23"/>
        <v>-40884.833333333336</v>
      </c>
      <c r="O318" s="554">
        <f t="shared" si="20"/>
        <v>918028.16666664486</v>
      </c>
    </row>
    <row r="319" spans="10:15" x14ac:dyDescent="0.25">
      <c r="J319" s="557">
        <v>51135</v>
      </c>
      <c r="L319" s="554">
        <f t="shared" si="22"/>
        <v>0</v>
      </c>
      <c r="M319" s="558">
        <f t="shared" si="21"/>
        <v>22320</v>
      </c>
      <c r="N319" s="554">
        <f t="shared" si="23"/>
        <v>-40884.833333333336</v>
      </c>
      <c r="O319" s="554">
        <f t="shared" si="20"/>
        <v>877143.33333331149</v>
      </c>
    </row>
    <row r="320" spans="10:15" x14ac:dyDescent="0.25">
      <c r="J320" s="557">
        <v>51166</v>
      </c>
      <c r="L320" s="554">
        <f t="shared" si="22"/>
        <v>0</v>
      </c>
      <c r="M320" s="558">
        <f t="shared" si="21"/>
        <v>22320</v>
      </c>
      <c r="N320" s="554">
        <f t="shared" si="23"/>
        <v>-40884.833333333336</v>
      </c>
      <c r="O320" s="554">
        <f t="shared" si="20"/>
        <v>836258.49999997811</v>
      </c>
    </row>
    <row r="321" spans="10:15" x14ac:dyDescent="0.25">
      <c r="J321" s="557">
        <v>51195</v>
      </c>
      <c r="L321" s="554">
        <f t="shared" si="22"/>
        <v>0</v>
      </c>
      <c r="M321" s="558">
        <f t="shared" si="21"/>
        <v>22320</v>
      </c>
      <c r="N321" s="554">
        <f t="shared" si="23"/>
        <v>-40884.833333333336</v>
      </c>
      <c r="O321" s="554">
        <f t="shared" si="20"/>
        <v>795373.66666664474</v>
      </c>
    </row>
    <row r="322" spans="10:15" x14ac:dyDescent="0.25">
      <c r="J322" s="557">
        <v>51226</v>
      </c>
      <c r="L322" s="554">
        <f t="shared" si="22"/>
        <v>0</v>
      </c>
      <c r="M322" s="558">
        <f t="shared" si="21"/>
        <v>22320</v>
      </c>
      <c r="N322" s="554">
        <f t="shared" si="23"/>
        <v>-40884.833333333336</v>
      </c>
      <c r="O322" s="554">
        <f t="shared" si="20"/>
        <v>754488.83333331137</v>
      </c>
    </row>
    <row r="323" spans="10:15" x14ac:dyDescent="0.25">
      <c r="J323" s="557">
        <v>51256</v>
      </c>
      <c r="L323" s="554">
        <f t="shared" si="22"/>
        <v>0</v>
      </c>
      <c r="M323" s="558">
        <f t="shared" si="21"/>
        <v>22320</v>
      </c>
      <c r="N323" s="554">
        <f t="shared" si="23"/>
        <v>-40884.833333333336</v>
      </c>
      <c r="O323" s="554">
        <f t="shared" si="20"/>
        <v>713603.999999978</v>
      </c>
    </row>
    <row r="324" spans="10:15" x14ac:dyDescent="0.25">
      <c r="J324" s="557">
        <v>51287</v>
      </c>
      <c r="L324" s="554">
        <f t="shared" si="22"/>
        <v>0</v>
      </c>
      <c r="M324" s="558">
        <f t="shared" si="21"/>
        <v>22320</v>
      </c>
      <c r="N324" s="554">
        <f t="shared" si="23"/>
        <v>-40884.833333333336</v>
      </c>
      <c r="O324" s="554">
        <f t="shared" si="20"/>
        <v>672719.16666664463</v>
      </c>
    </row>
    <row r="325" spans="10:15" x14ac:dyDescent="0.25">
      <c r="J325" s="557">
        <v>51317</v>
      </c>
      <c r="L325" s="554">
        <f t="shared" si="22"/>
        <v>0</v>
      </c>
      <c r="M325" s="558">
        <f t="shared" si="21"/>
        <v>22320</v>
      </c>
      <c r="N325" s="554">
        <f t="shared" si="23"/>
        <v>-40884.833333333336</v>
      </c>
      <c r="O325" s="554">
        <f t="shared" si="20"/>
        <v>631834.33333331125</v>
      </c>
    </row>
    <row r="326" spans="10:15" x14ac:dyDescent="0.25">
      <c r="J326" s="557">
        <v>51348</v>
      </c>
      <c r="L326" s="554">
        <f t="shared" si="22"/>
        <v>0</v>
      </c>
      <c r="M326" s="558">
        <f t="shared" si="21"/>
        <v>22320</v>
      </c>
      <c r="N326" s="554">
        <f t="shared" si="23"/>
        <v>-40884.833333333336</v>
      </c>
      <c r="O326" s="554">
        <f t="shared" si="20"/>
        <v>590949.49999997788</v>
      </c>
    </row>
    <row r="327" spans="10:15" x14ac:dyDescent="0.25">
      <c r="J327" s="557">
        <v>51379</v>
      </c>
      <c r="L327" s="554">
        <f t="shared" si="22"/>
        <v>0</v>
      </c>
      <c r="M327" s="558">
        <f t="shared" si="21"/>
        <v>22320</v>
      </c>
      <c r="N327" s="554">
        <f t="shared" si="23"/>
        <v>-40884.833333333336</v>
      </c>
      <c r="O327" s="554">
        <f t="shared" si="20"/>
        <v>550064.66666664451</v>
      </c>
    </row>
    <row r="328" spans="10:15" x14ac:dyDescent="0.25">
      <c r="J328" s="557">
        <v>51409</v>
      </c>
      <c r="L328" s="554">
        <f t="shared" si="22"/>
        <v>0</v>
      </c>
      <c r="M328" s="558">
        <f t="shared" si="21"/>
        <v>22320</v>
      </c>
      <c r="N328" s="554">
        <f t="shared" si="23"/>
        <v>-40884.833333333336</v>
      </c>
      <c r="O328" s="554">
        <f t="shared" si="20"/>
        <v>509179.8333333112</v>
      </c>
    </row>
    <row r="329" spans="10:15" x14ac:dyDescent="0.25">
      <c r="J329" s="557">
        <v>51440</v>
      </c>
      <c r="L329" s="554">
        <f t="shared" si="22"/>
        <v>0</v>
      </c>
      <c r="M329" s="558">
        <f t="shared" si="21"/>
        <v>22320</v>
      </c>
      <c r="N329" s="554">
        <f t="shared" si="23"/>
        <v>-40884.833333333336</v>
      </c>
      <c r="O329" s="554">
        <f t="shared" si="20"/>
        <v>468294.99999997788</v>
      </c>
    </row>
    <row r="330" spans="10:15" x14ac:dyDescent="0.25">
      <c r="J330" s="557">
        <v>51470</v>
      </c>
      <c r="L330" s="554">
        <f t="shared" si="22"/>
        <v>0</v>
      </c>
      <c r="M330" s="558">
        <f t="shared" si="21"/>
        <v>22320</v>
      </c>
      <c r="N330" s="554">
        <f t="shared" si="23"/>
        <v>-40884.833333333336</v>
      </c>
      <c r="O330" s="554">
        <f t="shared" si="20"/>
        <v>427410.16666664457</v>
      </c>
    </row>
    <row r="331" spans="10:15" x14ac:dyDescent="0.25">
      <c r="J331" s="557">
        <v>51501</v>
      </c>
      <c r="L331" s="554">
        <f t="shared" si="22"/>
        <v>0</v>
      </c>
      <c r="M331" s="558">
        <f t="shared" si="21"/>
        <v>22320</v>
      </c>
      <c r="N331" s="554">
        <f t="shared" si="23"/>
        <v>-40884.833333333336</v>
      </c>
      <c r="O331" s="554">
        <f t="shared" si="20"/>
        <v>386525.33333331125</v>
      </c>
    </row>
    <row r="332" spans="10:15" x14ac:dyDescent="0.25">
      <c r="J332" s="557">
        <v>51532</v>
      </c>
      <c r="L332" s="554">
        <f t="shared" si="22"/>
        <v>0</v>
      </c>
      <c r="M332" s="558">
        <f t="shared" si="21"/>
        <v>22320</v>
      </c>
      <c r="N332" s="554">
        <f t="shared" si="23"/>
        <v>-40884.833333333336</v>
      </c>
      <c r="O332" s="554">
        <f t="shared" si="20"/>
        <v>345640.49999997794</v>
      </c>
    </row>
    <row r="333" spans="10:15" x14ac:dyDescent="0.25">
      <c r="J333" s="557">
        <v>51560</v>
      </c>
      <c r="L333" s="554">
        <f t="shared" si="22"/>
        <v>0</v>
      </c>
      <c r="M333" s="558">
        <f t="shared" si="21"/>
        <v>22320</v>
      </c>
      <c r="N333" s="554">
        <f t="shared" si="23"/>
        <v>-40884.833333333336</v>
      </c>
      <c r="O333" s="554">
        <f t="shared" si="20"/>
        <v>304755.66666664463</v>
      </c>
    </row>
    <row r="334" spans="10:15" x14ac:dyDescent="0.25">
      <c r="J334" s="557">
        <v>51591</v>
      </c>
      <c r="L334" s="554">
        <f t="shared" si="22"/>
        <v>0</v>
      </c>
      <c r="M334" s="558">
        <f t="shared" si="21"/>
        <v>22320</v>
      </c>
      <c r="N334" s="554">
        <f t="shared" si="23"/>
        <v>-40884.833333333336</v>
      </c>
      <c r="O334" s="554">
        <f t="shared" si="20"/>
        <v>263870.83333331131</v>
      </c>
    </row>
    <row r="335" spans="10:15" x14ac:dyDescent="0.25">
      <c r="J335" s="557">
        <v>51621</v>
      </c>
      <c r="L335" s="554">
        <f t="shared" si="22"/>
        <v>0</v>
      </c>
      <c r="M335" s="558">
        <f t="shared" si="21"/>
        <v>22320</v>
      </c>
      <c r="N335" s="554">
        <f t="shared" si="23"/>
        <v>-40884.833333333336</v>
      </c>
      <c r="O335" s="554">
        <f t="shared" si="20"/>
        <v>222985.99999997797</v>
      </c>
    </row>
    <row r="336" spans="10:15" x14ac:dyDescent="0.25">
      <c r="J336" s="557">
        <v>51652</v>
      </c>
      <c r="L336" s="554">
        <f t="shared" si="22"/>
        <v>0</v>
      </c>
      <c r="M336" s="558">
        <f t="shared" si="21"/>
        <v>22320</v>
      </c>
      <c r="N336" s="554">
        <f t="shared" si="23"/>
        <v>-40884.833333333336</v>
      </c>
      <c r="O336" s="554">
        <f t="shared" si="20"/>
        <v>182101.16666664463</v>
      </c>
    </row>
    <row r="337" spans="10:15" x14ac:dyDescent="0.25">
      <c r="J337" s="557">
        <v>51682</v>
      </c>
      <c r="L337" s="554">
        <f t="shared" si="22"/>
        <v>0</v>
      </c>
      <c r="M337" s="558">
        <f t="shared" si="21"/>
        <v>22320</v>
      </c>
      <c r="N337" s="554">
        <f t="shared" si="23"/>
        <v>-40884.833333333336</v>
      </c>
      <c r="O337" s="554">
        <f t="shared" si="20"/>
        <v>141216.33333331128</v>
      </c>
    </row>
    <row r="338" spans="10:15" x14ac:dyDescent="0.25">
      <c r="J338" s="557">
        <v>51713</v>
      </c>
      <c r="L338" s="554">
        <f t="shared" si="22"/>
        <v>0</v>
      </c>
      <c r="M338" s="558">
        <f t="shared" si="21"/>
        <v>22320</v>
      </c>
      <c r="N338" s="554">
        <f t="shared" si="23"/>
        <v>-40884.833333333336</v>
      </c>
      <c r="O338" s="554">
        <f t="shared" si="20"/>
        <v>100331.49999997794</v>
      </c>
    </row>
    <row r="339" spans="10:15" x14ac:dyDescent="0.25">
      <c r="J339" s="557">
        <v>51744</v>
      </c>
      <c r="L339" s="554">
        <f t="shared" si="22"/>
        <v>0</v>
      </c>
      <c r="M339" s="558">
        <f t="shared" si="21"/>
        <v>22320</v>
      </c>
      <c r="N339" s="554">
        <f t="shared" si="23"/>
        <v>-40884.833333333336</v>
      </c>
      <c r="O339" s="554">
        <f t="shared" ref="O339:O341" si="24">O338+N339</f>
        <v>59446.666666644604</v>
      </c>
    </row>
    <row r="340" spans="10:15" x14ac:dyDescent="0.25">
      <c r="J340" s="557">
        <v>51774</v>
      </c>
      <c r="L340" s="554">
        <f t="shared" si="22"/>
        <v>0</v>
      </c>
      <c r="M340" s="558">
        <f t="shared" ref="M340:M341" si="25">$F$28</f>
        <v>22320</v>
      </c>
      <c r="N340" s="554">
        <f t="shared" si="23"/>
        <v>-40884.833333333336</v>
      </c>
      <c r="O340" s="554">
        <f t="shared" si="24"/>
        <v>18561.833333311268</v>
      </c>
    </row>
    <row r="341" spans="10:15" x14ac:dyDescent="0.25">
      <c r="J341" s="557">
        <v>51805</v>
      </c>
      <c r="L341" s="554">
        <f t="shared" si="22"/>
        <v>0</v>
      </c>
      <c r="M341" s="558">
        <f t="shared" si="25"/>
        <v>22320</v>
      </c>
      <c r="N341" s="554">
        <f>-O340</f>
        <v>-18561.833333311268</v>
      </c>
      <c r="O341" s="554">
        <f t="shared" si="24"/>
        <v>0</v>
      </c>
    </row>
    <row r="342" spans="10:15" x14ac:dyDescent="0.25">
      <c r="J342" s="557"/>
      <c r="L342" s="554"/>
      <c r="M342" s="558"/>
      <c r="N342" s="554"/>
      <c r="O342" s="554"/>
    </row>
    <row r="343" spans="10:15" x14ac:dyDescent="0.25">
      <c r="J343" s="557"/>
      <c r="L343" s="554"/>
      <c r="M343" s="558"/>
      <c r="N343" s="554"/>
      <c r="O343" s="554"/>
    </row>
    <row r="344" spans="10:15" x14ac:dyDescent="0.25">
      <c r="J344" s="557"/>
      <c r="L344" s="554"/>
      <c r="M344" s="558"/>
      <c r="N344" s="554"/>
      <c r="O344" s="554"/>
    </row>
    <row r="345" spans="10:15" x14ac:dyDescent="0.25">
      <c r="J345" s="557"/>
      <c r="L345" s="554"/>
      <c r="M345" s="558"/>
      <c r="N345" s="554"/>
      <c r="O345" s="554"/>
    </row>
    <row r="346" spans="10:15" x14ac:dyDescent="0.25">
      <c r="J346" s="557"/>
      <c r="L346" s="554"/>
      <c r="M346" s="558"/>
      <c r="N346" s="554"/>
      <c r="O346" s="554"/>
    </row>
    <row r="347" spans="10:15" x14ac:dyDescent="0.25">
      <c r="J347" s="557"/>
      <c r="L347" s="554"/>
      <c r="M347" s="558"/>
      <c r="N347" s="554"/>
      <c r="O347" s="554"/>
    </row>
    <row r="348" spans="10:15" x14ac:dyDescent="0.25">
      <c r="J348" s="557"/>
      <c r="L348" s="554"/>
      <c r="M348" s="558"/>
      <c r="N348" s="554"/>
      <c r="O348" s="554"/>
    </row>
    <row r="349" spans="10:15" x14ac:dyDescent="0.25">
      <c r="J349" s="557"/>
      <c r="L349" s="554"/>
      <c r="M349" s="558"/>
      <c r="N349" s="554"/>
      <c r="O349" s="554"/>
    </row>
    <row r="350" spans="10:15" x14ac:dyDescent="0.25">
      <c r="J350" s="557"/>
      <c r="L350" s="554"/>
      <c r="M350" s="558"/>
      <c r="N350" s="554"/>
      <c r="O350" s="554"/>
    </row>
    <row r="351" spans="10:15" x14ac:dyDescent="0.25">
      <c r="J351" s="557"/>
      <c r="L351" s="554"/>
      <c r="M351" s="558"/>
      <c r="N351" s="554"/>
      <c r="O351" s="554"/>
    </row>
    <row r="352" spans="10:15" x14ac:dyDescent="0.25">
      <c r="J352" s="557"/>
      <c r="L352" s="554"/>
      <c r="M352" s="558"/>
      <c r="N352" s="554"/>
      <c r="O352" s="554"/>
    </row>
    <row r="353" spans="10:15" x14ac:dyDescent="0.25">
      <c r="J353" s="557"/>
      <c r="L353" s="554"/>
      <c r="M353" s="558"/>
      <c r="N353" s="554"/>
      <c r="O353" s="554"/>
    </row>
  </sheetData>
  <mergeCells count="2">
    <mergeCell ref="A4:L4"/>
    <mergeCell ref="P18:U19"/>
  </mergeCells>
  <pageMargins left="0.7" right="0.7" top="0.75" bottom="0.75" header="0.3" footer="0.3"/>
  <pageSetup scale="31" fitToHeight="0" orientation="landscape" r:id="rId1"/>
  <headerFooter>
    <oddHeader>&amp;L&amp;"Times New Roman,Regular"DUKE ENERGY KENTUCKY, INC.
Regulatory Asset Amortizations&amp;R&amp;"Times New Roman,Bold"KyPSC Case No. 2019-00271
AG-DR-01-011 Attachment
 Page &amp;P of &amp;N</oddHeader>
    <oddFooter>&amp;C&amp;A</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8"/>
  <sheetViews>
    <sheetView topLeftCell="A63" zoomScale="80" zoomScaleNormal="80" workbookViewId="0">
      <selection activeCell="D168" sqref="D168"/>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1" t="s">
        <v>66</v>
      </c>
    </row>
    <row r="4" spans="1:22" x14ac:dyDescent="0.2">
      <c r="A4" s="99"/>
      <c r="B4" s="7"/>
      <c r="C4" s="3"/>
      <c r="D4" s="3"/>
      <c r="E4" s="3"/>
      <c r="F4" s="8"/>
      <c r="G4" s="147"/>
      <c r="H4" s="8"/>
      <c r="I4" s="9"/>
      <c r="J4" s="9"/>
      <c r="K4" s="9"/>
      <c r="M4" s="10"/>
      <c r="P4" s="181" t="s">
        <v>1</v>
      </c>
    </row>
    <row r="5" spans="1:22" x14ac:dyDescent="0.2">
      <c r="E5" s="181" t="s">
        <v>2</v>
      </c>
      <c r="F5" s="181" t="s">
        <v>3</v>
      </c>
      <c r="G5" s="181" t="s">
        <v>4</v>
      </c>
      <c r="H5" s="181"/>
      <c r="I5" s="111" t="s">
        <v>208</v>
      </c>
      <c r="J5" s="13" t="s">
        <v>180</v>
      </c>
      <c r="K5" s="111" t="s">
        <v>209</v>
      </c>
      <c r="L5" s="181" t="s">
        <v>5</v>
      </c>
      <c r="M5" s="11" t="s">
        <v>6</v>
      </c>
      <c r="N5" s="11" t="s">
        <v>0</v>
      </c>
      <c r="O5" s="11" t="s">
        <v>8</v>
      </c>
      <c r="P5" s="181" t="s">
        <v>9</v>
      </c>
      <c r="Q5" s="576" t="s">
        <v>10</v>
      </c>
      <c r="R5" s="576"/>
      <c r="U5" s="12" t="s">
        <v>11</v>
      </c>
    </row>
    <row r="6" spans="1:22" x14ac:dyDescent="0.2">
      <c r="E6" s="13">
        <v>42094</v>
      </c>
      <c r="F6" s="13" t="s">
        <v>12</v>
      </c>
      <c r="G6" s="14" t="s">
        <v>13</v>
      </c>
      <c r="H6" s="14" t="s">
        <v>8</v>
      </c>
      <c r="I6" s="112">
        <v>42124</v>
      </c>
      <c r="J6" s="13" t="s">
        <v>210</v>
      </c>
      <c r="K6" s="112">
        <f>I6</f>
        <v>42124</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Mar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Mar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Mar 2015'!$A$1:$I$252,9,FALSE)</f>
        <v>793117.81</v>
      </c>
      <c r="F15" s="30">
        <v>0</v>
      </c>
      <c r="G15" s="33">
        <v>0</v>
      </c>
      <c r="H15" s="30">
        <v>0</v>
      </c>
      <c r="I15" s="115">
        <f>E15+F15+G15+H15</f>
        <v>793117.81</v>
      </c>
      <c r="J15" s="30">
        <v>0</v>
      </c>
      <c r="K15" s="115">
        <f>I15+J15</f>
        <v>793117.81</v>
      </c>
      <c r="M15" s="20"/>
      <c r="S15" s="18"/>
    </row>
    <row r="16" spans="1:22" x14ac:dyDescent="0.2">
      <c r="A16" s="100" t="s">
        <v>157</v>
      </c>
      <c r="B16" s="28"/>
      <c r="C16" s="28" t="s">
        <v>37</v>
      </c>
      <c r="D16" s="4" t="s">
        <v>192</v>
      </c>
      <c r="E16" s="29">
        <f>VLOOKUP(A16,'DEK Mar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Mar 2015'!$A$1:$I$252,9,FALSE)</f>
        <v>0</v>
      </c>
      <c r="F17" s="30">
        <v>0</v>
      </c>
      <c r="G17" s="33">
        <v>0</v>
      </c>
      <c r="H17" s="33">
        <v>0</v>
      </c>
      <c r="I17" s="115">
        <f>E17+F17+G17+H17</f>
        <v>0</v>
      </c>
      <c r="J17" s="30">
        <v>2964091.83</v>
      </c>
      <c r="K17" s="115">
        <f t="shared" ref="K17" si="1">I17+J17</f>
        <v>2964091.83</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0</v>
      </c>
      <c r="H19" s="29">
        <f t="shared" si="2"/>
        <v>0</v>
      </c>
      <c r="I19" s="117">
        <f t="shared" si="2"/>
        <v>2089770.81</v>
      </c>
      <c r="J19" s="29">
        <f t="shared" si="2"/>
        <v>2964091.83</v>
      </c>
      <c r="K19" s="117">
        <f t="shared" si="2"/>
        <v>5053862.6400000006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Mar 2015'!$A$1:$I$252,9,FALSE)</f>
        <v>1921235.3300000005</v>
      </c>
      <c r="F22" s="33">
        <v>0</v>
      </c>
      <c r="G22" s="130"/>
      <c r="H22" s="130">
        <v>-22206.16</v>
      </c>
      <c r="I22" s="115">
        <f>E22+F22+G22+H22</f>
        <v>1899029.1700000006</v>
      </c>
      <c r="J22" s="33">
        <v>-266473.92</v>
      </c>
      <c r="K22" s="115">
        <f>I22+J22</f>
        <v>1632555.2500000007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1921235.3300000005</v>
      </c>
      <c r="F24" s="29">
        <f t="shared" ref="F24:K24" si="3">SUM(F22:F23)</f>
        <v>0</v>
      </c>
      <c r="G24" s="29">
        <f t="shared" si="3"/>
        <v>0</v>
      </c>
      <c r="H24" s="29">
        <f t="shared" si="3"/>
        <v>-22206.16</v>
      </c>
      <c r="I24" s="117">
        <f t="shared" si="3"/>
        <v>1899029.1700000006</v>
      </c>
      <c r="J24" s="29">
        <f t="shared" si="3"/>
        <v>-266473.92</v>
      </c>
      <c r="K24" s="117">
        <f t="shared" si="3"/>
        <v>1632555.2500000007</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Mar 2015'!$A$1:$I$252,9,FALSE)</f>
        <v>1538937</v>
      </c>
      <c r="F27" s="33">
        <v>0</v>
      </c>
      <c r="G27" s="33">
        <v>9772</v>
      </c>
      <c r="H27" s="29">
        <v>0</v>
      </c>
      <c r="I27" s="115">
        <f>E27+F27+G27+H27</f>
        <v>1548709</v>
      </c>
      <c r="J27" s="33">
        <v>0</v>
      </c>
      <c r="K27" s="115">
        <f>I27+J27</f>
        <v>1548709</v>
      </c>
      <c r="L27" s="4" t="s">
        <v>22</v>
      </c>
      <c r="M27" s="20"/>
      <c r="S27" s="28" t="s">
        <v>23</v>
      </c>
    </row>
    <row r="28" spans="1:21" ht="13.5" customHeight="1" x14ac:dyDescent="0.2">
      <c r="A28" s="100" t="s">
        <v>80</v>
      </c>
      <c r="B28" s="28"/>
      <c r="C28" s="28" t="s">
        <v>24</v>
      </c>
      <c r="D28" s="4" t="s">
        <v>204</v>
      </c>
      <c r="E28" s="29">
        <f>VLOOKUP(A28,'DEK Mar 2015'!$A$1:$I$252,9,FALSE)</f>
        <v>-542789.80000000005</v>
      </c>
      <c r="F28" s="33">
        <v>0</v>
      </c>
      <c r="G28" s="33">
        <v>5066</v>
      </c>
      <c r="H28" s="32">
        <v>0</v>
      </c>
      <c r="I28" s="115">
        <f>E28+F28+G28+H28</f>
        <v>-537723.80000000005</v>
      </c>
      <c r="J28" s="33">
        <v>0</v>
      </c>
      <c r="K28" s="115">
        <f>I28+J28</f>
        <v>-537723.80000000005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996147.19999999995</v>
      </c>
      <c r="F30" s="44">
        <f t="shared" ref="F30:K30" si="4">SUM(F27:F28)</f>
        <v>0</v>
      </c>
      <c r="G30" s="130">
        <f t="shared" si="4"/>
        <v>14838</v>
      </c>
      <c r="H30" s="130">
        <f t="shared" si="4"/>
        <v>0</v>
      </c>
      <c r="I30" s="122">
        <f t="shared" si="4"/>
        <v>1010985.2</v>
      </c>
      <c r="J30" s="33">
        <f t="shared" si="4"/>
        <v>0</v>
      </c>
      <c r="K30" s="115">
        <f t="shared" si="4"/>
        <v>1010985.2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v>0</v>
      </c>
      <c r="F34" s="32">
        <v>0</v>
      </c>
      <c r="G34" s="157">
        <v>0</v>
      </c>
      <c r="H34" s="33">
        <v>0</v>
      </c>
      <c r="I34" s="115">
        <f>E34+F34+G34+H34</f>
        <v>0</v>
      </c>
      <c r="J34" s="33">
        <f>F34+G34+H34+I34</f>
        <v>0</v>
      </c>
      <c r="K34" s="115">
        <f>G34+H34+I34+J34</f>
        <v>0</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Mar 2015'!$A$1:$I$252,9,FALSE)</f>
        <v>7472501.8900000006</v>
      </c>
      <c r="F52" s="33">
        <v>0</v>
      </c>
      <c r="G52" s="33">
        <v>196693.36</v>
      </c>
      <c r="H52" s="33">
        <v>0</v>
      </c>
      <c r="I52" s="115">
        <f>E52+F52+G52+H52</f>
        <v>7669195.2500000009</v>
      </c>
      <c r="J52" s="33">
        <v>-2697617.91</v>
      </c>
      <c r="K52" s="115">
        <f>I52+J52</f>
        <v>4971577.3400000008</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Mar 2015'!$A$1:$I$252,9,FALSE)</f>
        <v>5999744</v>
      </c>
      <c r="F53" s="33">
        <v>0</v>
      </c>
      <c r="G53" s="130">
        <v>0</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Mar 2015'!$A$1:$I$252,9,FALSE)</f>
        <v>1250000</v>
      </c>
      <c r="F59" s="33">
        <v>0</v>
      </c>
      <c r="G59" s="33">
        <v>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Mar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Mar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2.75" customHeight="1" x14ac:dyDescent="0.35">
      <c r="A67" s="100" t="s">
        <v>231</v>
      </c>
      <c r="B67" s="28"/>
      <c r="C67" s="28" t="s">
        <v>229</v>
      </c>
      <c r="D67" s="4" t="s">
        <v>230</v>
      </c>
      <c r="E67" s="32">
        <f>VLOOKUP(A67,'DEK Mar 2015'!$A$1:$I$252,9,FALSE)</f>
        <v>3865309.38</v>
      </c>
      <c r="F67" s="172"/>
      <c r="G67" s="33">
        <v>1148483.3799999999</v>
      </c>
      <c r="H67" s="172"/>
      <c r="I67" s="115">
        <f t="shared" si="5"/>
        <v>5013792.76</v>
      </c>
      <c r="J67" s="172"/>
      <c r="K67" s="115">
        <f t="shared" si="6"/>
        <v>5013792.76</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Mar 2015'!$A$1:$I$252,9,FALSE)</f>
        <v>228.93</v>
      </c>
      <c r="F69" s="174"/>
      <c r="G69" s="36">
        <v>0</v>
      </c>
      <c r="H69" s="36"/>
      <c r="I69" s="116">
        <f t="shared" si="5"/>
        <v>228.93</v>
      </c>
      <c r="J69" s="36"/>
      <c r="K69" s="116">
        <f t="shared" si="6"/>
        <v>228.93</v>
      </c>
      <c r="M69" s="20"/>
      <c r="S69" s="18"/>
    </row>
    <row r="70" spans="1:21" x14ac:dyDescent="0.2">
      <c r="B70" s="54"/>
      <c r="C70" s="28"/>
      <c r="E70" s="29">
        <f>SUM(E42:E69)</f>
        <v>23500468.199999999</v>
      </c>
      <c r="F70" s="29">
        <f>SUM(F39:F65)+F36</f>
        <v>0</v>
      </c>
      <c r="G70" s="29">
        <f>SUM(G39:G69)+G36</f>
        <v>1345176.7399999998</v>
      </c>
      <c r="H70" s="29">
        <f>SUM(H39:H65)+H36</f>
        <v>0</v>
      </c>
      <c r="I70" s="117">
        <f>SUM(I39:I69)+I36</f>
        <v>24845644.939999998</v>
      </c>
      <c r="J70" s="29">
        <f>SUM(J39:J69)+J36</f>
        <v>-2697617.91</v>
      </c>
      <c r="K70" s="117">
        <f>SUM(K39:K69)+K36</f>
        <v>22148027.030000001</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Mar 2015'!$A$1:$I$252,9,FALSE)</f>
        <v>20995909.440000001</v>
      </c>
      <c r="F74" s="30">
        <v>0</v>
      </c>
      <c r="G74" s="130">
        <v>-166713</v>
      </c>
      <c r="H74" s="129">
        <v>0</v>
      </c>
      <c r="I74" s="115">
        <f>E74+F74+G74+H74</f>
        <v>20829196.440000001</v>
      </c>
      <c r="J74" s="30">
        <v>0</v>
      </c>
      <c r="K74" s="115">
        <f t="shared" ref="K74:K76" si="7">I74+J74</f>
        <v>20829196.440000001</v>
      </c>
      <c r="M74" s="20"/>
      <c r="P74" s="58"/>
      <c r="S74" s="18">
        <v>186801</v>
      </c>
    </row>
    <row r="75" spans="1:21" x14ac:dyDescent="0.2">
      <c r="A75" s="108" t="s">
        <v>171</v>
      </c>
      <c r="B75" s="28"/>
      <c r="C75" s="28" t="s">
        <v>122</v>
      </c>
      <c r="D75" s="4" t="s">
        <v>225</v>
      </c>
      <c r="E75" s="29">
        <f>VLOOKUP(A75,'DEK Mar 2015'!$A$1:$I$252,9,FALSE)</f>
        <v>3163203.55</v>
      </c>
      <c r="F75" s="30">
        <v>0</v>
      </c>
      <c r="G75" s="130">
        <v>-27586</v>
      </c>
      <c r="H75" s="129">
        <v>0</v>
      </c>
      <c r="I75" s="115">
        <f>E75+F75+G75+H75</f>
        <v>3135617.55</v>
      </c>
      <c r="J75" s="30">
        <v>0</v>
      </c>
      <c r="K75" s="115">
        <f t="shared" si="7"/>
        <v>3135617.55</v>
      </c>
      <c r="M75" s="20"/>
      <c r="P75" s="58"/>
      <c r="S75" s="18"/>
    </row>
    <row r="76" spans="1:21" x14ac:dyDescent="0.2">
      <c r="A76" s="108" t="s">
        <v>172</v>
      </c>
      <c r="B76" s="28"/>
      <c r="C76" s="28" t="s">
        <v>123</v>
      </c>
      <c r="D76" s="4" t="s">
        <v>226</v>
      </c>
      <c r="E76" s="29">
        <f>VLOOKUP(A76,'DEK Mar 2015'!$A$1:$I$252,9,FALSE)</f>
        <v>61653.05</v>
      </c>
      <c r="F76" s="30">
        <v>0</v>
      </c>
      <c r="G76" s="130">
        <v>-794</v>
      </c>
      <c r="H76" s="129">
        <v>0</v>
      </c>
      <c r="I76" s="115">
        <f>E76+F76+G76+H76</f>
        <v>60859.05</v>
      </c>
      <c r="J76" s="30">
        <v>0</v>
      </c>
      <c r="K76" s="115">
        <f t="shared" si="7"/>
        <v>60859.05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24220766.040000003</v>
      </c>
      <c r="F78" s="29">
        <f t="shared" ref="F78:K78" si="8">SUM(F73:F77)</f>
        <v>0</v>
      </c>
      <c r="G78" s="29">
        <f>SUM(G73:G77)</f>
        <v>-195093</v>
      </c>
      <c r="H78" s="29">
        <f t="shared" si="8"/>
        <v>0</v>
      </c>
      <c r="I78" s="117">
        <f t="shared" si="8"/>
        <v>24025673.040000003</v>
      </c>
      <c r="J78" s="29">
        <f t="shared" si="8"/>
        <v>0</v>
      </c>
      <c r="K78" s="117">
        <f t="shared" si="8"/>
        <v>24025673.040000003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52728387.579999998</v>
      </c>
      <c r="F84" s="133">
        <f t="shared" si="10"/>
        <v>0</v>
      </c>
      <c r="G84" s="133">
        <f t="shared" si="10"/>
        <v>1164921.7399999998</v>
      </c>
      <c r="H84" s="133">
        <f t="shared" si="10"/>
        <v>-22206.16</v>
      </c>
      <c r="I84" s="134">
        <f t="shared" si="10"/>
        <v>53871103.159999996</v>
      </c>
      <c r="J84" s="133">
        <f t="shared" si="10"/>
        <v>0</v>
      </c>
      <c r="K84" s="134">
        <f t="shared" si="10"/>
        <v>53871103.160000004</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Mar 2015'!$A$1:$I$252,9,FALSE)</f>
        <v>1030231.7400000001</v>
      </c>
      <c r="F87" s="30">
        <v>0</v>
      </c>
      <c r="G87" s="33">
        <v>-1291596.46</v>
      </c>
      <c r="H87" s="33">
        <v>-432251.48</v>
      </c>
      <c r="I87" s="115">
        <f t="shared" ref="I87:I92" si="11">E87+F87+G87+H87</f>
        <v>-693616.19999999984</v>
      </c>
      <c r="J87" s="30">
        <v>0</v>
      </c>
      <c r="K87" s="115">
        <f t="shared" ref="K87:K92" si="12">I87+J87</f>
        <v>-693616.19999999984</v>
      </c>
      <c r="L87" s="4" t="s">
        <v>22</v>
      </c>
      <c r="M87" s="33"/>
      <c r="N87" s="42"/>
      <c r="O87" s="42"/>
      <c r="S87" s="18">
        <v>191400</v>
      </c>
      <c r="T87" s="58"/>
    </row>
    <row r="88" spans="1:20" x14ac:dyDescent="0.2">
      <c r="A88" s="100" t="s">
        <v>115</v>
      </c>
      <c r="B88" s="18"/>
      <c r="C88" s="28" t="s">
        <v>53</v>
      </c>
      <c r="D88" s="4" t="s">
        <v>115</v>
      </c>
      <c r="E88" s="29">
        <f>VLOOKUP(A88,'DEK Mar 2015'!$A$1:$I$252,9,FALSE)</f>
        <v>-2341925</v>
      </c>
      <c r="F88" s="30">
        <v>0</v>
      </c>
      <c r="G88" s="33">
        <v>1297117</v>
      </c>
      <c r="H88" s="33">
        <v>0</v>
      </c>
      <c r="I88" s="115">
        <f t="shared" si="11"/>
        <v>-1044808</v>
      </c>
      <c r="J88" s="30">
        <v>0</v>
      </c>
      <c r="K88" s="115">
        <f t="shared" si="12"/>
        <v>-1044808</v>
      </c>
      <c r="L88" s="4" t="s">
        <v>22</v>
      </c>
      <c r="M88" s="30"/>
      <c r="N88" s="42"/>
      <c r="O88" s="42"/>
      <c r="S88" s="18">
        <v>191800</v>
      </c>
      <c r="T88" s="58"/>
    </row>
    <row r="89" spans="1:20" ht="12.75" customHeight="1" x14ac:dyDescent="0.2">
      <c r="A89" s="100" t="s">
        <v>117</v>
      </c>
      <c r="B89" s="18"/>
      <c r="C89" s="28" t="s">
        <v>77</v>
      </c>
      <c r="D89" s="4" t="s">
        <v>117</v>
      </c>
      <c r="E89" s="29">
        <f>VLOOKUP(A89,'DEK Mar 2015'!$A$1:$I$252,9,FALSE)</f>
        <v>-370254</v>
      </c>
      <c r="F89" s="30">
        <v>0</v>
      </c>
      <c r="G89" s="30">
        <v>0</v>
      </c>
      <c r="H89" s="33">
        <v>0</v>
      </c>
      <c r="I89" s="115">
        <f t="shared" si="11"/>
        <v>-370254</v>
      </c>
      <c r="J89" s="30">
        <v>0</v>
      </c>
      <c r="K89" s="115">
        <f t="shared" si="12"/>
        <v>-370254</v>
      </c>
      <c r="M89" s="20"/>
      <c r="N89" s="42"/>
      <c r="O89" s="42"/>
      <c r="S89" s="18">
        <v>242995</v>
      </c>
      <c r="T89" s="58"/>
    </row>
    <row r="90" spans="1:20" x14ac:dyDescent="0.2">
      <c r="A90" s="100" t="s">
        <v>119</v>
      </c>
      <c r="B90" s="18"/>
      <c r="C90" s="28" t="s">
        <v>118</v>
      </c>
      <c r="D90" s="4" t="s">
        <v>119</v>
      </c>
      <c r="E90" s="29">
        <f>VLOOKUP(A90,'DEK Mar 2015'!$A$1:$I$252,9,FALSE)</f>
        <v>-3084564.8400000008</v>
      </c>
      <c r="F90" s="30">
        <v>0</v>
      </c>
      <c r="G90" s="30">
        <v>-841291.59</v>
      </c>
      <c r="H90" s="33">
        <v>0</v>
      </c>
      <c r="I90" s="115">
        <f t="shared" si="11"/>
        <v>-3925856.4300000006</v>
      </c>
      <c r="J90" s="30">
        <v>0</v>
      </c>
      <c r="K90" s="115">
        <f t="shared" si="12"/>
        <v>-3925856.4300000006</v>
      </c>
      <c r="M90" s="20"/>
      <c r="N90" s="42"/>
      <c r="O90" s="42"/>
      <c r="S90" s="18">
        <v>242997</v>
      </c>
      <c r="T90" s="58"/>
    </row>
    <row r="91" spans="1:20" x14ac:dyDescent="0.2">
      <c r="A91" s="100" t="s">
        <v>120</v>
      </c>
      <c r="B91" s="18"/>
      <c r="C91" s="28" t="s">
        <v>54</v>
      </c>
      <c r="D91" s="4" t="s">
        <v>120</v>
      </c>
      <c r="E91" s="29">
        <f>VLOOKUP(A91,'DEK Mar 2015'!$A$1:$I$252,9,FALSE)</f>
        <v>22725.930000000029</v>
      </c>
      <c r="F91" s="33">
        <v>0</v>
      </c>
      <c r="G91" s="33">
        <v>0</v>
      </c>
      <c r="H91" s="33">
        <v>4404.22</v>
      </c>
      <c r="I91" s="115">
        <f t="shared" si="11"/>
        <v>27130.150000000031</v>
      </c>
      <c r="J91" s="33">
        <v>0</v>
      </c>
      <c r="K91" s="115">
        <f t="shared" si="12"/>
        <v>27130.150000000031</v>
      </c>
      <c r="L91" s="4" t="s">
        <v>22</v>
      </c>
      <c r="M91" s="42"/>
      <c r="N91" s="42"/>
      <c r="O91" s="42"/>
      <c r="S91" s="18">
        <v>253130</v>
      </c>
      <c r="T91" s="58"/>
    </row>
    <row r="92" spans="1:20" x14ac:dyDescent="0.2">
      <c r="A92" s="100" t="s">
        <v>156</v>
      </c>
      <c r="B92" s="18"/>
      <c r="C92" s="28" t="s">
        <v>116</v>
      </c>
      <c r="D92" s="4" t="s">
        <v>211</v>
      </c>
      <c r="E92" s="29">
        <f>VLOOKUP(A92,'DEK Mar 2015'!$A$1:$I$252,9,FALSE)</f>
        <v>-556507.07000000007</v>
      </c>
      <c r="F92" s="33"/>
      <c r="G92" s="33">
        <v>613710.56000000006</v>
      </c>
      <c r="H92" s="33">
        <v>0</v>
      </c>
      <c r="I92" s="115">
        <f t="shared" si="11"/>
        <v>57203.489999999991</v>
      </c>
      <c r="J92" s="30">
        <v>0</v>
      </c>
      <c r="K92" s="115">
        <f t="shared" si="12"/>
        <v>57203.489999999991</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-5300293.2400000012</v>
      </c>
      <c r="F94" s="33">
        <f t="shared" si="13"/>
        <v>0</v>
      </c>
      <c r="G94" s="33">
        <f t="shared" si="13"/>
        <v>-222060.48999999987</v>
      </c>
      <c r="H94" s="33">
        <f t="shared" si="13"/>
        <v>-427847.26</v>
      </c>
      <c r="I94" s="115">
        <f t="shared" si="13"/>
        <v>-5950200.9900000002</v>
      </c>
      <c r="J94" s="33">
        <f t="shared" si="13"/>
        <v>0</v>
      </c>
      <c r="K94" s="115">
        <f t="shared" si="13"/>
        <v>-5950200.9900000002</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Mar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hidden="1"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Mar 2015'!$A$1:$I$252,9,FALSE)</f>
        <v>-3735994.63</v>
      </c>
      <c r="F102" s="30">
        <v>0</v>
      </c>
      <c r="G102" s="130">
        <v>33028</v>
      </c>
      <c r="H102" s="130">
        <v>0</v>
      </c>
      <c r="I102" s="125">
        <f>E102+G102+H102+F102</f>
        <v>-3702966.63</v>
      </c>
      <c r="J102" s="91">
        <v>0</v>
      </c>
      <c r="K102" s="115">
        <f>I102+J102</f>
        <v>-3702966.63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Mar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Mar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Mar 2015'!$A$1:$I$252,9,FALSE)</f>
        <v>-16950.120000000006</v>
      </c>
      <c r="F107" s="30">
        <v>0</v>
      </c>
      <c r="G107" s="130">
        <v>175.44</v>
      </c>
      <c r="H107" s="130">
        <v>0</v>
      </c>
      <c r="I107" s="115">
        <f>E107+F107+G107+H107</f>
        <v>-16774.680000000008</v>
      </c>
      <c r="J107" s="30">
        <v>0</v>
      </c>
      <c r="K107" s="115">
        <f t="shared" si="15"/>
        <v>-16774.680000000008</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-16950.120000000006</v>
      </c>
      <c r="F109" s="30">
        <f t="shared" ref="F109:K109" si="17">SUM(F105:F108)</f>
        <v>0</v>
      </c>
      <c r="G109" s="30">
        <f t="shared" si="17"/>
        <v>175.44</v>
      </c>
      <c r="H109" s="30">
        <f t="shared" si="17"/>
        <v>0</v>
      </c>
      <c r="I109" s="115">
        <f t="shared" si="17"/>
        <v>-16774.680000000008</v>
      </c>
      <c r="J109" s="30">
        <f t="shared" si="17"/>
        <v>0</v>
      </c>
      <c r="K109" s="115">
        <f t="shared" si="17"/>
        <v>-16774.680000000008</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Mar 2015'!$A$1:$I$252,9,FALSE)</f>
        <v>-17046792.380000003</v>
      </c>
      <c r="F111" s="30">
        <v>0</v>
      </c>
      <c r="G111" s="129">
        <v>-56500.7</v>
      </c>
      <c r="H111" s="129">
        <v>0</v>
      </c>
      <c r="I111" s="115">
        <f t="shared" ref="I111:I116" si="18">E111+F111+G111+H111</f>
        <v>-17103293.080000002</v>
      </c>
      <c r="J111" s="30">
        <v>0</v>
      </c>
      <c r="K111" s="115">
        <f t="shared" ref="K111:K116" si="19">I111+J111</f>
        <v>-17103293.080000002</v>
      </c>
      <c r="L111" s="4" t="s">
        <v>43</v>
      </c>
      <c r="M111" s="20"/>
      <c r="N111" s="42"/>
      <c r="O111" s="42"/>
      <c r="Q111" s="181">
        <v>75086</v>
      </c>
      <c r="R111" s="58" t="s">
        <v>44</v>
      </c>
      <c r="S111" s="18">
        <v>108201</v>
      </c>
      <c r="T111" s="58"/>
    </row>
    <row r="112" spans="1:23" x14ac:dyDescent="0.2">
      <c r="A112" s="100" t="s">
        <v>166</v>
      </c>
      <c r="B112" s="18"/>
      <c r="C112" s="28" t="s">
        <v>45</v>
      </c>
      <c r="D112" s="4" t="s">
        <v>198</v>
      </c>
      <c r="E112" s="29">
        <f>VLOOKUP(A112,'DEK Mar 2015'!$A$1:$I$252,9,FALSE)</f>
        <v>-48963732.070000008</v>
      </c>
      <c r="F112" s="30">
        <v>0</v>
      </c>
      <c r="G112" s="129">
        <v>-431910.93</v>
      </c>
      <c r="H112" s="129">
        <v>0</v>
      </c>
      <c r="I112" s="115">
        <f t="shared" si="18"/>
        <v>-49395643.000000007</v>
      </c>
      <c r="J112" s="30">
        <v>0</v>
      </c>
      <c r="K112" s="115">
        <f t="shared" si="19"/>
        <v>-49395643.000000007</v>
      </c>
      <c r="L112" s="4" t="s">
        <v>43</v>
      </c>
      <c r="M112" s="20"/>
      <c r="N112" s="42"/>
      <c r="O112" s="42"/>
      <c r="R112" s="58" t="s">
        <v>44</v>
      </c>
      <c r="S112" s="18">
        <v>108301</v>
      </c>
      <c r="T112" s="58"/>
    </row>
    <row r="113" spans="1:22" x14ac:dyDescent="0.2">
      <c r="A113" s="100" t="s">
        <v>167</v>
      </c>
      <c r="B113" s="18"/>
      <c r="C113" s="28" t="s">
        <v>46</v>
      </c>
      <c r="D113" s="4" t="s">
        <v>199</v>
      </c>
      <c r="E113" s="29">
        <f>VLOOKUP(A113,'DEK Mar 2015'!$A$1:$I$252,9,FALSE)</f>
        <v>11961279.009999998</v>
      </c>
      <c r="F113" s="30">
        <v>0</v>
      </c>
      <c r="G113" s="129">
        <v>272936.08</v>
      </c>
      <c r="H113" s="129">
        <v>0</v>
      </c>
      <c r="I113" s="115">
        <f t="shared" si="18"/>
        <v>12234215.089999998</v>
      </c>
      <c r="J113" s="30">
        <v>0</v>
      </c>
      <c r="K113" s="115">
        <f>I113+J113</f>
        <v>12234215.089999998</v>
      </c>
      <c r="L113" s="4" t="s">
        <v>43</v>
      </c>
      <c r="M113" s="20"/>
      <c r="N113" s="42"/>
      <c r="O113" s="42"/>
      <c r="S113" s="18">
        <v>108410</v>
      </c>
      <c r="T113" s="58"/>
    </row>
    <row r="114" spans="1:22" x14ac:dyDescent="0.2">
      <c r="A114" s="100" t="s">
        <v>168</v>
      </c>
      <c r="B114" s="18"/>
      <c r="C114" s="28" t="s">
        <v>74</v>
      </c>
      <c r="D114" s="4" t="s">
        <v>217</v>
      </c>
      <c r="E114" s="29">
        <f>VLOOKUP(A114,'DEK Mar 2015'!$A$1:$I$252,9,FALSE)</f>
        <v>1667622.18</v>
      </c>
      <c r="F114" s="30">
        <v>0</v>
      </c>
      <c r="G114" s="129">
        <v>228779.65</v>
      </c>
      <c r="H114" s="129">
        <v>0</v>
      </c>
      <c r="I114" s="115">
        <f t="shared" si="18"/>
        <v>1896401.8299999998</v>
      </c>
      <c r="J114" s="30">
        <v>0</v>
      </c>
      <c r="K114" s="115">
        <f>I114+J114</f>
        <v>1896401.8299999998</v>
      </c>
      <c r="M114" s="20"/>
      <c r="N114" s="42"/>
      <c r="O114" s="42"/>
      <c r="Q114" s="4" t="s">
        <v>50</v>
      </c>
      <c r="R114" s="4" t="s">
        <v>51</v>
      </c>
      <c r="S114" s="18">
        <v>182303</v>
      </c>
      <c r="T114" s="58"/>
    </row>
    <row r="115" spans="1:22" x14ac:dyDescent="0.2">
      <c r="A115" s="100" t="s">
        <v>169</v>
      </c>
      <c r="B115" s="18"/>
      <c r="C115" s="28" t="s">
        <v>49</v>
      </c>
      <c r="D115" s="4" t="s">
        <v>218</v>
      </c>
      <c r="E115" s="29">
        <f>VLOOKUP(A115,'DEK Mar 2015'!$A$1:$I$252,9,FALSE)</f>
        <v>4116648.6300000018</v>
      </c>
      <c r="F115" s="30">
        <v>0</v>
      </c>
      <c r="G115" s="129">
        <v>20499.759999999998</v>
      </c>
      <c r="H115" s="129">
        <v>0</v>
      </c>
      <c r="I115" s="115">
        <f t="shared" si="18"/>
        <v>4137148.3900000015</v>
      </c>
      <c r="J115" s="30">
        <v>0</v>
      </c>
      <c r="K115" s="115">
        <f t="shared" si="19"/>
        <v>4137148.3900000015</v>
      </c>
      <c r="M115" s="20"/>
      <c r="N115" s="42"/>
      <c r="O115" s="42"/>
      <c r="Q115" s="4" t="s">
        <v>50</v>
      </c>
      <c r="S115" s="18">
        <v>182304</v>
      </c>
      <c r="T115" s="58"/>
    </row>
    <row r="116" spans="1:22" x14ac:dyDescent="0.2">
      <c r="A116" s="100" t="s">
        <v>170</v>
      </c>
      <c r="B116" s="18"/>
      <c r="C116" s="28" t="s">
        <v>42</v>
      </c>
      <c r="D116" s="4" t="s">
        <v>200</v>
      </c>
      <c r="E116" s="29">
        <f>VLOOKUP(A116,'DEK Mar 2015'!$A$1:$I$252,9,FALSE)</f>
        <v>-94564.25</v>
      </c>
      <c r="F116" s="30">
        <v>0</v>
      </c>
      <c r="G116" s="129">
        <v>-5959.86</v>
      </c>
      <c r="H116" s="129">
        <v>0</v>
      </c>
      <c r="I116" s="115">
        <f t="shared" si="18"/>
        <v>-100524.11</v>
      </c>
      <c r="J116" s="30">
        <v>0</v>
      </c>
      <c r="K116" s="115">
        <f t="shared" si="19"/>
        <v>-100524.11</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-48359538.88000001</v>
      </c>
      <c r="F118" s="33">
        <f t="shared" si="20"/>
        <v>0</v>
      </c>
      <c r="G118" s="33">
        <f t="shared" si="20"/>
        <v>27844</v>
      </c>
      <c r="H118" s="33">
        <f t="shared" si="20"/>
        <v>0</v>
      </c>
      <c r="I118" s="115">
        <f t="shared" si="20"/>
        <v>-48331694.880000018</v>
      </c>
      <c r="J118" s="33">
        <f t="shared" si="20"/>
        <v>0</v>
      </c>
      <c r="K118" s="115">
        <f t="shared" si="20"/>
        <v>-48331694.880000018</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-57412776.870000012</v>
      </c>
      <c r="F120" s="133">
        <f t="shared" ref="F120:H120" si="21">+F94+F102+F109+F118+F99</f>
        <v>0</v>
      </c>
      <c r="G120" s="133">
        <f t="shared" si="21"/>
        <v>-161013.04999999987</v>
      </c>
      <c r="H120" s="133">
        <f t="shared" si="21"/>
        <v>-427847.26</v>
      </c>
      <c r="I120" s="134">
        <f>+I94+I102+I109+I118+I99</f>
        <v>-58001637.180000022</v>
      </c>
      <c r="J120" s="133">
        <f>+J94+J102+J109+J118+J99</f>
        <v>0</v>
      </c>
      <c r="K120" s="134">
        <f>+K94+K102+K109+K118+K99</f>
        <v>-58001637.180000022</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-4684389.290000014</v>
      </c>
      <c r="F122" s="137">
        <f>F120+F84</f>
        <v>0</v>
      </c>
      <c r="G122" s="137">
        <f>G120+G84</f>
        <v>1003908.69</v>
      </c>
      <c r="H122" s="137">
        <f>H120+H84</f>
        <v>-450053.42</v>
      </c>
      <c r="I122" s="138">
        <f>I84+I120</f>
        <v>-4130534.0200000256</v>
      </c>
      <c r="J122" s="137">
        <f>J120+J84</f>
        <v>0</v>
      </c>
      <c r="K122" s="138">
        <f>K84+K120</f>
        <v>-4130534.0200000182</v>
      </c>
      <c r="L122" s="50">
        <v>0</v>
      </c>
      <c r="M122" s="70"/>
      <c r="N122" s="70"/>
      <c r="O122" s="70"/>
      <c r="P122" s="50"/>
      <c r="Q122" s="50"/>
      <c r="R122" s="50"/>
      <c r="S122" s="18"/>
      <c r="T122" s="29">
        <f>+G122+H122+F122</f>
        <v>553855.27</v>
      </c>
      <c r="U122" s="19">
        <v>13111056.41</v>
      </c>
      <c r="V122" s="29">
        <f>+T122-U122</f>
        <v>-12557201.140000001</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-77485.800000000017</v>
      </c>
      <c r="H124" s="139">
        <f>-H116-H111-H112-H113-H114-H115-H74-H16-H105-H30-H22-H53-H107-H75-H76-H102-H106-H52</f>
        <v>22206.16</v>
      </c>
      <c r="I124" s="74"/>
      <c r="J124" s="74"/>
      <c r="K124" s="74"/>
      <c r="M124" s="76"/>
      <c r="N124" s="77"/>
      <c r="O124" s="77"/>
      <c r="S124" s="18"/>
    </row>
    <row r="125" spans="1:22" ht="12.75" customHeight="1" x14ac:dyDescent="0.2">
      <c r="A125" s="107"/>
      <c r="B125" s="18"/>
      <c r="C125" s="18"/>
      <c r="D125" s="72"/>
      <c r="E125" s="73"/>
      <c r="F125" s="50"/>
      <c r="G125" s="145">
        <f>G122+H122</f>
        <v>553855.27</v>
      </c>
      <c r="H125" s="50"/>
      <c r="I125" s="50"/>
      <c r="J125" s="50"/>
      <c r="K125" s="50"/>
      <c r="M125" s="20"/>
      <c r="S125" s="18"/>
    </row>
    <row r="126" spans="1:22" ht="12.75" hidden="1" customHeight="1" x14ac:dyDescent="0.2">
      <c r="A126" s="107" t="s">
        <v>58</v>
      </c>
      <c r="B126" s="18"/>
      <c r="C126" s="71"/>
      <c r="D126" s="72" t="s">
        <v>58</v>
      </c>
      <c r="E126" s="73"/>
      <c r="F126" s="50"/>
      <c r="G126" s="145">
        <f>G122+G124</f>
        <v>926422.8899999999</v>
      </c>
      <c r="H126" s="50">
        <f>H122+H124</f>
        <v>-427847.26</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498575.62999999995</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2089770.81</v>
      </c>
      <c r="F133" s="32">
        <f t="shared" ref="F133:F138" si="22">+F82+F83</f>
        <v>0</v>
      </c>
      <c r="G133" s="165"/>
      <c r="H133" s="83"/>
      <c r="I133" s="84">
        <f>+I19</f>
        <v>2089770.81</v>
      </c>
      <c r="J133" s="84">
        <f>+J19</f>
        <v>2964091.83</v>
      </c>
      <c r="K133" s="84">
        <f>+K19</f>
        <v>5053862.6400000006</v>
      </c>
      <c r="M133" s="20"/>
      <c r="S133" s="18"/>
    </row>
    <row r="134" spans="1:19" hidden="1" x14ac:dyDescent="0.2">
      <c r="A134" s="109" t="s">
        <v>141</v>
      </c>
      <c r="B134" s="18"/>
      <c r="C134" s="18"/>
      <c r="D134" s="82" t="s">
        <v>141</v>
      </c>
      <c r="E134" s="83">
        <f>+E24</f>
        <v>1921235.3300000005</v>
      </c>
      <c r="F134" s="32">
        <f t="shared" si="22"/>
        <v>0</v>
      </c>
      <c r="G134" s="165"/>
      <c r="H134" s="83"/>
      <c r="I134" s="84">
        <f>+I24</f>
        <v>1899029.1700000006</v>
      </c>
      <c r="J134" s="84">
        <f>+J24</f>
        <v>-266473.92</v>
      </c>
      <c r="K134" s="84">
        <f>+K24</f>
        <v>1632555.2500000007</v>
      </c>
      <c r="M134" s="20"/>
      <c r="S134" s="18"/>
    </row>
    <row r="135" spans="1:19" hidden="1" x14ac:dyDescent="0.2">
      <c r="A135" s="109" t="s">
        <v>61</v>
      </c>
      <c r="B135" s="18"/>
      <c r="C135" s="18"/>
      <c r="D135" s="82" t="s">
        <v>61</v>
      </c>
      <c r="E135" s="32">
        <f>+E30</f>
        <v>996147.19999999995</v>
      </c>
      <c r="F135" s="32">
        <f t="shared" si="22"/>
        <v>0</v>
      </c>
      <c r="G135" s="157"/>
      <c r="H135" s="32"/>
      <c r="I135" s="84">
        <f>+I30</f>
        <v>1010985.2</v>
      </c>
      <c r="J135" s="84">
        <f>+J30</f>
        <v>0</v>
      </c>
      <c r="K135" s="84">
        <f>+K30</f>
        <v>1010985.2</v>
      </c>
      <c r="M135" s="20"/>
      <c r="S135" s="18"/>
    </row>
    <row r="136" spans="1:19" hidden="1" x14ac:dyDescent="0.2">
      <c r="A136" s="109" t="s">
        <v>143</v>
      </c>
      <c r="B136" s="18"/>
      <c r="C136" s="18"/>
      <c r="D136" s="82" t="s">
        <v>143</v>
      </c>
      <c r="E136" s="32">
        <f>+E70</f>
        <v>23500468.199999999</v>
      </c>
      <c r="F136" s="32">
        <f t="shared" si="22"/>
        <v>0</v>
      </c>
      <c r="G136" s="157"/>
      <c r="H136" s="32"/>
      <c r="I136" s="84">
        <f>+I70</f>
        <v>24845644.939999998</v>
      </c>
      <c r="J136" s="84">
        <f>+J70</f>
        <v>-2697617.91</v>
      </c>
      <c r="K136" s="84">
        <f>+K70</f>
        <v>22148027.030000001</v>
      </c>
      <c r="M136" s="20"/>
      <c r="S136" s="18"/>
    </row>
    <row r="137" spans="1:19" hidden="1" x14ac:dyDescent="0.2">
      <c r="A137" s="109" t="s">
        <v>151</v>
      </c>
      <c r="B137" s="18"/>
      <c r="C137" s="18"/>
      <c r="D137" s="82" t="s">
        <v>151</v>
      </c>
      <c r="E137" s="32">
        <f>+E78</f>
        <v>24220766.040000003</v>
      </c>
      <c r="F137" s="32">
        <f t="shared" si="22"/>
        <v>0</v>
      </c>
      <c r="G137" s="157"/>
      <c r="H137" s="32"/>
      <c r="I137" s="84">
        <f>+I78</f>
        <v>24025673.040000003</v>
      </c>
      <c r="J137" s="84">
        <f>+J78</f>
        <v>0</v>
      </c>
      <c r="K137" s="84">
        <f>+K78</f>
        <v>24025673.040000003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-5300293.2400000012</v>
      </c>
      <c r="F139" s="32" t="e">
        <f>+F88+#REF!</f>
        <v>#REF!</v>
      </c>
      <c r="G139" s="157"/>
      <c r="H139" s="32"/>
      <c r="I139" s="84">
        <f>+I94</f>
        <v>-5950200.9900000002</v>
      </c>
      <c r="J139" s="84">
        <f>+J94</f>
        <v>0</v>
      </c>
      <c r="K139" s="84">
        <f>+K94</f>
        <v>-5950200.9900000002</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-3735994.63</v>
      </c>
      <c r="F141" s="32" t="e">
        <f>+#REF!+#REF!</f>
        <v>#REF!</v>
      </c>
      <c r="G141" s="157"/>
      <c r="H141" s="32"/>
      <c r="I141" s="84">
        <f>+I102</f>
        <v>-3702966.63</v>
      </c>
      <c r="J141" s="84">
        <f>+J102</f>
        <v>0</v>
      </c>
      <c r="K141" s="84">
        <f>+K102</f>
        <v>-3702966.63</v>
      </c>
      <c r="M141" s="20"/>
      <c r="S141" s="18"/>
    </row>
    <row r="142" spans="1:19" hidden="1" x14ac:dyDescent="0.2">
      <c r="A142" s="109" t="s">
        <v>153</v>
      </c>
      <c r="B142" s="18"/>
      <c r="C142" s="18"/>
      <c r="D142" s="82" t="s">
        <v>153</v>
      </c>
      <c r="E142" s="32">
        <f>+E109</f>
        <v>-16950.120000000006</v>
      </c>
      <c r="F142" s="32" t="e">
        <f>+#REF!+F89</f>
        <v>#REF!</v>
      </c>
      <c r="G142" s="157"/>
      <c r="H142" s="32"/>
      <c r="I142" s="84">
        <f>+I109</f>
        <v>-16774.680000000008</v>
      </c>
      <c r="J142" s="84">
        <f>+J109</f>
        <v>0</v>
      </c>
      <c r="K142" s="84">
        <f>+K109</f>
        <v>-16774.680000000008</v>
      </c>
      <c r="M142" s="20"/>
      <c r="S142" s="18"/>
    </row>
    <row r="143" spans="1:19" hidden="1" x14ac:dyDescent="0.2">
      <c r="A143" s="109" t="s">
        <v>155</v>
      </c>
      <c r="B143" s="18"/>
      <c r="C143" s="18"/>
      <c r="D143" s="82" t="s">
        <v>155</v>
      </c>
      <c r="E143" s="32">
        <f>+E118</f>
        <v>-48359538.88000001</v>
      </c>
      <c r="F143" s="32">
        <f t="shared" ref="F143" si="23">+F89+F90</f>
        <v>0</v>
      </c>
      <c r="G143" s="157"/>
      <c r="H143" s="32"/>
      <c r="I143" s="84">
        <f>+I118</f>
        <v>-48331694.880000018</v>
      </c>
      <c r="J143" s="84">
        <f>+J118</f>
        <v>0</v>
      </c>
      <c r="K143" s="84">
        <f>+K118</f>
        <v>-48331694.880000018</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-4684389.290000014</v>
      </c>
      <c r="F145" s="88" t="e">
        <f>SUM(F135:F144)</f>
        <v>#REF!</v>
      </c>
      <c r="G145" s="166"/>
      <c r="H145" s="88"/>
      <c r="I145" s="89">
        <f>SUM(I131:I144)</f>
        <v>-4130534.0200000256</v>
      </c>
      <c r="J145" s="89">
        <f>SUM(J131:J144)</f>
        <v>0</v>
      </c>
      <c r="K145" s="89">
        <f>SUM(K131:K144)</f>
        <v>-4130534.0200000182</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0</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-222060.48999999987</v>
      </c>
      <c r="H153" s="19">
        <f>+H88+H89+H90+H91+H87</f>
        <v>-427847.26</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-1148483.3799999999</v>
      </c>
      <c r="H155" s="110">
        <f>+H151+H152+H153-H126</f>
        <v>0</v>
      </c>
      <c r="I155" s="19"/>
      <c r="J155" s="19"/>
      <c r="K155" s="19"/>
      <c r="M155" s="20"/>
      <c r="S155" s="18"/>
    </row>
    <row r="156" spans="1:19" hidden="1" x14ac:dyDescent="0.2">
      <c r="B156" s="18"/>
      <c r="C156" s="18"/>
      <c r="F156" s="19"/>
      <c r="H156" s="29">
        <f>+H152+H153+H151+G151+G152+G153</f>
        <v>-649907.74999999988</v>
      </c>
      <c r="I156" s="19"/>
      <c r="J156" s="19"/>
      <c r="K156" s="19"/>
      <c r="M156" s="20"/>
      <c r="S156" s="18"/>
    </row>
    <row r="157" spans="1:19" hidden="1" x14ac:dyDescent="0.2">
      <c r="B157" s="18"/>
      <c r="C157" s="18"/>
      <c r="F157" s="19"/>
      <c r="G157" s="148"/>
      <c r="H157" s="29">
        <f>+H156-G126-H126</f>
        <v>-1148483.3799999997</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5"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88"/>
  <sheetViews>
    <sheetView topLeftCell="A77" zoomScale="80" zoomScaleNormal="80" workbookViewId="0">
      <selection activeCell="E67" sqref="E67"/>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2" t="s">
        <v>66</v>
      </c>
    </row>
    <row r="4" spans="1:22" x14ac:dyDescent="0.2">
      <c r="A4" s="99"/>
      <c r="B4" s="7"/>
      <c r="C4" s="3"/>
      <c r="D4" s="3"/>
      <c r="E4" s="3"/>
      <c r="F4" s="8"/>
      <c r="G4" s="147"/>
      <c r="H4" s="8"/>
      <c r="I4" s="9"/>
      <c r="J4" s="9"/>
      <c r="K4" s="9"/>
      <c r="M4" s="10"/>
      <c r="P4" s="182" t="s">
        <v>1</v>
      </c>
    </row>
    <row r="5" spans="1:22" x14ac:dyDescent="0.2">
      <c r="E5" s="182" t="s">
        <v>2</v>
      </c>
      <c r="F5" s="182" t="s">
        <v>3</v>
      </c>
      <c r="G5" s="182" t="s">
        <v>4</v>
      </c>
      <c r="H5" s="182"/>
      <c r="I5" s="111" t="s">
        <v>208</v>
      </c>
      <c r="J5" s="13" t="s">
        <v>180</v>
      </c>
      <c r="K5" s="111" t="s">
        <v>209</v>
      </c>
      <c r="L5" s="182" t="s">
        <v>5</v>
      </c>
      <c r="M5" s="11" t="s">
        <v>6</v>
      </c>
      <c r="N5" s="11" t="s">
        <v>0</v>
      </c>
      <c r="O5" s="11" t="s">
        <v>8</v>
      </c>
      <c r="P5" s="182" t="s">
        <v>9</v>
      </c>
      <c r="Q5" s="576" t="s">
        <v>10</v>
      </c>
      <c r="R5" s="576"/>
      <c r="U5" s="12" t="s">
        <v>11</v>
      </c>
    </row>
    <row r="6" spans="1:22" x14ac:dyDescent="0.2">
      <c r="E6" s="13">
        <v>42124</v>
      </c>
      <c r="F6" s="13" t="s">
        <v>12</v>
      </c>
      <c r="G6" s="14" t="s">
        <v>13</v>
      </c>
      <c r="H6" s="14" t="s">
        <v>8</v>
      </c>
      <c r="I6" s="112">
        <v>42155</v>
      </c>
      <c r="J6" s="13" t="s">
        <v>210</v>
      </c>
      <c r="K6" s="112">
        <f>I6</f>
        <v>42155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Apr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Apr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Apr 2015'!$A$1:$I$252,9,FALSE)</f>
        <v>793117.81</v>
      </c>
      <c r="F15" s="30">
        <v>0</v>
      </c>
      <c r="G15" s="33">
        <v>0</v>
      </c>
      <c r="H15" s="30">
        <v>0</v>
      </c>
      <c r="I15" s="115">
        <f>E15+F15+G15+H15</f>
        <v>793117.81</v>
      </c>
      <c r="J15" s="30">
        <v>0</v>
      </c>
      <c r="K15" s="115">
        <f>I15+J15</f>
        <v>793117.81</v>
      </c>
      <c r="M15" s="20"/>
      <c r="S15" s="18"/>
    </row>
    <row r="16" spans="1:22" x14ac:dyDescent="0.2">
      <c r="A16" s="100" t="s">
        <v>157</v>
      </c>
      <c r="B16" s="28"/>
      <c r="C16" s="28" t="s">
        <v>37</v>
      </c>
      <c r="D16" s="4" t="s">
        <v>192</v>
      </c>
      <c r="E16" s="29">
        <f>VLOOKUP(A16,'DEK Apr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Apr 2015'!$A$1:$I$252,9,FALSE)</f>
        <v>0</v>
      </c>
      <c r="F17" s="30">
        <v>0</v>
      </c>
      <c r="G17" s="33">
        <v>0</v>
      </c>
      <c r="H17" s="33">
        <v>0</v>
      </c>
      <c r="I17" s="115">
        <f>E17+F17+G17+H17</f>
        <v>0</v>
      </c>
      <c r="J17" s="30">
        <v>4204480.88</v>
      </c>
      <c r="K17" s="115">
        <f t="shared" ref="K17" si="1">I17+J17</f>
        <v>4204480.88</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0</v>
      </c>
      <c r="H19" s="29">
        <f t="shared" si="2"/>
        <v>0</v>
      </c>
      <c r="I19" s="123">
        <f t="shared" si="2"/>
        <v>2089770.81</v>
      </c>
      <c r="J19" s="29">
        <f t="shared" si="2"/>
        <v>4204480.88</v>
      </c>
      <c r="K19" s="123">
        <f t="shared" si="2"/>
        <v>6294251.6899999995</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Apr 2015'!$A$1:$I$252,9,FALSE)</f>
        <v>1899029.1700000006</v>
      </c>
      <c r="F22" s="33">
        <v>0</v>
      </c>
      <c r="G22" s="130"/>
      <c r="H22" s="130">
        <v>-22206.17</v>
      </c>
      <c r="I22" s="115">
        <f>E22+F22+G22+H22</f>
        <v>1876823.0000000007</v>
      </c>
      <c r="J22" s="33">
        <v>-266474.03999999998</v>
      </c>
      <c r="K22" s="115">
        <f>I22+J22</f>
        <v>1610348.9600000007</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1899029.1700000006</v>
      </c>
      <c r="F24" s="29">
        <f t="shared" ref="F24:K24" si="3">SUM(F22:F23)</f>
        <v>0</v>
      </c>
      <c r="G24" s="29">
        <f t="shared" si="3"/>
        <v>0</v>
      </c>
      <c r="H24" s="29">
        <f t="shared" si="3"/>
        <v>-22206.17</v>
      </c>
      <c r="I24" s="123">
        <f t="shared" si="3"/>
        <v>1876823.0000000007</v>
      </c>
      <c r="J24" s="29">
        <f t="shared" si="3"/>
        <v>-266474.03999999998</v>
      </c>
      <c r="K24" s="123">
        <f t="shared" si="3"/>
        <v>1610348.9600000007</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Apr 2015'!$A$1:$I$252,9,FALSE)</f>
        <v>1548709</v>
      </c>
      <c r="F27" s="33">
        <v>0</v>
      </c>
      <c r="G27" s="33">
        <v>9771</v>
      </c>
      <c r="H27" s="29">
        <v>0</v>
      </c>
      <c r="I27" s="115">
        <f>E27+F27+G27+H27</f>
        <v>1558480</v>
      </c>
      <c r="J27" s="33">
        <v>0</v>
      </c>
      <c r="K27" s="115">
        <f>I27+J27</f>
        <v>1558480</v>
      </c>
      <c r="L27" s="4" t="s">
        <v>22</v>
      </c>
      <c r="M27" s="20"/>
      <c r="S27" s="28" t="s">
        <v>23</v>
      </c>
    </row>
    <row r="28" spans="1:21" ht="13.5" customHeight="1" x14ac:dyDescent="0.2">
      <c r="A28" s="100" t="s">
        <v>80</v>
      </c>
      <c r="B28" s="28"/>
      <c r="C28" s="28" t="s">
        <v>24</v>
      </c>
      <c r="D28" s="4" t="s">
        <v>204</v>
      </c>
      <c r="E28" s="29">
        <f>VLOOKUP(A28,'DEK Apr 2015'!$A$1:$I$252,9,FALSE)</f>
        <v>-537723.80000000005</v>
      </c>
      <c r="F28" s="33">
        <v>0</v>
      </c>
      <c r="G28" s="33">
        <v>5066</v>
      </c>
      <c r="H28" s="32">
        <v>0</v>
      </c>
      <c r="I28" s="115">
        <f>E28+F28+G28+H28</f>
        <v>-532657.80000000005</v>
      </c>
      <c r="J28" s="33">
        <v>0</v>
      </c>
      <c r="K28" s="115">
        <f>I28+J28</f>
        <v>-532657.80000000005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1010985.2</v>
      </c>
      <c r="F30" s="44">
        <f t="shared" ref="F30:K30" si="4">SUM(F27:F28)</f>
        <v>0</v>
      </c>
      <c r="G30" s="130">
        <f t="shared" si="4"/>
        <v>14837</v>
      </c>
      <c r="H30" s="130">
        <f t="shared" si="4"/>
        <v>0</v>
      </c>
      <c r="I30" s="122">
        <f t="shared" si="4"/>
        <v>1025822.2</v>
      </c>
      <c r="J30" s="33">
        <f t="shared" si="4"/>
        <v>0</v>
      </c>
      <c r="K30" s="122">
        <f t="shared" si="4"/>
        <v>1025822.2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Apr 2015'!$A$1:$I$252,9,FALSE)</f>
        <v>7669195.2500000009</v>
      </c>
      <c r="F52" s="33">
        <v>0</v>
      </c>
      <c r="G52" s="33">
        <v>281375.56</v>
      </c>
      <c r="H52" s="33">
        <v>0</v>
      </c>
      <c r="I52" s="115">
        <f>E52+F52+G52+H52</f>
        <v>7950570.8100000005</v>
      </c>
      <c r="J52" s="33">
        <v>-3938006.84</v>
      </c>
      <c r="K52" s="115">
        <f>I52+J52</f>
        <v>4012563.9700000007</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Apr 2015'!$A$1:$I$252,9,FALSE)</f>
        <v>5999744</v>
      </c>
      <c r="F53" s="33">
        <v>0</v>
      </c>
      <c r="G53" s="130">
        <v>0</v>
      </c>
      <c r="H53" s="130">
        <v>0</v>
      </c>
      <c r="I53" s="115">
        <f>E53+F53+G53+H53</f>
        <v>5999744</v>
      </c>
      <c r="J53" s="33">
        <v>0</v>
      </c>
      <c r="K53" s="115">
        <f>I53+J53</f>
        <v>5999744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Apr 2015'!$A$1:$I$252,9,FALSE)</f>
        <v>1250000</v>
      </c>
      <c r="F59" s="33">
        <v>0</v>
      </c>
      <c r="G59" s="33">
        <v>0</v>
      </c>
      <c r="H59" s="33">
        <v>0</v>
      </c>
      <c r="I59" s="115">
        <f>E59+F59+G59+H59</f>
        <v>1250000</v>
      </c>
      <c r="J59" s="33">
        <v>0</v>
      </c>
      <c r="K59" s="115">
        <f>I59+J59</f>
        <v>1250000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Apr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Apr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Apr 2015'!$A$1:$I$252,9,FALSE)</f>
        <v>5013792.76</v>
      </c>
      <c r="F67" s="172"/>
      <c r="G67" s="33">
        <v>1530207.34</v>
      </c>
      <c r="H67" s="172"/>
      <c r="I67" s="115">
        <f t="shared" si="5"/>
        <v>6544000.0999999996</v>
      </c>
      <c r="J67" s="172"/>
      <c r="K67" s="115">
        <f t="shared" si="6"/>
        <v>6544000.0999999996</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234</v>
      </c>
      <c r="B69" s="28"/>
      <c r="C69" s="28" t="s">
        <v>232</v>
      </c>
      <c r="D69" s="4" t="s">
        <v>233</v>
      </c>
      <c r="E69" s="35">
        <f>VLOOKUP(A69,'DEK Apr 2015'!$A$1:$I$252,9,FALSE)</f>
        <v>228.93</v>
      </c>
      <c r="F69" s="174"/>
      <c r="G69" s="36">
        <v>-228.93</v>
      </c>
      <c r="H69" s="36"/>
      <c r="I69" s="116">
        <f t="shared" si="5"/>
        <v>0</v>
      </c>
      <c r="J69" s="36"/>
      <c r="K69" s="116">
        <f t="shared" si="6"/>
        <v>0</v>
      </c>
      <c r="M69" s="20"/>
      <c r="S69" s="18"/>
    </row>
    <row r="70" spans="1:21" x14ac:dyDescent="0.2">
      <c r="B70" s="54"/>
      <c r="C70" s="28"/>
      <c r="E70" s="29">
        <f>SUM(E42:E69)</f>
        <v>24845644.939999998</v>
      </c>
      <c r="F70" s="29">
        <f>SUM(F39:F65)+F36</f>
        <v>0</v>
      </c>
      <c r="G70" s="29">
        <f>SUM(G39:G69)+G36</f>
        <v>1811353.9700000002</v>
      </c>
      <c r="H70" s="29">
        <f>SUM(H39:H65)+H36</f>
        <v>0</v>
      </c>
      <c r="I70" s="123">
        <f>SUM(I39:I69)+I36</f>
        <v>26656998.910000004</v>
      </c>
      <c r="J70" s="29">
        <f>SUM(J39:J69)+J36</f>
        <v>-3938006.84</v>
      </c>
      <c r="K70" s="123">
        <f>SUM(K39:K69)+K36</f>
        <v>22718992.07</v>
      </c>
      <c r="M70" s="20"/>
      <c r="S70" s="18"/>
    </row>
    <row r="71" spans="1:21" x14ac:dyDescent="0.2">
      <c r="B71" s="28"/>
      <c r="C71" s="28"/>
      <c r="E71" s="29"/>
      <c r="F71" s="30"/>
      <c r="G71" s="152"/>
      <c r="H71" s="30"/>
      <c r="I71" s="115"/>
      <c r="J71" s="30"/>
      <c r="K71" s="115"/>
      <c r="M71" s="20"/>
      <c r="S71" s="18"/>
    </row>
    <row r="72" spans="1:21" s="22" customFormat="1" x14ac:dyDescent="0.2">
      <c r="A72" s="101"/>
      <c r="B72" s="54" t="s">
        <v>129</v>
      </c>
      <c r="C72" s="55"/>
      <c r="E72" s="47"/>
      <c r="F72" s="47"/>
      <c r="G72" s="162"/>
      <c r="H72" s="47"/>
      <c r="I72" s="124"/>
      <c r="J72" s="47"/>
      <c r="K72" s="124"/>
      <c r="M72" s="19"/>
      <c r="N72" s="48"/>
      <c r="O72" s="48"/>
      <c r="P72" s="56"/>
      <c r="R72" s="57"/>
      <c r="S72" s="57"/>
      <c r="T72" s="55"/>
      <c r="U72" s="55"/>
    </row>
    <row r="73" spans="1:21" ht="25.5" hidden="1" customHeight="1" x14ac:dyDescent="0.2">
      <c r="A73" s="100" t="s">
        <v>125</v>
      </c>
      <c r="B73" s="18"/>
      <c r="C73" s="28" t="s">
        <v>73</v>
      </c>
      <c r="D73" s="4" t="s">
        <v>125</v>
      </c>
      <c r="E73" s="29">
        <v>0</v>
      </c>
      <c r="F73" s="33">
        <v>0</v>
      </c>
      <c r="G73" s="144">
        <v>0</v>
      </c>
      <c r="H73" s="33">
        <v>0</v>
      </c>
      <c r="I73" s="115">
        <f>E73+F73+G73+H73</f>
        <v>0</v>
      </c>
      <c r="J73" s="30">
        <f>F73+G73+H73+I73</f>
        <v>0</v>
      </c>
      <c r="K73" s="115">
        <f>G73+H73+I73+J73</f>
        <v>0</v>
      </c>
      <c r="M73" s="42" t="s">
        <v>126</v>
      </c>
      <c r="O73" s="53"/>
      <c r="P73" s="31"/>
      <c r="R73" s="4" t="s">
        <v>107</v>
      </c>
      <c r="S73" s="18">
        <v>182940</v>
      </c>
      <c r="U73" s="39" t="s">
        <v>36</v>
      </c>
    </row>
    <row r="74" spans="1:21" x14ac:dyDescent="0.2">
      <c r="A74" s="100" t="s">
        <v>161</v>
      </c>
      <c r="B74" s="28"/>
      <c r="C74" s="28" t="s">
        <v>72</v>
      </c>
      <c r="D74" s="4" t="s">
        <v>224</v>
      </c>
      <c r="E74" s="29">
        <f>VLOOKUP(A74,'DEK Apr 2015'!$A$1:$I$252,9,FALSE)</f>
        <v>20829196.440000001</v>
      </c>
      <c r="F74" s="30">
        <v>0</v>
      </c>
      <c r="G74" s="130">
        <v>1872161</v>
      </c>
      <c r="H74" s="129">
        <v>0</v>
      </c>
      <c r="I74" s="115">
        <f>E74+F74+G74+H74</f>
        <v>22701357.440000001</v>
      </c>
      <c r="J74" s="30">
        <v>0</v>
      </c>
      <c r="K74" s="115">
        <f t="shared" ref="K74:K76" si="7">I74+J74</f>
        <v>22701357.440000001</v>
      </c>
      <c r="M74" s="20"/>
      <c r="P74" s="58"/>
      <c r="S74" s="18">
        <v>186801</v>
      </c>
    </row>
    <row r="75" spans="1:21" x14ac:dyDescent="0.2">
      <c r="A75" s="108" t="s">
        <v>171</v>
      </c>
      <c r="B75" s="28"/>
      <c r="C75" s="28" t="s">
        <v>122</v>
      </c>
      <c r="D75" s="4" t="s">
        <v>225</v>
      </c>
      <c r="E75" s="29">
        <f>VLOOKUP(A75,'DEK Apr 2015'!$A$1:$I$252,9,FALSE)</f>
        <v>3135617.55</v>
      </c>
      <c r="F75" s="30">
        <v>0</v>
      </c>
      <c r="G75" s="130">
        <v>-27586</v>
      </c>
      <c r="H75" s="129">
        <v>0</v>
      </c>
      <c r="I75" s="115">
        <f>E75+F75+G75+H75</f>
        <v>3108031.55</v>
      </c>
      <c r="J75" s="30">
        <v>0</v>
      </c>
      <c r="K75" s="115">
        <f t="shared" si="7"/>
        <v>3108031.55</v>
      </c>
      <c r="M75" s="20"/>
      <c r="P75" s="58"/>
      <c r="S75" s="18"/>
    </row>
    <row r="76" spans="1:21" x14ac:dyDescent="0.2">
      <c r="A76" s="108" t="s">
        <v>172</v>
      </c>
      <c r="B76" s="28"/>
      <c r="C76" s="28" t="s">
        <v>123</v>
      </c>
      <c r="D76" s="4" t="s">
        <v>226</v>
      </c>
      <c r="E76" s="29">
        <f>VLOOKUP(A76,'DEK Apr 2015'!$A$1:$I$252,9,FALSE)</f>
        <v>60859.05</v>
      </c>
      <c r="F76" s="30">
        <v>0</v>
      </c>
      <c r="G76" s="130">
        <v>-794</v>
      </c>
      <c r="H76" s="129">
        <v>0</v>
      </c>
      <c r="I76" s="115">
        <f>E76+F76+G76+H76</f>
        <v>60065.05</v>
      </c>
      <c r="J76" s="30">
        <v>0</v>
      </c>
      <c r="K76" s="115">
        <f t="shared" si="7"/>
        <v>60065.05</v>
      </c>
      <c r="M76" s="20"/>
      <c r="P76" s="58"/>
      <c r="S76" s="18"/>
    </row>
    <row r="77" spans="1:21" x14ac:dyDescent="0.2">
      <c r="B77" s="28"/>
      <c r="C77" s="28"/>
      <c r="E77" s="35"/>
      <c r="F77" s="36"/>
      <c r="G77" s="150"/>
      <c r="H77" s="36"/>
      <c r="I77" s="116"/>
      <c r="J77" s="36"/>
      <c r="K77" s="116"/>
      <c r="M77" s="20"/>
      <c r="P77" s="58"/>
      <c r="S77" s="18"/>
    </row>
    <row r="78" spans="1:21" x14ac:dyDescent="0.2">
      <c r="B78" s="28"/>
      <c r="C78" s="18"/>
      <c r="E78" s="29">
        <f>SUM(E73:E77)</f>
        <v>24025673.040000003</v>
      </c>
      <c r="F78" s="29">
        <f t="shared" ref="F78:K78" si="8">SUM(F73:F77)</f>
        <v>0</v>
      </c>
      <c r="G78" s="29">
        <f>SUM(G73:G77)</f>
        <v>1843781</v>
      </c>
      <c r="H78" s="29">
        <f t="shared" si="8"/>
        <v>0</v>
      </c>
      <c r="I78" s="123">
        <f t="shared" si="8"/>
        <v>25869454.040000003</v>
      </c>
      <c r="J78" s="29">
        <f t="shared" si="8"/>
        <v>0</v>
      </c>
      <c r="K78" s="123">
        <f t="shared" si="8"/>
        <v>25869454.040000003</v>
      </c>
      <c r="M78" s="20"/>
      <c r="S78" s="18"/>
    </row>
    <row r="79" spans="1:21" ht="12.75" hidden="1" customHeight="1" x14ac:dyDescent="0.2">
      <c r="B79" s="54" t="s">
        <v>135</v>
      </c>
      <c r="C79" s="18"/>
      <c r="E79" s="29"/>
      <c r="F79" s="29"/>
      <c r="G79" s="151"/>
      <c r="H79" s="29"/>
      <c r="I79" s="117"/>
      <c r="J79" s="29"/>
      <c r="K79" s="117"/>
      <c r="M79" s="20"/>
      <c r="S79" s="18"/>
    </row>
    <row r="80" spans="1:21" ht="12.75" hidden="1" customHeight="1" x14ac:dyDescent="0.2">
      <c r="A80" s="100" t="s">
        <v>108</v>
      </c>
      <c r="B80" s="28"/>
      <c r="C80" s="28" t="s">
        <v>71</v>
      </c>
      <c r="D80" s="4" t="s">
        <v>108</v>
      </c>
      <c r="E80" s="29">
        <v>0</v>
      </c>
      <c r="F80" s="30">
        <v>0</v>
      </c>
      <c r="G80" s="152">
        <v>0</v>
      </c>
      <c r="H80" s="30">
        <v>0</v>
      </c>
      <c r="I80" s="115">
        <f t="shared" ref="I80:K81" si="9">E80+F80+G80+H80</f>
        <v>0</v>
      </c>
      <c r="J80" s="30">
        <f t="shared" si="9"/>
        <v>0</v>
      </c>
      <c r="K80" s="115">
        <f t="shared" si="9"/>
        <v>0</v>
      </c>
      <c r="M80" s="20"/>
      <c r="S80" s="18">
        <v>174995</v>
      </c>
    </row>
    <row r="81" spans="1:20" ht="12.75" hidden="1" customHeight="1" x14ac:dyDescent="0.2">
      <c r="A81" s="100" t="s">
        <v>139</v>
      </c>
      <c r="B81" s="28"/>
      <c r="C81" s="28" t="s">
        <v>124</v>
      </c>
      <c r="D81" s="4" t="s">
        <v>139</v>
      </c>
      <c r="E81" s="29">
        <v>0</v>
      </c>
      <c r="F81" s="30">
        <v>0</v>
      </c>
      <c r="G81" s="152">
        <v>0</v>
      </c>
      <c r="H81" s="30">
        <v>0</v>
      </c>
      <c r="I81" s="115">
        <f t="shared" si="9"/>
        <v>0</v>
      </c>
      <c r="J81" s="30">
        <f t="shared" si="9"/>
        <v>0</v>
      </c>
      <c r="K81" s="115">
        <f t="shared" si="9"/>
        <v>0</v>
      </c>
      <c r="M81" s="20"/>
      <c r="S81" s="18"/>
    </row>
    <row r="82" spans="1:20" ht="7.5" hidden="1" customHeight="1" x14ac:dyDescent="0.2">
      <c r="B82" s="28"/>
      <c r="C82" s="18"/>
      <c r="D82" s="59"/>
      <c r="E82" s="29"/>
      <c r="F82" s="30"/>
      <c r="G82" s="152"/>
      <c r="H82" s="30"/>
      <c r="I82" s="115"/>
      <c r="J82" s="30"/>
      <c r="K82" s="115"/>
      <c r="M82" s="20"/>
      <c r="P82" s="58"/>
      <c r="S82" s="18"/>
    </row>
    <row r="83" spans="1:20" x14ac:dyDescent="0.2">
      <c r="B83" s="28"/>
      <c r="C83" s="18"/>
      <c r="E83" s="29"/>
      <c r="F83" s="30"/>
      <c r="G83" s="152"/>
      <c r="H83" s="30"/>
      <c r="I83" s="115"/>
      <c r="J83" s="30"/>
      <c r="K83" s="115"/>
      <c r="M83" s="20"/>
      <c r="S83" s="18"/>
    </row>
    <row r="84" spans="1:20" x14ac:dyDescent="0.2">
      <c r="B84" s="18"/>
      <c r="C84" s="131" t="s">
        <v>41</v>
      </c>
      <c r="D84" s="135"/>
      <c r="E84" s="133">
        <f t="shared" ref="E84:K84" si="10">+E12+E24+E30+E70+E78+E80+E19+E81</f>
        <v>53871103.159999996</v>
      </c>
      <c r="F84" s="133">
        <f t="shared" si="10"/>
        <v>0</v>
      </c>
      <c r="G84" s="133">
        <f t="shared" si="10"/>
        <v>3669971.97</v>
      </c>
      <c r="H84" s="133">
        <f t="shared" si="10"/>
        <v>-22206.17</v>
      </c>
      <c r="I84" s="134">
        <f t="shared" si="10"/>
        <v>57518868.960000008</v>
      </c>
      <c r="J84" s="133">
        <f t="shared" si="10"/>
        <v>0</v>
      </c>
      <c r="K84" s="134">
        <f t="shared" si="10"/>
        <v>57518868.960000001</v>
      </c>
      <c r="M84" s="45"/>
      <c r="N84" s="143"/>
      <c r="S84" s="18"/>
    </row>
    <row r="85" spans="1:20" x14ac:dyDescent="0.2">
      <c r="A85" s="105"/>
      <c r="B85" s="18"/>
      <c r="C85" s="18"/>
      <c r="D85" s="12"/>
      <c r="E85" s="49"/>
      <c r="F85" s="50"/>
      <c r="G85" s="145"/>
      <c r="H85" s="50"/>
      <c r="I85" s="115"/>
      <c r="J85" s="30"/>
      <c r="K85" s="115"/>
      <c r="M85" s="45"/>
      <c r="S85" s="18"/>
    </row>
    <row r="86" spans="1:20" s="22" customFormat="1" x14ac:dyDescent="0.2">
      <c r="A86" s="106"/>
      <c r="B86" s="21" t="s">
        <v>130</v>
      </c>
      <c r="C86" s="46"/>
      <c r="D86" s="27"/>
      <c r="E86" s="60"/>
      <c r="F86" s="50"/>
      <c r="G86" s="145"/>
      <c r="H86" s="50"/>
      <c r="I86" s="113"/>
      <c r="J86" s="19"/>
      <c r="K86" s="113"/>
      <c r="M86" s="19"/>
      <c r="N86" s="20"/>
      <c r="O86" s="48"/>
      <c r="R86" s="57"/>
      <c r="S86" s="57"/>
    </row>
    <row r="87" spans="1:20" x14ac:dyDescent="0.2">
      <c r="A87" s="100" t="s">
        <v>114</v>
      </c>
      <c r="B87" s="18"/>
      <c r="C87" s="28" t="s">
        <v>52</v>
      </c>
      <c r="D87" s="4" t="s">
        <v>114</v>
      </c>
      <c r="E87" s="29">
        <f>VLOOKUP(A87,'DEK Apr 2015'!$A$1:$I$252,9,FALSE)</f>
        <v>-693616.19999999984</v>
      </c>
      <c r="F87" s="30">
        <v>0</v>
      </c>
      <c r="G87" s="33">
        <f>-323559.77+439488.57</f>
        <v>115928.79999999999</v>
      </c>
      <c r="H87" s="33">
        <v>-181065.51</v>
      </c>
      <c r="I87" s="115">
        <f t="shared" ref="I87:I92" si="11">E87+F87+G87+H87</f>
        <v>-758752.90999999992</v>
      </c>
      <c r="J87" s="30">
        <v>0</v>
      </c>
      <c r="K87" s="115">
        <f t="shared" ref="K87:K92" si="12">I87+J87</f>
        <v>-758752.90999999992</v>
      </c>
      <c r="L87" s="4" t="s">
        <v>22</v>
      </c>
      <c r="M87" s="33"/>
      <c r="N87" s="42"/>
      <c r="O87" s="42"/>
      <c r="S87" s="18">
        <v>191400</v>
      </c>
      <c r="T87" s="58"/>
    </row>
    <row r="88" spans="1:20" x14ac:dyDescent="0.2">
      <c r="A88" s="100" t="s">
        <v>115</v>
      </c>
      <c r="B88" s="18"/>
      <c r="C88" s="28" t="s">
        <v>53</v>
      </c>
      <c r="D88" s="4" t="s">
        <v>115</v>
      </c>
      <c r="E88" s="29">
        <f>VLOOKUP(A88,'DEK Apr 2015'!$A$1:$I$252,9,FALSE)</f>
        <v>-1044808</v>
      </c>
      <c r="F88" s="30">
        <v>0</v>
      </c>
      <c r="G88" s="33">
        <v>483382</v>
      </c>
      <c r="H88" s="33">
        <v>0</v>
      </c>
      <c r="I88" s="115">
        <f t="shared" si="11"/>
        <v>-561426</v>
      </c>
      <c r="J88" s="30">
        <v>0</v>
      </c>
      <c r="K88" s="115">
        <f t="shared" si="12"/>
        <v>-561426</v>
      </c>
      <c r="L88" s="4" t="s">
        <v>22</v>
      </c>
      <c r="M88" s="30"/>
      <c r="N88" s="42"/>
      <c r="O88" s="42"/>
      <c r="S88" s="18">
        <v>191800</v>
      </c>
      <c r="T88" s="58"/>
    </row>
    <row r="89" spans="1:20" ht="12.75" customHeight="1" x14ac:dyDescent="0.2">
      <c r="A89" s="100" t="s">
        <v>117</v>
      </c>
      <c r="B89" s="18"/>
      <c r="C89" s="28" t="s">
        <v>77</v>
      </c>
      <c r="D89" s="4" t="s">
        <v>117</v>
      </c>
      <c r="E89" s="29">
        <f>VLOOKUP(A89,'DEK Apr 2015'!$A$1:$I$252,9,FALSE)</f>
        <v>-370254</v>
      </c>
      <c r="F89" s="30">
        <v>0</v>
      </c>
      <c r="G89" s="30">
        <v>-180762</v>
      </c>
      <c r="H89" s="33">
        <v>0</v>
      </c>
      <c r="I89" s="115">
        <f t="shared" si="11"/>
        <v>-551016</v>
      </c>
      <c r="J89" s="30">
        <v>0</v>
      </c>
      <c r="K89" s="115">
        <f t="shared" si="12"/>
        <v>-551016</v>
      </c>
      <c r="M89" s="20"/>
      <c r="N89" s="42"/>
      <c r="O89" s="42"/>
      <c r="S89" s="18">
        <v>242995</v>
      </c>
      <c r="T89" s="58"/>
    </row>
    <row r="90" spans="1:20" x14ac:dyDescent="0.2">
      <c r="A90" s="100" t="s">
        <v>119</v>
      </c>
      <c r="B90" s="18"/>
      <c r="C90" s="28" t="s">
        <v>118</v>
      </c>
      <c r="D90" s="4" t="s">
        <v>119</v>
      </c>
      <c r="E90" s="29">
        <f>VLOOKUP(A90,'DEK Apr 2015'!$A$1:$I$252,9,FALSE)</f>
        <v>-3925856.4300000006</v>
      </c>
      <c r="F90" s="30">
        <v>0</v>
      </c>
      <c r="G90" s="30">
        <v>-144034.14000000001</v>
      </c>
      <c r="H90" s="33">
        <v>0</v>
      </c>
      <c r="I90" s="115">
        <f t="shared" si="11"/>
        <v>-4069890.5700000008</v>
      </c>
      <c r="J90" s="30">
        <v>0</v>
      </c>
      <c r="K90" s="115">
        <f t="shared" si="12"/>
        <v>-4069890.5700000008</v>
      </c>
      <c r="M90" s="20"/>
      <c r="N90" s="42"/>
      <c r="O90" s="42"/>
      <c r="S90" s="18">
        <v>242997</v>
      </c>
      <c r="T90" s="58"/>
    </row>
    <row r="91" spans="1:20" x14ac:dyDescent="0.2">
      <c r="A91" s="100" t="s">
        <v>120</v>
      </c>
      <c r="B91" s="18"/>
      <c r="C91" s="28" t="s">
        <v>54</v>
      </c>
      <c r="D91" s="4" t="s">
        <v>120</v>
      </c>
      <c r="E91" s="29">
        <f>VLOOKUP(A91,'DEK Apr 2015'!$A$1:$I$252,9,FALSE)</f>
        <v>27130.150000000031</v>
      </c>
      <c r="F91" s="33">
        <v>0</v>
      </c>
      <c r="G91" s="33">
        <v>-443041.19</v>
      </c>
      <c r="H91" s="33">
        <v>1852.34</v>
      </c>
      <c r="I91" s="115">
        <f t="shared" si="11"/>
        <v>-414058.69999999995</v>
      </c>
      <c r="J91" s="33">
        <v>0</v>
      </c>
      <c r="K91" s="115">
        <f t="shared" si="12"/>
        <v>-414058.69999999995</v>
      </c>
      <c r="L91" s="4" t="s">
        <v>22</v>
      </c>
      <c r="M91" s="42"/>
      <c r="N91" s="42"/>
      <c r="O91" s="42"/>
      <c r="S91" s="18">
        <v>253130</v>
      </c>
      <c r="T91" s="58"/>
    </row>
    <row r="92" spans="1:20" x14ac:dyDescent="0.2">
      <c r="A92" s="100" t="s">
        <v>156</v>
      </c>
      <c r="B92" s="18"/>
      <c r="C92" s="28" t="s">
        <v>116</v>
      </c>
      <c r="D92" s="4" t="s">
        <v>211</v>
      </c>
      <c r="E92" s="29">
        <f>VLOOKUP(A92,'DEK Apr 2015'!$A$1:$I$252,9,FALSE)</f>
        <v>57203.489999999991</v>
      </c>
      <c r="F92" s="33"/>
      <c r="G92" s="33">
        <v>-705604.27</v>
      </c>
      <c r="H92" s="33">
        <v>0</v>
      </c>
      <c r="I92" s="115">
        <f t="shared" si="11"/>
        <v>-648400.78</v>
      </c>
      <c r="J92" s="30">
        <v>0</v>
      </c>
      <c r="K92" s="115">
        <f t="shared" si="12"/>
        <v>-648400.78</v>
      </c>
      <c r="M92" s="42"/>
      <c r="N92" s="42"/>
      <c r="O92" s="42"/>
      <c r="S92" s="18"/>
      <c r="T92" s="58"/>
    </row>
    <row r="93" spans="1:20" x14ac:dyDescent="0.2">
      <c r="B93" s="18"/>
      <c r="C93" s="28"/>
      <c r="E93" s="36"/>
      <c r="F93" s="36"/>
      <c r="G93" s="150"/>
      <c r="H93" s="36"/>
      <c r="I93" s="116"/>
      <c r="J93" s="36"/>
      <c r="K93" s="116"/>
      <c r="M93" s="42"/>
      <c r="N93" s="42"/>
      <c r="O93" s="42"/>
      <c r="S93" s="18"/>
      <c r="T93" s="58"/>
    </row>
    <row r="94" spans="1:20" x14ac:dyDescent="0.2">
      <c r="B94" s="18"/>
      <c r="C94" s="61"/>
      <c r="D94" s="34"/>
      <c r="E94" s="33">
        <f t="shared" ref="E94:K94" si="13">SUM(E87:E93)</f>
        <v>-5950200.9900000002</v>
      </c>
      <c r="F94" s="33">
        <f t="shared" si="13"/>
        <v>0</v>
      </c>
      <c r="G94" s="33">
        <f t="shared" si="13"/>
        <v>-874130.8</v>
      </c>
      <c r="H94" s="33">
        <f t="shared" si="13"/>
        <v>-179213.17</v>
      </c>
      <c r="I94" s="122">
        <f t="shared" si="13"/>
        <v>-7003544.9600000009</v>
      </c>
      <c r="J94" s="33">
        <f t="shared" si="13"/>
        <v>0</v>
      </c>
      <c r="K94" s="122">
        <f t="shared" si="13"/>
        <v>-7003544.9600000009</v>
      </c>
      <c r="M94" s="42"/>
      <c r="N94" s="42"/>
      <c r="O94" s="42"/>
      <c r="S94" s="18"/>
      <c r="T94" s="58"/>
    </row>
    <row r="95" spans="1:20" hidden="1" x14ac:dyDescent="0.2">
      <c r="B95" s="21" t="s">
        <v>188</v>
      </c>
      <c r="C95" s="61"/>
      <c r="D95" s="34"/>
      <c r="E95" s="33"/>
      <c r="F95" s="33"/>
      <c r="G95" s="144"/>
      <c r="H95" s="33"/>
      <c r="I95" s="115"/>
      <c r="J95" s="33"/>
      <c r="K95" s="115"/>
      <c r="M95" s="42"/>
      <c r="N95" s="42"/>
      <c r="O95" s="42"/>
      <c r="S95" s="18"/>
      <c r="T95" s="58"/>
    </row>
    <row r="96" spans="1:20" hidden="1" x14ac:dyDescent="0.2">
      <c r="A96" s="100" t="s">
        <v>185</v>
      </c>
      <c r="B96" s="18"/>
      <c r="C96" s="28" t="s">
        <v>186</v>
      </c>
      <c r="D96" s="4" t="s">
        <v>213</v>
      </c>
      <c r="E96" s="29">
        <v>0</v>
      </c>
      <c r="F96" s="33">
        <v>0</v>
      </c>
      <c r="G96" s="144">
        <v>0</v>
      </c>
      <c r="H96" s="33">
        <v>0</v>
      </c>
      <c r="I96" s="115">
        <f>E96+F96+G96+H96</f>
        <v>0</v>
      </c>
      <c r="J96" s="33">
        <v>0</v>
      </c>
      <c r="K96" s="115">
        <f>I96+J96</f>
        <v>0</v>
      </c>
      <c r="M96" s="42"/>
      <c r="N96" s="42"/>
      <c r="O96" s="42"/>
      <c r="S96" s="18"/>
      <c r="T96" s="58"/>
    </row>
    <row r="97" spans="1:23" ht="12.75" hidden="1" customHeight="1" x14ac:dyDescent="0.2">
      <c r="A97" s="100" t="s">
        <v>181</v>
      </c>
      <c r="B97" s="18"/>
      <c r="C97" s="28" t="s">
        <v>182</v>
      </c>
      <c r="D97" s="4" t="s">
        <v>213</v>
      </c>
      <c r="E97" s="29">
        <f>VLOOKUP(A97,'[23]DEK Apr 2013'!$A$1:$I$252,9,FALSE)</f>
        <v>0</v>
      </c>
      <c r="F97" s="33">
        <v>0</v>
      </c>
      <c r="G97" s="144">
        <v>0</v>
      </c>
      <c r="H97" s="33">
        <v>0</v>
      </c>
      <c r="I97" s="115">
        <f>E97+F97+G97+H97</f>
        <v>0</v>
      </c>
      <c r="J97" s="30">
        <v>0</v>
      </c>
      <c r="K97" s="115">
        <f>I97+J97</f>
        <v>0</v>
      </c>
      <c r="L97" s="4" t="s">
        <v>22</v>
      </c>
      <c r="M97" s="42"/>
      <c r="N97" s="42"/>
      <c r="O97" s="42"/>
      <c r="S97" s="18">
        <v>253130</v>
      </c>
      <c r="T97" s="58"/>
    </row>
    <row r="98" spans="1:23" hidden="1" x14ac:dyDescent="0.2">
      <c r="B98" s="18"/>
      <c r="C98" s="28"/>
      <c r="E98" s="36"/>
      <c r="F98" s="36"/>
      <c r="G98" s="150"/>
      <c r="H98" s="36"/>
      <c r="I98" s="116"/>
      <c r="J98" s="36"/>
      <c r="K98" s="116"/>
      <c r="M98" s="42"/>
      <c r="N98" s="42"/>
      <c r="O98" s="42"/>
      <c r="S98" s="18"/>
      <c r="T98" s="58"/>
    </row>
    <row r="99" spans="1:23" hidden="1" x14ac:dyDescent="0.2">
      <c r="B99" s="18"/>
      <c r="C99" s="28"/>
      <c r="E99" s="33">
        <f>SUM(E96:E97)</f>
        <v>0</v>
      </c>
      <c r="F99" s="33">
        <f t="shared" ref="F99:L99" si="14">SUM(F96:F97)</f>
        <v>0</v>
      </c>
      <c r="G99" s="144">
        <f t="shared" si="14"/>
        <v>0</v>
      </c>
      <c r="H99" s="33">
        <f t="shared" si="14"/>
        <v>0</v>
      </c>
      <c r="I99" s="128">
        <f>SUM(I96:I97)</f>
        <v>0</v>
      </c>
      <c r="J99" s="33">
        <f t="shared" si="14"/>
        <v>0</v>
      </c>
      <c r="K99" s="128">
        <f t="shared" si="14"/>
        <v>0</v>
      </c>
      <c r="L99" s="33">
        <f t="shared" si="14"/>
        <v>0</v>
      </c>
      <c r="M99" s="42"/>
      <c r="N99" s="42"/>
      <c r="O99" s="42"/>
      <c r="S99" s="18"/>
      <c r="T99" s="58"/>
    </row>
    <row r="100" spans="1:23" x14ac:dyDescent="0.2">
      <c r="B100" s="18"/>
      <c r="C100" s="61"/>
      <c r="D100" s="34"/>
      <c r="E100" s="33"/>
      <c r="F100" s="33"/>
      <c r="G100" s="144"/>
      <c r="H100" s="33"/>
      <c r="I100" s="115"/>
      <c r="J100" s="33"/>
      <c r="K100" s="115"/>
      <c r="M100" s="42"/>
      <c r="N100" s="42"/>
      <c r="O100" s="42"/>
      <c r="S100" s="18"/>
      <c r="T100" s="58"/>
    </row>
    <row r="101" spans="1:23" s="22" customFormat="1" x14ac:dyDescent="0.2">
      <c r="A101" s="101"/>
      <c r="B101" s="21" t="s">
        <v>214</v>
      </c>
      <c r="C101" s="63"/>
      <c r="D101" s="64"/>
      <c r="E101" s="33"/>
      <c r="F101" s="30"/>
      <c r="G101" s="152" t="s">
        <v>187</v>
      </c>
      <c r="H101" s="30"/>
      <c r="I101" s="113"/>
      <c r="J101" s="19"/>
      <c r="K101" s="113"/>
      <c r="M101" s="19"/>
      <c r="N101" s="42"/>
      <c r="O101" s="48"/>
      <c r="T101" s="46"/>
      <c r="U101" s="46"/>
    </row>
    <row r="102" spans="1:23" x14ac:dyDescent="0.2">
      <c r="A102" s="100" t="s">
        <v>162</v>
      </c>
      <c r="B102" s="18"/>
      <c r="C102" s="28" t="s">
        <v>76</v>
      </c>
      <c r="D102" s="4" t="s">
        <v>194</v>
      </c>
      <c r="E102" s="29">
        <f>VLOOKUP(A102,'DEK Apr 2015'!$A$1:$I$252,9,FALSE)</f>
        <v>-3702966.63</v>
      </c>
      <c r="F102" s="30">
        <v>0</v>
      </c>
      <c r="G102" s="130">
        <v>33028</v>
      </c>
      <c r="H102" s="130">
        <v>0</v>
      </c>
      <c r="I102" s="125">
        <f>E102+G102+H102+F102</f>
        <v>-3669938.63</v>
      </c>
      <c r="J102" s="91">
        <v>0</v>
      </c>
      <c r="K102" s="115">
        <f>I102+J102</f>
        <v>-3669938.63</v>
      </c>
      <c r="L102" s="66"/>
      <c r="M102" s="67"/>
      <c r="P102" s="51"/>
      <c r="Q102" s="18"/>
      <c r="R102" s="58"/>
      <c r="S102" s="18"/>
    </row>
    <row r="103" spans="1:23" ht="15" x14ac:dyDescent="0.25">
      <c r="B103" s="18"/>
      <c r="C103" s="28"/>
      <c r="D103" s="65"/>
      <c r="E103" s="30"/>
      <c r="F103" s="30"/>
      <c r="G103" s="144"/>
      <c r="H103" s="33"/>
      <c r="I103" s="126"/>
      <c r="J103" s="1"/>
      <c r="K103" s="126"/>
      <c r="L103" s="66"/>
      <c r="M103" s="67"/>
      <c r="P103" s="51"/>
      <c r="Q103" s="18"/>
      <c r="R103" s="58"/>
      <c r="S103" s="18"/>
    </row>
    <row r="104" spans="1:23" x14ac:dyDescent="0.2">
      <c r="B104" s="21" t="s">
        <v>227</v>
      </c>
      <c r="C104" s="28"/>
      <c r="E104" s="30"/>
      <c r="F104" s="30"/>
      <c r="G104" s="152"/>
      <c r="H104" s="30"/>
      <c r="I104" s="115"/>
      <c r="J104" s="30"/>
      <c r="K104" s="115"/>
      <c r="M104" s="20"/>
      <c r="N104" s="42"/>
      <c r="O104" s="42"/>
      <c r="R104" s="58"/>
      <c r="S104" s="18"/>
      <c r="T104" s="58"/>
    </row>
    <row r="105" spans="1:23" x14ac:dyDescent="0.2">
      <c r="A105" s="100" t="s">
        <v>163</v>
      </c>
      <c r="B105" s="18"/>
      <c r="C105" s="28" t="s">
        <v>48</v>
      </c>
      <c r="D105" s="4" t="s">
        <v>195</v>
      </c>
      <c r="E105" s="29">
        <f>VLOOKUP(A105,'DEK Apr 2015'!$A$1:$I$252,9,FALSE)</f>
        <v>0</v>
      </c>
      <c r="F105" s="30">
        <v>0</v>
      </c>
      <c r="G105" s="130">
        <v>0</v>
      </c>
      <c r="H105" s="130">
        <v>0</v>
      </c>
      <c r="I105" s="115">
        <f>E105+F105+G105+H105</f>
        <v>0</v>
      </c>
      <c r="J105" s="30">
        <v>0</v>
      </c>
      <c r="K105" s="115">
        <f t="shared" ref="K105:K107" si="15">I105+J105</f>
        <v>0</v>
      </c>
      <c r="M105" s="62"/>
      <c r="P105" s="51"/>
      <c r="Q105" s="18"/>
      <c r="R105" s="58"/>
      <c r="S105" s="18">
        <v>254998</v>
      </c>
    </row>
    <row r="106" spans="1:23" x14ac:dyDescent="0.2">
      <c r="A106" s="100" t="s">
        <v>179</v>
      </c>
      <c r="B106" s="18"/>
      <c r="C106" s="28" t="s">
        <v>47</v>
      </c>
      <c r="D106" s="4" t="s">
        <v>196</v>
      </c>
      <c r="E106" s="29">
        <f>VLOOKUP(A106,'DEK Apr 2015'!$A$1:$I$252,9,FALSE)</f>
        <v>0</v>
      </c>
      <c r="F106" s="30">
        <v>0</v>
      </c>
      <c r="G106" s="129">
        <v>0</v>
      </c>
      <c r="H106" s="130">
        <v>0</v>
      </c>
      <c r="I106" s="115">
        <f>E106+F106+G106+H106</f>
        <v>0</v>
      </c>
      <c r="J106" s="30">
        <v>0</v>
      </c>
      <c r="K106" s="115">
        <f t="shared" si="15"/>
        <v>0</v>
      </c>
      <c r="M106" s="62"/>
      <c r="P106" s="51"/>
      <c r="Q106" s="18"/>
      <c r="R106" s="58"/>
      <c r="S106" s="18">
        <v>254998</v>
      </c>
      <c r="W106" s="47"/>
    </row>
    <row r="107" spans="1:23" x14ac:dyDescent="0.2">
      <c r="A107" s="100" t="s">
        <v>164</v>
      </c>
      <c r="B107" s="18"/>
      <c r="C107" s="28" t="s">
        <v>75</v>
      </c>
      <c r="D107" s="4" t="s">
        <v>215</v>
      </c>
      <c r="E107" s="29">
        <f>VLOOKUP(A107,'DEK Apr 2015'!$A$1:$I$252,9,FALSE)</f>
        <v>-16774.680000000008</v>
      </c>
      <c r="F107" s="30">
        <v>0</v>
      </c>
      <c r="G107" s="130">
        <v>144.33000000000001</v>
      </c>
      <c r="H107" s="130">
        <v>0</v>
      </c>
      <c r="I107" s="115">
        <f>E107+F107+G107+H107</f>
        <v>-16630.350000000006</v>
      </c>
      <c r="J107" s="30">
        <v>0</v>
      </c>
      <c r="K107" s="115">
        <f t="shared" si="15"/>
        <v>-16630.350000000006</v>
      </c>
      <c r="M107" s="62"/>
      <c r="P107" s="51"/>
      <c r="Q107" s="18"/>
      <c r="R107" s="58"/>
      <c r="S107" s="18">
        <v>254210</v>
      </c>
    </row>
    <row r="108" spans="1:23" x14ac:dyDescent="0.2">
      <c r="B108" s="18"/>
      <c r="C108" s="28"/>
      <c r="D108" s="65"/>
      <c r="E108" s="36"/>
      <c r="F108" s="36"/>
      <c r="G108" s="150"/>
      <c r="H108" s="36"/>
      <c r="I108" s="116"/>
      <c r="J108" s="36"/>
      <c r="K108" s="116"/>
      <c r="M108" s="62"/>
      <c r="P108" s="51"/>
      <c r="Q108" s="18"/>
      <c r="R108" s="58"/>
      <c r="S108" s="18"/>
    </row>
    <row r="109" spans="1:23" x14ac:dyDescent="0.2">
      <c r="B109" s="18"/>
      <c r="C109" s="28"/>
      <c r="E109" s="30">
        <f t="shared" ref="E109" si="16">SUM(E105:E108)</f>
        <v>-16774.680000000008</v>
      </c>
      <c r="F109" s="30">
        <f t="shared" ref="F109:K109" si="17">SUM(F105:F108)</f>
        <v>0</v>
      </c>
      <c r="G109" s="30">
        <f t="shared" si="17"/>
        <v>144.33000000000001</v>
      </c>
      <c r="H109" s="30">
        <f t="shared" si="17"/>
        <v>0</v>
      </c>
      <c r="I109" s="115">
        <f t="shared" si="17"/>
        <v>-16630.350000000006</v>
      </c>
      <c r="J109" s="30">
        <f t="shared" si="17"/>
        <v>0</v>
      </c>
      <c r="K109" s="115">
        <f t="shared" si="17"/>
        <v>-16630.350000000006</v>
      </c>
      <c r="M109" s="20"/>
      <c r="N109" s="42"/>
      <c r="O109" s="42"/>
      <c r="R109" s="58"/>
      <c r="S109" s="18"/>
      <c r="T109" s="58"/>
    </row>
    <row r="110" spans="1:23" x14ac:dyDescent="0.2">
      <c r="B110" s="21" t="s">
        <v>216</v>
      </c>
      <c r="C110" s="28"/>
      <c r="E110" s="30"/>
      <c r="F110" s="30"/>
      <c r="G110" s="152"/>
      <c r="H110" s="30"/>
      <c r="I110" s="115"/>
      <c r="J110" s="30"/>
      <c r="K110" s="115"/>
      <c r="M110" s="20"/>
      <c r="N110" s="42"/>
      <c r="O110" s="42"/>
      <c r="R110" s="58"/>
      <c r="S110" s="18"/>
      <c r="T110" s="58"/>
    </row>
    <row r="111" spans="1:23" x14ac:dyDescent="0.2">
      <c r="A111" s="100" t="s">
        <v>165</v>
      </c>
      <c r="B111" s="18"/>
      <c r="C111" s="28" t="s">
        <v>45</v>
      </c>
      <c r="D111" s="4" t="s">
        <v>197</v>
      </c>
      <c r="E111" s="29">
        <f>VLOOKUP(A111,'DEK Apr 2015'!$A$1:$I$252,9,FALSE)</f>
        <v>-17103293.080000002</v>
      </c>
      <c r="F111" s="30">
        <v>0</v>
      </c>
      <c r="G111" s="129">
        <v>-56622.49</v>
      </c>
      <c r="H111" s="129">
        <v>0</v>
      </c>
      <c r="I111" s="115">
        <f t="shared" ref="I111:I116" si="18">E111+F111+G111+H111</f>
        <v>-17159915.57</v>
      </c>
      <c r="J111" s="30">
        <v>0</v>
      </c>
      <c r="K111" s="115">
        <f t="shared" ref="K111:K116" si="19">I111+J111</f>
        <v>-17159915.57</v>
      </c>
      <c r="L111" s="4" t="s">
        <v>43</v>
      </c>
      <c r="M111" s="20"/>
      <c r="N111" s="42"/>
      <c r="O111" s="42"/>
      <c r="Q111" s="182">
        <v>75086</v>
      </c>
      <c r="R111" s="58" t="s">
        <v>44</v>
      </c>
      <c r="S111" s="18">
        <v>108201</v>
      </c>
      <c r="T111" s="58"/>
    </row>
    <row r="112" spans="1:23" x14ac:dyDescent="0.2">
      <c r="A112" s="100" t="s">
        <v>166</v>
      </c>
      <c r="B112" s="18"/>
      <c r="C112" s="28" t="s">
        <v>45</v>
      </c>
      <c r="D112" s="4" t="s">
        <v>198</v>
      </c>
      <c r="E112" s="29">
        <f>VLOOKUP(A112,'DEK Apr 2015'!$A$1:$I$252,9,FALSE)</f>
        <v>-49395643.000000007</v>
      </c>
      <c r="F112" s="30">
        <v>0</v>
      </c>
      <c r="G112" s="129">
        <v>-294364.40000000002</v>
      </c>
      <c r="H112" s="129">
        <v>0</v>
      </c>
      <c r="I112" s="115">
        <f t="shared" si="18"/>
        <v>-49690007.400000006</v>
      </c>
      <c r="J112" s="30">
        <v>0</v>
      </c>
      <c r="K112" s="115">
        <f t="shared" si="19"/>
        <v>-49690007.400000006</v>
      </c>
      <c r="L112" s="4" t="s">
        <v>43</v>
      </c>
      <c r="M112" s="20"/>
      <c r="N112" s="42"/>
      <c r="O112" s="42"/>
      <c r="R112" s="58" t="s">
        <v>44</v>
      </c>
      <c r="S112" s="18">
        <v>108301</v>
      </c>
      <c r="T112" s="58"/>
    </row>
    <row r="113" spans="1:22" x14ac:dyDescent="0.2">
      <c r="A113" s="100" t="s">
        <v>167</v>
      </c>
      <c r="B113" s="18"/>
      <c r="C113" s="28" t="s">
        <v>46</v>
      </c>
      <c r="D113" s="4" t="s">
        <v>199</v>
      </c>
      <c r="E113" s="29">
        <f>VLOOKUP(A113,'DEK Apr 2015'!$A$1:$I$252,9,FALSE)</f>
        <v>12234215.089999998</v>
      </c>
      <c r="F113" s="30">
        <v>0</v>
      </c>
      <c r="G113" s="129">
        <v>243130.22</v>
      </c>
      <c r="H113" s="129">
        <v>0</v>
      </c>
      <c r="I113" s="115">
        <f t="shared" si="18"/>
        <v>12477345.309999999</v>
      </c>
      <c r="J113" s="30">
        <v>0</v>
      </c>
      <c r="K113" s="115">
        <f>I113+J113</f>
        <v>12477345.309999999</v>
      </c>
      <c r="L113" s="4" t="s">
        <v>43</v>
      </c>
      <c r="M113" s="20"/>
      <c r="N113" s="42"/>
      <c r="O113" s="42"/>
      <c r="S113" s="18">
        <v>108410</v>
      </c>
      <c r="T113" s="58"/>
    </row>
    <row r="114" spans="1:22" x14ac:dyDescent="0.2">
      <c r="A114" s="100" t="s">
        <v>168</v>
      </c>
      <c r="B114" s="18"/>
      <c r="C114" s="28" t="s">
        <v>74</v>
      </c>
      <c r="D114" s="4" t="s">
        <v>217</v>
      </c>
      <c r="E114" s="29">
        <f>VLOOKUP(A114,'DEK Apr 2015'!$A$1:$I$252,9,FALSE)</f>
        <v>1896401.8299999998</v>
      </c>
      <c r="F114" s="30">
        <v>0</v>
      </c>
      <c r="G114" s="129">
        <v>228857.64</v>
      </c>
      <c r="H114" s="129">
        <v>0</v>
      </c>
      <c r="I114" s="115">
        <f t="shared" si="18"/>
        <v>2125259.4699999997</v>
      </c>
      <c r="J114" s="30">
        <v>0</v>
      </c>
      <c r="K114" s="115">
        <f>I114+J114</f>
        <v>2125259.4699999997</v>
      </c>
      <c r="M114" s="20"/>
      <c r="N114" s="42"/>
      <c r="O114" s="42"/>
      <c r="Q114" s="4" t="s">
        <v>50</v>
      </c>
      <c r="R114" s="4" t="s">
        <v>51</v>
      </c>
      <c r="S114" s="18">
        <v>182303</v>
      </c>
      <c r="T114" s="58"/>
    </row>
    <row r="115" spans="1:22" x14ac:dyDescent="0.2">
      <c r="A115" s="100" t="s">
        <v>169</v>
      </c>
      <c r="B115" s="18"/>
      <c r="C115" s="28" t="s">
        <v>49</v>
      </c>
      <c r="D115" s="4" t="s">
        <v>218</v>
      </c>
      <c r="E115" s="29">
        <f>VLOOKUP(A115,'DEK Apr 2015'!$A$1:$I$252,9,FALSE)</f>
        <v>4137148.3900000015</v>
      </c>
      <c r="F115" s="30">
        <v>0</v>
      </c>
      <c r="G115" s="129">
        <v>21407.439999999999</v>
      </c>
      <c r="H115" s="129">
        <v>0</v>
      </c>
      <c r="I115" s="115">
        <f t="shared" si="18"/>
        <v>4158555.8300000015</v>
      </c>
      <c r="J115" s="30">
        <v>0</v>
      </c>
      <c r="K115" s="115">
        <f t="shared" si="19"/>
        <v>4158555.8300000015</v>
      </c>
      <c r="M115" s="20"/>
      <c r="N115" s="42"/>
      <c r="O115" s="42"/>
      <c r="Q115" s="4" t="s">
        <v>50</v>
      </c>
      <c r="S115" s="18">
        <v>182304</v>
      </c>
      <c r="T115" s="58"/>
    </row>
    <row r="116" spans="1:22" x14ac:dyDescent="0.2">
      <c r="A116" s="100" t="s">
        <v>170</v>
      </c>
      <c r="B116" s="18"/>
      <c r="C116" s="28" t="s">
        <v>42</v>
      </c>
      <c r="D116" s="4" t="s">
        <v>200</v>
      </c>
      <c r="E116" s="29">
        <f>VLOOKUP(A116,'DEK Apr 2015'!$A$1:$I$252,9,FALSE)</f>
        <v>-100524.11</v>
      </c>
      <c r="F116" s="30">
        <v>0</v>
      </c>
      <c r="G116" s="129">
        <v>-5932.49</v>
      </c>
      <c r="H116" s="129">
        <v>0</v>
      </c>
      <c r="I116" s="115">
        <f t="shared" si="18"/>
        <v>-106456.6</v>
      </c>
      <c r="J116" s="30">
        <v>0</v>
      </c>
      <c r="K116" s="115">
        <f t="shared" si="19"/>
        <v>-106456.6</v>
      </c>
      <c r="L116" s="4" t="s">
        <v>43</v>
      </c>
      <c r="M116" s="20"/>
      <c r="N116" s="42"/>
      <c r="O116" s="42"/>
      <c r="R116" s="58" t="s">
        <v>44</v>
      </c>
      <c r="S116" s="18">
        <v>108101</v>
      </c>
      <c r="T116" s="58"/>
    </row>
    <row r="117" spans="1:22" x14ac:dyDescent="0.2">
      <c r="B117" s="18"/>
      <c r="C117" s="28"/>
      <c r="E117" s="36"/>
      <c r="F117" s="36"/>
      <c r="G117" s="150"/>
      <c r="H117" s="36"/>
      <c r="I117" s="127"/>
      <c r="J117" s="68"/>
      <c r="K117" s="127"/>
      <c r="M117" s="62"/>
      <c r="P117" s="51"/>
      <c r="Q117" s="18"/>
      <c r="R117" s="58"/>
      <c r="S117" s="18">
        <v>254401</v>
      </c>
    </row>
    <row r="118" spans="1:22" x14ac:dyDescent="0.2">
      <c r="B118" s="18"/>
      <c r="C118" s="28"/>
      <c r="E118" s="33">
        <f t="shared" ref="E118:K118" si="20">SUM(E111:E117)</f>
        <v>-48331694.880000018</v>
      </c>
      <c r="F118" s="33">
        <f t="shared" si="20"/>
        <v>0</v>
      </c>
      <c r="G118" s="33">
        <f t="shared" si="20"/>
        <v>136475.92000000001</v>
      </c>
      <c r="H118" s="33">
        <f t="shared" si="20"/>
        <v>0</v>
      </c>
      <c r="I118" s="122">
        <f t="shared" si="20"/>
        <v>-48195218.960000016</v>
      </c>
      <c r="J118" s="33">
        <f t="shared" si="20"/>
        <v>0</v>
      </c>
      <c r="K118" s="122">
        <f t="shared" si="20"/>
        <v>-48195218.960000016</v>
      </c>
      <c r="M118" s="62"/>
      <c r="P118" s="51"/>
      <c r="Q118" s="18"/>
      <c r="R118" s="58"/>
      <c r="S118" s="18"/>
    </row>
    <row r="119" spans="1:22" ht="15" x14ac:dyDescent="0.25">
      <c r="B119" s="18"/>
      <c r="C119" s="28"/>
      <c r="D119" s="65"/>
      <c r="E119" s="30"/>
      <c r="F119" s="30"/>
      <c r="G119" s="144"/>
      <c r="H119" s="33"/>
      <c r="I119" s="126"/>
      <c r="J119" s="1"/>
      <c r="K119" s="126"/>
      <c r="L119" s="66"/>
      <c r="M119" s="67"/>
      <c r="P119" s="51"/>
      <c r="Q119" s="18"/>
      <c r="R119" s="58"/>
      <c r="S119" s="18"/>
    </row>
    <row r="120" spans="1:22" x14ac:dyDescent="0.2">
      <c r="A120" s="105" t="s">
        <v>55</v>
      </c>
      <c r="B120" s="18"/>
      <c r="C120" s="131" t="s">
        <v>55</v>
      </c>
      <c r="D120" s="132"/>
      <c r="E120" s="133">
        <f>+E94+E102+E109+E118+E99</f>
        <v>-58001637.180000022</v>
      </c>
      <c r="F120" s="133">
        <f t="shared" ref="F120:H120" si="21">+F94+F102+F109+F118+F99</f>
        <v>0</v>
      </c>
      <c r="G120" s="133">
        <f t="shared" si="21"/>
        <v>-704482.55</v>
      </c>
      <c r="H120" s="133">
        <f t="shared" si="21"/>
        <v>-179213.17</v>
      </c>
      <c r="I120" s="134">
        <f>+I94+I102+I109+I118+I99</f>
        <v>-58885332.900000013</v>
      </c>
      <c r="J120" s="133">
        <f>+J94+J102+J109+J118+J99</f>
        <v>0</v>
      </c>
      <c r="K120" s="134">
        <f>+K94+K102+K109+K118+K99</f>
        <v>-58885332.900000013</v>
      </c>
      <c r="M120" s="20"/>
      <c r="N120" s="69"/>
      <c r="R120" s="58"/>
      <c r="S120" s="18"/>
    </row>
    <row r="121" spans="1:22" x14ac:dyDescent="0.2">
      <c r="A121" s="105"/>
      <c r="B121" s="18"/>
      <c r="C121" s="18"/>
      <c r="D121" s="12"/>
      <c r="E121" s="49"/>
      <c r="F121" s="50"/>
      <c r="G121" s="145"/>
      <c r="H121" s="50"/>
      <c r="I121" s="122"/>
      <c r="J121" s="50"/>
      <c r="K121" s="122"/>
      <c r="M121" s="45"/>
      <c r="S121" s="18"/>
    </row>
    <row r="122" spans="1:22" x14ac:dyDescent="0.2">
      <c r="A122" s="105" t="s">
        <v>56</v>
      </c>
      <c r="B122" s="18"/>
      <c r="C122" s="18"/>
      <c r="D122" s="136" t="s">
        <v>219</v>
      </c>
      <c r="E122" s="137">
        <f>E120+E84</f>
        <v>-4130534.0200000256</v>
      </c>
      <c r="F122" s="137">
        <f>F120+F84</f>
        <v>0</v>
      </c>
      <c r="G122" s="137">
        <f>G120+G84</f>
        <v>2965489.42</v>
      </c>
      <c r="H122" s="137">
        <f>H120+H84</f>
        <v>-201419.34000000003</v>
      </c>
      <c r="I122" s="138">
        <f>I84+I120</f>
        <v>-1366463.9400000051</v>
      </c>
      <c r="J122" s="137">
        <f>J120+J84</f>
        <v>0</v>
      </c>
      <c r="K122" s="138">
        <f>K84+K120</f>
        <v>-1366463.9400000125</v>
      </c>
      <c r="L122" s="50">
        <v>0</v>
      </c>
      <c r="M122" s="70"/>
      <c r="N122" s="70"/>
      <c r="O122" s="70"/>
      <c r="P122" s="50"/>
      <c r="Q122" s="50"/>
      <c r="R122" s="50"/>
      <c r="S122" s="18"/>
      <c r="T122" s="29">
        <f>+G122+H122+F122</f>
        <v>2764070.08</v>
      </c>
      <c r="U122" s="19">
        <v>13111056.41</v>
      </c>
      <c r="V122" s="29">
        <f>+T122-U122</f>
        <v>-10346986.33</v>
      </c>
    </row>
    <row r="123" spans="1:22" hidden="1" x14ac:dyDescent="0.2">
      <c r="A123" s="105"/>
      <c r="B123" s="18"/>
      <c r="C123" s="18"/>
      <c r="D123" s="12"/>
      <c r="E123" s="49"/>
      <c r="F123" s="50"/>
      <c r="G123" s="145"/>
      <c r="H123" s="50"/>
      <c r="I123" s="50"/>
      <c r="J123" s="50"/>
      <c r="K123" s="50"/>
      <c r="M123" s="45"/>
      <c r="S123" s="18"/>
    </row>
    <row r="124" spans="1:22" s="75" customFormat="1" ht="12.75" hidden="1" customHeight="1" x14ac:dyDescent="0.2">
      <c r="A124" s="107" t="s">
        <v>57</v>
      </c>
      <c r="B124" s="71"/>
      <c r="C124" s="18"/>
      <c r="D124" s="140" t="s">
        <v>57</v>
      </c>
      <c r="E124" s="141"/>
      <c r="F124" s="142"/>
      <c r="G124" s="163">
        <f>-G116-G111-G112-G113-G114-G115-G74-G16-G105-G30-G22-G53-G107-G75-G76-G102-G106-G52</f>
        <v>-2309641.81</v>
      </c>
      <c r="H124" s="139">
        <f>-H116-H111-H112-H113-H114-H115-H74-H16-H105-H30-H22-H53-H107-H75-H76-H102-H106-H52</f>
        <v>22206.17</v>
      </c>
      <c r="I124" s="74"/>
      <c r="J124" s="74"/>
      <c r="K124" s="74"/>
      <c r="M124" s="76"/>
      <c r="N124" s="77"/>
      <c r="O124" s="77"/>
      <c r="S124" s="18"/>
    </row>
    <row r="125" spans="1:22" ht="12.75" customHeight="1" x14ac:dyDescent="0.2">
      <c r="A125" s="107"/>
      <c r="B125" s="18"/>
      <c r="C125" s="18"/>
      <c r="D125" s="72"/>
      <c r="E125" s="73"/>
      <c r="F125" s="50"/>
      <c r="G125" s="145">
        <f>G122+H122</f>
        <v>2764070.08</v>
      </c>
      <c r="H125" s="50"/>
      <c r="I125" s="50"/>
      <c r="J125" s="50"/>
      <c r="K125" s="50"/>
      <c r="M125" s="20"/>
      <c r="S125" s="18"/>
    </row>
    <row r="126" spans="1:22" ht="12.75" hidden="1" customHeight="1" x14ac:dyDescent="0.2">
      <c r="A126" s="107" t="s">
        <v>58</v>
      </c>
      <c r="B126" s="18"/>
      <c r="C126" s="71"/>
      <c r="D126" s="72" t="s">
        <v>58</v>
      </c>
      <c r="E126" s="73"/>
      <c r="F126" s="50"/>
      <c r="G126" s="145">
        <f>G122+G124</f>
        <v>655847.60999999987</v>
      </c>
      <c r="H126" s="50">
        <f>H122+H124</f>
        <v>-179213.17000000004</v>
      </c>
      <c r="I126" s="50"/>
      <c r="J126" s="50"/>
      <c r="K126" s="50"/>
      <c r="M126" s="20"/>
      <c r="S126" s="71"/>
    </row>
    <row r="127" spans="1:22" ht="12.75" hidden="1" customHeight="1" x14ac:dyDescent="0.2">
      <c r="A127" s="107"/>
      <c r="B127" s="18"/>
      <c r="C127" s="18"/>
      <c r="D127" s="72"/>
      <c r="E127" s="73"/>
      <c r="F127" s="50"/>
      <c r="G127" s="145"/>
      <c r="H127" s="50"/>
      <c r="I127" s="50"/>
      <c r="J127" s="50"/>
      <c r="K127" s="50"/>
      <c r="M127" s="20"/>
      <c r="S127" s="18"/>
    </row>
    <row r="128" spans="1:22" ht="12.75" hidden="1" customHeight="1" x14ac:dyDescent="0.2">
      <c r="A128" s="107" t="s">
        <v>59</v>
      </c>
      <c r="B128" s="18"/>
      <c r="C128" s="18"/>
      <c r="D128" s="72" t="s">
        <v>59</v>
      </c>
      <c r="E128" s="73"/>
      <c r="F128" s="50"/>
      <c r="G128" s="145">
        <f>+G122+H122+G124+H124</f>
        <v>476634.44</v>
      </c>
      <c r="H128" s="50"/>
      <c r="I128" s="50"/>
      <c r="J128" s="50"/>
      <c r="K128" s="50"/>
      <c r="M128" s="20"/>
      <c r="S128" s="18"/>
    </row>
    <row r="129" spans="1:19" hidden="1" x14ac:dyDescent="0.2">
      <c r="B129" s="18"/>
      <c r="C129" s="18"/>
      <c r="E129" s="29"/>
      <c r="F129" s="19"/>
      <c r="G129" s="148"/>
      <c r="H129" s="19"/>
      <c r="I129" s="19"/>
      <c r="J129" s="19"/>
      <c r="K129" s="19"/>
      <c r="M129" s="20"/>
      <c r="S129" s="18"/>
    </row>
    <row r="130" spans="1:19" hidden="1" x14ac:dyDescent="0.2">
      <c r="A130" s="109" t="s">
        <v>60</v>
      </c>
      <c r="B130" s="18"/>
      <c r="C130" s="18"/>
      <c r="D130" s="78" t="s">
        <v>60</v>
      </c>
      <c r="E130" s="79"/>
      <c r="F130" s="80"/>
      <c r="G130" s="164"/>
      <c r="H130" s="80"/>
      <c r="I130" s="81"/>
      <c r="J130" s="81"/>
      <c r="K130" s="81"/>
      <c r="M130" s="20"/>
      <c r="S130" s="18"/>
    </row>
    <row r="131" spans="1:19" hidden="1" x14ac:dyDescent="0.2">
      <c r="A131" s="109" t="s">
        <v>138</v>
      </c>
      <c r="B131" s="18"/>
      <c r="C131" s="18"/>
      <c r="D131" s="82" t="s">
        <v>138</v>
      </c>
      <c r="E131" s="32">
        <v>0</v>
      </c>
      <c r="F131" s="32">
        <f>+F80+F81</f>
        <v>0</v>
      </c>
      <c r="G131" s="157"/>
      <c r="H131" s="32">
        <f>+H80+H81</f>
        <v>0</v>
      </c>
      <c r="I131" s="84">
        <f>+I80+I81</f>
        <v>0</v>
      </c>
      <c r="J131" s="84">
        <f>+J80+J81</f>
        <v>0</v>
      </c>
      <c r="K131" s="84">
        <f>+K80+K81</f>
        <v>0</v>
      </c>
      <c r="M131" s="20"/>
      <c r="S131" s="18"/>
    </row>
    <row r="132" spans="1:19" hidden="1" x14ac:dyDescent="0.2">
      <c r="A132" s="109" t="s">
        <v>140</v>
      </c>
      <c r="B132" s="18"/>
      <c r="C132" s="18"/>
      <c r="D132" s="82" t="s">
        <v>140</v>
      </c>
      <c r="E132" s="83">
        <f>+E12</f>
        <v>-1.1641532182693481E-9</v>
      </c>
      <c r="F132" s="32">
        <f>+F81+F82</f>
        <v>0</v>
      </c>
      <c r="G132" s="165"/>
      <c r="H132" s="83"/>
      <c r="I132" s="84">
        <f>+I12</f>
        <v>-1.1641532182693481E-9</v>
      </c>
      <c r="J132" s="84">
        <f>+J12</f>
        <v>0</v>
      </c>
      <c r="K132" s="84">
        <f>+K12</f>
        <v>-1.1641532182693481E-9</v>
      </c>
      <c r="M132" s="20"/>
      <c r="S132" s="18"/>
    </row>
    <row r="133" spans="1:19" hidden="1" x14ac:dyDescent="0.2">
      <c r="A133" s="109" t="s">
        <v>142</v>
      </c>
      <c r="B133" s="18"/>
      <c r="C133" s="18"/>
      <c r="D133" s="82" t="s">
        <v>142</v>
      </c>
      <c r="E133" s="83">
        <f>+E19</f>
        <v>2089770.81</v>
      </c>
      <c r="F133" s="32">
        <f t="shared" ref="F133:F138" si="22">+F82+F83</f>
        <v>0</v>
      </c>
      <c r="G133" s="165"/>
      <c r="H133" s="83"/>
      <c r="I133" s="84">
        <f>+I19</f>
        <v>2089770.81</v>
      </c>
      <c r="J133" s="84">
        <f>+J19</f>
        <v>4204480.88</v>
      </c>
      <c r="K133" s="84">
        <f>+K19</f>
        <v>6294251.6899999995</v>
      </c>
      <c r="M133" s="20"/>
      <c r="S133" s="18"/>
    </row>
    <row r="134" spans="1:19" hidden="1" x14ac:dyDescent="0.2">
      <c r="A134" s="109" t="s">
        <v>141</v>
      </c>
      <c r="B134" s="18"/>
      <c r="C134" s="18"/>
      <c r="D134" s="82" t="s">
        <v>141</v>
      </c>
      <c r="E134" s="83">
        <f>+E24</f>
        <v>1899029.1700000006</v>
      </c>
      <c r="F134" s="32">
        <f t="shared" si="22"/>
        <v>0</v>
      </c>
      <c r="G134" s="165"/>
      <c r="H134" s="83"/>
      <c r="I134" s="84">
        <f>+I24</f>
        <v>1876823.0000000007</v>
      </c>
      <c r="J134" s="84">
        <f>+J24</f>
        <v>-266474.03999999998</v>
      </c>
      <c r="K134" s="84">
        <f>+K24</f>
        <v>1610348.9600000007</v>
      </c>
      <c r="M134" s="20"/>
      <c r="S134" s="18"/>
    </row>
    <row r="135" spans="1:19" hidden="1" x14ac:dyDescent="0.2">
      <c r="A135" s="109" t="s">
        <v>61</v>
      </c>
      <c r="B135" s="18"/>
      <c r="C135" s="18"/>
      <c r="D135" s="82" t="s">
        <v>61</v>
      </c>
      <c r="E135" s="32">
        <f>+E30</f>
        <v>1010985.2</v>
      </c>
      <c r="F135" s="32">
        <f t="shared" si="22"/>
        <v>0</v>
      </c>
      <c r="G135" s="157"/>
      <c r="H135" s="32"/>
      <c r="I135" s="84">
        <f>+I30</f>
        <v>1025822.2</v>
      </c>
      <c r="J135" s="84">
        <f>+J30</f>
        <v>0</v>
      </c>
      <c r="K135" s="84">
        <f>+K30</f>
        <v>1025822.2</v>
      </c>
      <c r="M135" s="20"/>
      <c r="S135" s="18"/>
    </row>
    <row r="136" spans="1:19" hidden="1" x14ac:dyDescent="0.2">
      <c r="A136" s="109" t="s">
        <v>143</v>
      </c>
      <c r="B136" s="18"/>
      <c r="C136" s="18"/>
      <c r="D136" s="82" t="s">
        <v>143</v>
      </c>
      <c r="E136" s="32">
        <f>+E70</f>
        <v>24845644.939999998</v>
      </c>
      <c r="F136" s="32">
        <f t="shared" si="22"/>
        <v>0</v>
      </c>
      <c r="G136" s="157"/>
      <c r="H136" s="32"/>
      <c r="I136" s="84">
        <f>+I70</f>
        <v>26656998.910000004</v>
      </c>
      <c r="J136" s="84">
        <f>+J70</f>
        <v>-3938006.84</v>
      </c>
      <c r="K136" s="84">
        <f>+K70</f>
        <v>22718992.07</v>
      </c>
      <c r="M136" s="20"/>
      <c r="S136" s="18"/>
    </row>
    <row r="137" spans="1:19" hidden="1" x14ac:dyDescent="0.2">
      <c r="A137" s="109" t="s">
        <v>151</v>
      </c>
      <c r="B137" s="18"/>
      <c r="C137" s="18"/>
      <c r="D137" s="82" t="s">
        <v>151</v>
      </c>
      <c r="E137" s="32">
        <f>+E78</f>
        <v>24025673.040000003</v>
      </c>
      <c r="F137" s="32">
        <f t="shared" si="22"/>
        <v>0</v>
      </c>
      <c r="G137" s="157"/>
      <c r="H137" s="32"/>
      <c r="I137" s="84">
        <f>+I78</f>
        <v>25869454.040000003</v>
      </c>
      <c r="J137" s="84">
        <f>+J78</f>
        <v>0</v>
      </c>
      <c r="K137" s="84">
        <f>+K78</f>
        <v>25869454.040000003</v>
      </c>
      <c r="M137" s="20"/>
      <c r="S137" s="18"/>
    </row>
    <row r="138" spans="1:19" hidden="1" x14ac:dyDescent="0.2">
      <c r="A138" s="109" t="s">
        <v>62</v>
      </c>
      <c r="B138" s="18"/>
      <c r="C138" s="18"/>
      <c r="D138" s="82" t="s">
        <v>62</v>
      </c>
      <c r="E138" s="32">
        <v>0</v>
      </c>
      <c r="F138" s="32">
        <f t="shared" si="22"/>
        <v>0</v>
      </c>
      <c r="G138" s="157"/>
      <c r="H138" s="32"/>
      <c r="I138" s="84">
        <v>0</v>
      </c>
      <c r="J138" s="84">
        <v>0</v>
      </c>
      <c r="K138" s="84">
        <v>0</v>
      </c>
      <c r="M138" s="20"/>
      <c r="S138" s="18"/>
    </row>
    <row r="139" spans="1:19" hidden="1" x14ac:dyDescent="0.2">
      <c r="A139" s="109" t="s">
        <v>152</v>
      </c>
      <c r="B139" s="18"/>
      <c r="C139" s="18"/>
      <c r="D139" s="82" t="s">
        <v>152</v>
      </c>
      <c r="E139" s="32">
        <f>+E94</f>
        <v>-5950200.9900000002</v>
      </c>
      <c r="F139" s="32" t="e">
        <f>+F88+#REF!</f>
        <v>#REF!</v>
      </c>
      <c r="G139" s="157"/>
      <c r="H139" s="32"/>
      <c r="I139" s="84">
        <f>+I94</f>
        <v>-7003544.9600000009</v>
      </c>
      <c r="J139" s="84">
        <f>+J94</f>
        <v>0</v>
      </c>
      <c r="K139" s="84">
        <f>+K94</f>
        <v>-7003544.9600000009</v>
      </c>
      <c r="M139" s="20"/>
      <c r="S139" s="18"/>
    </row>
    <row r="140" spans="1:19" hidden="1" x14ac:dyDescent="0.2">
      <c r="A140" s="109"/>
      <c r="B140" s="18"/>
      <c r="C140" s="18"/>
      <c r="D140" s="82" t="s">
        <v>189</v>
      </c>
      <c r="E140" s="32">
        <f>E99</f>
        <v>0</v>
      </c>
      <c r="F140" s="32"/>
      <c r="G140" s="157"/>
      <c r="H140" s="32"/>
      <c r="I140" s="84">
        <f>I99</f>
        <v>0</v>
      </c>
      <c r="J140" s="84">
        <f>J99</f>
        <v>0</v>
      </c>
      <c r="K140" s="84">
        <f>K99</f>
        <v>0</v>
      </c>
      <c r="M140" s="20"/>
      <c r="S140" s="18"/>
    </row>
    <row r="141" spans="1:19" hidden="1" x14ac:dyDescent="0.2">
      <c r="A141" s="109" t="s">
        <v>154</v>
      </c>
      <c r="B141" s="18"/>
      <c r="C141" s="18"/>
      <c r="D141" s="82" t="s">
        <v>154</v>
      </c>
      <c r="E141" s="32">
        <f>+E102</f>
        <v>-3702966.63</v>
      </c>
      <c r="F141" s="32" t="e">
        <f>+#REF!+#REF!</f>
        <v>#REF!</v>
      </c>
      <c r="G141" s="157"/>
      <c r="H141" s="32"/>
      <c r="I141" s="84">
        <f>+I102</f>
        <v>-3669938.63</v>
      </c>
      <c r="J141" s="84">
        <f>+J102</f>
        <v>0</v>
      </c>
      <c r="K141" s="84">
        <f>+K102</f>
        <v>-3669938.63</v>
      </c>
      <c r="M141" s="20"/>
      <c r="S141" s="18"/>
    </row>
    <row r="142" spans="1:19" hidden="1" x14ac:dyDescent="0.2">
      <c r="A142" s="109" t="s">
        <v>153</v>
      </c>
      <c r="B142" s="18"/>
      <c r="C142" s="18"/>
      <c r="D142" s="82" t="s">
        <v>153</v>
      </c>
      <c r="E142" s="32">
        <f>+E109</f>
        <v>-16774.680000000008</v>
      </c>
      <c r="F142" s="32" t="e">
        <f>+#REF!+F89</f>
        <v>#REF!</v>
      </c>
      <c r="G142" s="157"/>
      <c r="H142" s="32"/>
      <c r="I142" s="84">
        <f>+I109</f>
        <v>-16630.350000000006</v>
      </c>
      <c r="J142" s="84">
        <f>+J109</f>
        <v>0</v>
      </c>
      <c r="K142" s="84">
        <f>+K109</f>
        <v>-16630.350000000006</v>
      </c>
      <c r="M142" s="20"/>
      <c r="S142" s="18"/>
    </row>
    <row r="143" spans="1:19" hidden="1" x14ac:dyDescent="0.2">
      <c r="A143" s="109" t="s">
        <v>155</v>
      </c>
      <c r="B143" s="18"/>
      <c r="C143" s="18"/>
      <c r="D143" s="82" t="s">
        <v>155</v>
      </c>
      <c r="E143" s="32">
        <f>+E118</f>
        <v>-48331694.880000018</v>
      </c>
      <c r="F143" s="32">
        <f t="shared" ref="F143" si="23">+F89+F90</f>
        <v>0</v>
      </c>
      <c r="G143" s="157"/>
      <c r="H143" s="32"/>
      <c r="I143" s="84">
        <f>+I118</f>
        <v>-48195218.960000016</v>
      </c>
      <c r="J143" s="84">
        <f>+J118</f>
        <v>0</v>
      </c>
      <c r="K143" s="84">
        <f>+K118</f>
        <v>-48195218.960000016</v>
      </c>
      <c r="M143" s="20"/>
      <c r="S143" s="18"/>
    </row>
    <row r="144" spans="1:19" hidden="1" x14ac:dyDescent="0.2">
      <c r="A144" s="109"/>
      <c r="B144" s="18"/>
      <c r="C144" s="18"/>
      <c r="D144" s="85"/>
      <c r="E144" s="83"/>
      <c r="F144" s="83"/>
      <c r="G144" s="165"/>
      <c r="H144" s="83"/>
      <c r="I144" s="86"/>
      <c r="J144" s="86"/>
      <c r="K144" s="86"/>
      <c r="M144" s="20"/>
      <c r="S144" s="18"/>
    </row>
    <row r="145" spans="1:19" hidden="1" x14ac:dyDescent="0.2">
      <c r="A145" s="109" t="s">
        <v>121</v>
      </c>
      <c r="B145" s="18"/>
      <c r="C145" s="18"/>
      <c r="D145" s="87" t="s">
        <v>121</v>
      </c>
      <c r="E145" s="88">
        <f>SUM(E131:E144)</f>
        <v>-4130534.0200000256</v>
      </c>
      <c r="F145" s="88" t="e">
        <f>SUM(F135:F144)</f>
        <v>#REF!</v>
      </c>
      <c r="G145" s="166"/>
      <c r="H145" s="88"/>
      <c r="I145" s="89">
        <f>SUM(I131:I144)</f>
        <v>-1366463.9400000125</v>
      </c>
      <c r="J145" s="89">
        <f>SUM(J131:J144)</f>
        <v>0</v>
      </c>
      <c r="K145" s="89">
        <f>SUM(K131:K144)</f>
        <v>-1366463.9400000125</v>
      </c>
      <c r="M145" s="20"/>
      <c r="S145" s="18"/>
    </row>
    <row r="146" spans="1:19" hidden="1" x14ac:dyDescent="0.2">
      <c r="B146" s="18"/>
      <c r="C146" s="18"/>
      <c r="F146" s="19"/>
      <c r="G146" s="148"/>
      <c r="H146" s="19"/>
      <c r="I146" s="19"/>
      <c r="J146" s="19"/>
      <c r="K146" s="19"/>
      <c r="M146" s="20"/>
      <c r="S146" s="18"/>
    </row>
    <row r="147" spans="1:19" hidden="1" x14ac:dyDescent="0.2">
      <c r="B147" s="18"/>
      <c r="C147" s="18"/>
      <c r="E147" s="19">
        <f>+E145-E122</f>
        <v>0</v>
      </c>
      <c r="F147" s="19"/>
      <c r="G147" s="148"/>
      <c r="H147" s="19"/>
      <c r="I147" s="19">
        <f>+I145-I122</f>
        <v>-7.4505805969238281E-9</v>
      </c>
      <c r="J147" s="19">
        <f>+J145-J122</f>
        <v>0</v>
      </c>
      <c r="K147" s="19">
        <f>+K145-K122</f>
        <v>0</v>
      </c>
      <c r="M147" s="20"/>
      <c r="S147" s="18"/>
    </row>
    <row r="148" spans="1:19" hidden="1" x14ac:dyDescent="0.2">
      <c r="B148" s="18"/>
      <c r="C148" s="18"/>
      <c r="F148" s="19"/>
      <c r="G148" s="148"/>
      <c r="H148" s="19"/>
      <c r="I148" s="19"/>
      <c r="J148" s="19"/>
      <c r="K148" s="19"/>
      <c r="M148" s="20"/>
      <c r="S148" s="18"/>
    </row>
    <row r="149" spans="1:19" hidden="1" x14ac:dyDescent="0.2">
      <c r="B149" s="18"/>
      <c r="C149" s="18"/>
      <c r="F149" s="19"/>
      <c r="G149" s="148"/>
      <c r="H149" s="19"/>
      <c r="I149" s="19"/>
      <c r="J149" s="19"/>
      <c r="K149" s="19"/>
      <c r="M149" s="20"/>
      <c r="S149" s="18"/>
    </row>
    <row r="150" spans="1:19" hidden="1" x14ac:dyDescent="0.2">
      <c r="B150" s="18"/>
      <c r="C150" s="18"/>
      <c r="F150" s="19"/>
      <c r="G150" s="148"/>
      <c r="H150" s="19"/>
      <c r="I150" s="19"/>
      <c r="J150" s="19"/>
      <c r="K150" s="19"/>
      <c r="M150" s="20"/>
      <c r="S150" s="18"/>
    </row>
    <row r="151" spans="1:19" hidden="1" x14ac:dyDescent="0.2">
      <c r="A151" s="100" t="s">
        <v>63</v>
      </c>
      <c r="B151" s="18"/>
      <c r="C151" s="18"/>
      <c r="D151" s="4" t="s">
        <v>63</v>
      </c>
      <c r="F151" s="19"/>
      <c r="G151" s="148">
        <f>+G34+G42+G44+G46+G48+G73+G57+G59+G15+G50+G66+G55+G65</f>
        <v>0</v>
      </c>
      <c r="H151" s="19">
        <f>+H34+H52+H42+H44+H46+H48+H73+H57+H59+H15+H50+H66+H55</f>
        <v>0</v>
      </c>
      <c r="I151" s="19"/>
      <c r="J151" s="19"/>
      <c r="K151" s="19"/>
      <c r="M151" s="20"/>
      <c r="S151" s="18"/>
    </row>
    <row r="152" spans="1:19" hidden="1" x14ac:dyDescent="0.2">
      <c r="A152" s="100" t="s">
        <v>64</v>
      </c>
      <c r="B152" s="18"/>
      <c r="C152" s="18"/>
      <c r="D152" s="34" t="s">
        <v>64</v>
      </c>
      <c r="F152" s="19"/>
      <c r="G152" s="148">
        <f>+G9+G80+G10</f>
        <v>0</v>
      </c>
      <c r="H152" s="19">
        <f>+H9+H80+H10</f>
        <v>0</v>
      </c>
      <c r="I152" s="19"/>
      <c r="J152" s="19"/>
      <c r="K152" s="19"/>
      <c r="M152" s="20"/>
      <c r="S152" s="18"/>
    </row>
    <row r="153" spans="1:19" hidden="1" x14ac:dyDescent="0.2">
      <c r="A153" s="100" t="s">
        <v>65</v>
      </c>
      <c r="B153" s="18"/>
      <c r="C153" s="18"/>
      <c r="D153" s="34" t="s">
        <v>65</v>
      </c>
      <c r="F153" s="19"/>
      <c r="G153" s="148">
        <f>+G88+G89+G90+G91+G87+G92</f>
        <v>-874130.8</v>
      </c>
      <c r="H153" s="19">
        <f>+H88+H89+H90+H91+H87</f>
        <v>-179213.17</v>
      </c>
      <c r="I153" s="19"/>
      <c r="J153" s="19"/>
      <c r="K153" s="19"/>
      <c r="M153" s="20"/>
      <c r="S153" s="18"/>
    </row>
    <row r="154" spans="1:19" hidden="1" x14ac:dyDescent="0.2">
      <c r="B154" s="18"/>
      <c r="C154" s="18"/>
      <c r="F154" s="19"/>
      <c r="G154" s="148"/>
      <c r="H154" s="19"/>
      <c r="I154" s="19"/>
      <c r="J154" s="19"/>
      <c r="K154" s="19"/>
      <c r="M154" s="20"/>
      <c r="S154" s="18"/>
    </row>
    <row r="155" spans="1:19" hidden="1" x14ac:dyDescent="0.2">
      <c r="B155" s="18"/>
      <c r="C155" s="18"/>
      <c r="F155" s="19"/>
      <c r="G155" s="167">
        <f>+G151+G152+G153-G126</f>
        <v>-1529978.41</v>
      </c>
      <c r="H155" s="110">
        <f>+H151+H152+H153-H126</f>
        <v>0</v>
      </c>
      <c r="I155" s="19"/>
      <c r="J155" s="19"/>
      <c r="K155" s="19"/>
      <c r="M155" s="20"/>
      <c r="S155" s="18"/>
    </row>
    <row r="156" spans="1:19" hidden="1" x14ac:dyDescent="0.2">
      <c r="B156" s="18"/>
      <c r="C156" s="18"/>
      <c r="F156" s="19"/>
      <c r="H156" s="29">
        <f>+H152+H153+H151+G151+G152+G153</f>
        <v>-1053343.97</v>
      </c>
      <c r="I156" s="19"/>
      <c r="J156" s="19"/>
      <c r="K156" s="19"/>
      <c r="M156" s="20"/>
      <c r="S156" s="18"/>
    </row>
    <row r="157" spans="1:19" hidden="1" x14ac:dyDescent="0.2">
      <c r="B157" s="18"/>
      <c r="C157" s="18"/>
      <c r="F157" s="19"/>
      <c r="G157" s="148"/>
      <c r="H157" s="29">
        <f>+H156-G126-H126</f>
        <v>-1529978.4099999997</v>
      </c>
      <c r="I157" s="19"/>
      <c r="J157" s="19"/>
      <c r="K157" s="19"/>
      <c r="M157" s="20"/>
      <c r="S157" s="18"/>
    </row>
    <row r="158" spans="1:19" x14ac:dyDescent="0.2">
      <c r="B158" s="18"/>
      <c r="C158" s="18"/>
      <c r="F158" s="19"/>
      <c r="G158" s="148"/>
      <c r="H158" s="19"/>
      <c r="I158" s="19"/>
      <c r="J158" s="19"/>
      <c r="K158" s="19"/>
      <c r="M158" s="20"/>
      <c r="S158" s="18"/>
    </row>
    <row r="159" spans="1:19" ht="12.75" hidden="1" customHeight="1" x14ac:dyDescent="0.2">
      <c r="B159" s="18"/>
      <c r="C159" s="18"/>
      <c r="F159" s="19"/>
      <c r="G159" s="148"/>
      <c r="H159" s="19"/>
      <c r="I159" s="19"/>
      <c r="J159" s="19"/>
      <c r="K159" s="19"/>
      <c r="M159" s="20"/>
      <c r="S159" s="18"/>
    </row>
    <row r="160" spans="1:19" ht="12.75" hidden="1" customHeight="1" x14ac:dyDescent="0.2">
      <c r="A160" s="101" t="s">
        <v>144</v>
      </c>
      <c r="B160" s="18"/>
      <c r="C160" s="18"/>
      <c r="D160" s="22" t="s">
        <v>144</v>
      </c>
      <c r="E160" s="4" t="s">
        <v>121</v>
      </c>
      <c r="F160" s="19" t="s">
        <v>147</v>
      </c>
      <c r="G160" s="148" t="s">
        <v>148</v>
      </c>
      <c r="H160" s="19"/>
      <c r="I160" s="19"/>
      <c r="J160" s="19"/>
      <c r="K160" s="19"/>
      <c r="M160" s="20"/>
      <c r="S160" s="18"/>
    </row>
    <row r="161" spans="1:19" ht="12.75" hidden="1" customHeight="1" x14ac:dyDescent="0.2">
      <c r="A161" s="101" t="s">
        <v>145</v>
      </c>
      <c r="B161" s="18"/>
      <c r="C161" s="18"/>
      <c r="D161" s="22" t="s">
        <v>145</v>
      </c>
      <c r="E161" s="19">
        <v>19066028.010000002</v>
      </c>
      <c r="F161" s="19">
        <v>62319564.710000008</v>
      </c>
      <c r="G161" s="148">
        <v>-43253536.700000003</v>
      </c>
      <c r="H161" s="19"/>
      <c r="I161" s="19"/>
      <c r="J161" s="19"/>
      <c r="K161" s="19"/>
      <c r="M161" s="20"/>
      <c r="S161" s="18"/>
    </row>
    <row r="162" spans="1:19" ht="12.75" hidden="1" customHeight="1" x14ac:dyDescent="0.2">
      <c r="A162" s="101" t="s">
        <v>146</v>
      </c>
      <c r="B162" s="18"/>
      <c r="C162" s="18"/>
      <c r="D162" s="22" t="s">
        <v>146</v>
      </c>
      <c r="F162" s="19"/>
      <c r="G162" s="148"/>
      <c r="H162" s="19"/>
      <c r="I162" s="19"/>
      <c r="J162" s="19"/>
      <c r="K162" s="19"/>
      <c r="M162" s="20"/>
      <c r="S162" s="18"/>
    </row>
    <row r="163" spans="1:19" ht="12.75" hidden="1" customHeight="1" x14ac:dyDescent="0.2">
      <c r="A163" s="100" t="s">
        <v>149</v>
      </c>
      <c r="B163" s="18"/>
      <c r="C163" s="18"/>
      <c r="D163" s="4" t="s">
        <v>149</v>
      </c>
      <c r="E163" s="29">
        <f>SUM(F163:G163)</f>
        <v>905563</v>
      </c>
      <c r="F163" s="19">
        <v>905563</v>
      </c>
      <c r="G163" s="148"/>
      <c r="H163" s="19"/>
      <c r="I163" s="19"/>
      <c r="J163" s="19"/>
      <c r="K163" s="19"/>
      <c r="M163" s="20"/>
      <c r="S163" s="18"/>
    </row>
    <row r="164" spans="1:19" ht="12.75" hidden="1" customHeight="1" x14ac:dyDescent="0.2">
      <c r="A164" s="100" t="s">
        <v>150</v>
      </c>
      <c r="B164" s="18"/>
      <c r="C164" s="18"/>
      <c r="D164" s="4" t="s">
        <v>150</v>
      </c>
      <c r="E164" s="29">
        <f>SUM(F164:G164)</f>
        <v>-905563</v>
      </c>
      <c r="G164" s="148">
        <v>-905563</v>
      </c>
      <c r="H164" s="19"/>
      <c r="I164" s="19"/>
      <c r="J164" s="19"/>
      <c r="K164" s="19"/>
      <c r="M164" s="20"/>
      <c r="S164" s="18"/>
    </row>
    <row r="165" spans="1:19" ht="12.75" hidden="1" customHeight="1" x14ac:dyDescent="0.2">
      <c r="B165" s="18"/>
      <c r="C165" s="18"/>
      <c r="F165" s="19"/>
      <c r="G165" s="148"/>
      <c r="H165" s="19"/>
      <c r="I165" s="19"/>
      <c r="J165" s="19"/>
      <c r="K165" s="19"/>
      <c r="M165" s="20"/>
      <c r="S165" s="18"/>
    </row>
    <row r="166" spans="1:19" ht="12.75" hidden="1" customHeight="1" x14ac:dyDescent="0.2">
      <c r="B166" s="18"/>
      <c r="C166" s="18"/>
      <c r="E166" s="94"/>
      <c r="F166" s="95"/>
      <c r="G166" s="169"/>
      <c r="H166" s="19"/>
      <c r="I166" s="19"/>
      <c r="J166" s="19"/>
      <c r="K166" s="19"/>
      <c r="M166" s="20"/>
      <c r="S166" s="18"/>
    </row>
    <row r="167" spans="1:19" ht="12.75" hidden="1" customHeight="1" x14ac:dyDescent="0.2">
      <c r="B167" s="18"/>
      <c r="C167" s="18"/>
      <c r="E167" s="29">
        <f>SUM(E161:E166)</f>
        <v>19066028.010000002</v>
      </c>
      <c r="F167" s="29">
        <f>SUM(F161:F166)</f>
        <v>63225127.710000008</v>
      </c>
      <c r="G167" s="151">
        <f>SUM(G161:G166)</f>
        <v>-44159099.700000003</v>
      </c>
      <c r="H167" s="19"/>
      <c r="I167" s="19"/>
      <c r="J167" s="19"/>
      <c r="K167" s="19"/>
      <c r="M167" s="20"/>
      <c r="S167" s="18"/>
    </row>
    <row r="168" spans="1:19" x14ac:dyDescent="0.2">
      <c r="B168" s="18"/>
      <c r="C168" s="18"/>
      <c r="F168" s="19"/>
      <c r="G168" s="148"/>
      <c r="H168" s="19"/>
      <c r="I168" s="19"/>
      <c r="J168" s="19"/>
      <c r="K168" s="19"/>
      <c r="M168" s="20"/>
      <c r="S168" s="18"/>
    </row>
    <row r="169" spans="1:19" x14ac:dyDescent="0.2">
      <c r="B169" s="18"/>
      <c r="C169" s="18"/>
      <c r="F169" s="19"/>
      <c r="G169" s="148"/>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A180" s="4"/>
      <c r="B180" s="18"/>
      <c r="C180" s="18"/>
      <c r="F180" s="19"/>
      <c r="G180" s="148"/>
      <c r="H180" s="19"/>
      <c r="I180" s="19"/>
      <c r="J180" s="19"/>
      <c r="K180" s="19"/>
      <c r="M180" s="20"/>
      <c r="S180" s="18"/>
    </row>
    <row r="181" spans="1:19" x14ac:dyDescent="0.2">
      <c r="A181" s="4"/>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22" x14ac:dyDescent="0.2">
      <c r="A225" s="4"/>
      <c r="B225" s="18"/>
      <c r="C225" s="18"/>
      <c r="F225" s="19"/>
      <c r="G225" s="148"/>
      <c r="H225" s="19"/>
      <c r="I225" s="19"/>
      <c r="J225" s="19"/>
      <c r="K225" s="19"/>
      <c r="M225" s="20"/>
      <c r="S225" s="18"/>
    </row>
    <row r="226" spans="1:22" x14ac:dyDescent="0.2">
      <c r="A226" s="4"/>
      <c r="B226" s="18"/>
      <c r="C226" s="18"/>
      <c r="F226" s="19"/>
      <c r="G226" s="148"/>
      <c r="H226" s="19"/>
      <c r="I226" s="19"/>
      <c r="J226" s="19"/>
      <c r="K226" s="19"/>
      <c r="M226" s="20"/>
      <c r="S226" s="18"/>
    </row>
    <row r="227" spans="1:22" x14ac:dyDescent="0.2">
      <c r="A227" s="4"/>
      <c r="B227" s="18"/>
      <c r="C227" s="18"/>
      <c r="F227" s="19"/>
      <c r="G227" s="148"/>
      <c r="H227" s="19"/>
      <c r="I227" s="19"/>
      <c r="J227" s="19"/>
      <c r="K227" s="19"/>
      <c r="M227" s="20"/>
      <c r="S227" s="18"/>
    </row>
    <row r="228" spans="1:22" x14ac:dyDescent="0.2">
      <c r="B228" s="18"/>
      <c r="C228" s="18"/>
      <c r="F228" s="19"/>
      <c r="G228" s="148"/>
      <c r="H228" s="19"/>
      <c r="I228" s="19"/>
      <c r="J228" s="19"/>
      <c r="K228" s="19"/>
      <c r="M228" s="20"/>
      <c r="S228" s="18"/>
    </row>
    <row r="229" spans="1:22" x14ac:dyDescent="0.2">
      <c r="B229" s="18"/>
      <c r="C229" s="18"/>
      <c r="F229" s="19"/>
      <c r="G229" s="148"/>
      <c r="H229" s="19"/>
      <c r="I229" s="19"/>
      <c r="J229" s="19"/>
      <c r="K229" s="19"/>
      <c r="M229" s="20"/>
      <c r="S229" s="18"/>
    </row>
    <row r="230" spans="1:22" x14ac:dyDescent="0.2">
      <c r="B230" s="18"/>
      <c r="C230" s="18"/>
      <c r="F230" s="19"/>
      <c r="G230" s="148"/>
      <c r="H230" s="19"/>
      <c r="I230" s="19"/>
      <c r="J230" s="19"/>
      <c r="K230" s="19"/>
      <c r="M230" s="20"/>
      <c r="S230" s="18"/>
    </row>
    <row r="231" spans="1:22" x14ac:dyDescent="0.2">
      <c r="B231" s="18"/>
      <c r="C231" s="18"/>
      <c r="F231" s="19"/>
      <c r="G231" s="148"/>
      <c r="H231" s="19"/>
      <c r="I231" s="19"/>
      <c r="J231" s="19"/>
      <c r="K231" s="19"/>
      <c r="M231" s="20"/>
      <c r="S231" s="18"/>
    </row>
    <row r="232" spans="1:22" x14ac:dyDescent="0.2">
      <c r="B232" s="18"/>
      <c r="C232" s="18"/>
      <c r="F232" s="19"/>
      <c r="G232" s="148"/>
      <c r="H232" s="19"/>
      <c r="I232" s="19"/>
      <c r="J232" s="19"/>
      <c r="K232" s="19"/>
      <c r="M232" s="20"/>
      <c r="S232" s="18"/>
    </row>
    <row r="233" spans="1:22" x14ac:dyDescent="0.2">
      <c r="B233" s="18"/>
      <c r="C233" s="18"/>
      <c r="F233" s="19"/>
      <c r="G233" s="148"/>
      <c r="H233" s="19"/>
      <c r="I233" s="19"/>
      <c r="J233" s="19"/>
      <c r="K233" s="19"/>
      <c r="M233" s="20"/>
      <c r="S233" s="18"/>
    </row>
    <row r="234" spans="1:22" x14ac:dyDescent="0.2">
      <c r="B234" s="18"/>
      <c r="C234" s="18"/>
      <c r="F234" s="19"/>
      <c r="G234" s="148"/>
      <c r="H234" s="19"/>
      <c r="I234" s="19"/>
      <c r="J234" s="19"/>
      <c r="K234" s="19"/>
      <c r="M234" s="20"/>
      <c r="S234" s="18"/>
    </row>
    <row r="235" spans="1:22" x14ac:dyDescent="0.2">
      <c r="B235" s="18"/>
      <c r="C235" s="18"/>
      <c r="F235" s="19"/>
      <c r="G235" s="148"/>
      <c r="H235" s="19"/>
      <c r="I235" s="19"/>
      <c r="J235" s="19"/>
      <c r="K235" s="19"/>
      <c r="M235" s="20"/>
      <c r="S235" s="18"/>
    </row>
    <row r="236" spans="1:22" x14ac:dyDescent="0.2">
      <c r="B236" s="18"/>
      <c r="C236" s="18"/>
      <c r="F236" s="19"/>
      <c r="G236" s="148"/>
      <c r="H236" s="19"/>
      <c r="I236" s="19"/>
      <c r="J236" s="19"/>
      <c r="K236" s="19"/>
      <c r="M236" s="20"/>
      <c r="S236" s="18"/>
    </row>
    <row r="237" spans="1:22" x14ac:dyDescent="0.2">
      <c r="B237" s="18"/>
      <c r="C237" s="18"/>
      <c r="F237" s="19"/>
      <c r="G237" s="148"/>
      <c r="H237" s="19"/>
      <c r="I237" s="19"/>
      <c r="J237" s="19"/>
      <c r="K237" s="19"/>
      <c r="M237" s="20"/>
      <c r="S237" s="18"/>
    </row>
    <row r="238" spans="1:22" x14ac:dyDescent="0.2">
      <c r="C238" s="18"/>
      <c r="F238" s="19"/>
      <c r="G238" s="148"/>
      <c r="H238" s="19"/>
      <c r="I238" s="19"/>
      <c r="J238" s="19"/>
      <c r="K238" s="19"/>
      <c r="M238" s="20"/>
      <c r="S238" s="18"/>
    </row>
    <row r="239" spans="1:22" x14ac:dyDescent="0.2">
      <c r="C239" s="18"/>
      <c r="F239" s="19"/>
      <c r="G239" s="148"/>
      <c r="H239" s="19"/>
      <c r="I239" s="19"/>
      <c r="J239" s="19"/>
      <c r="K239" s="19"/>
      <c r="M239" s="20"/>
      <c r="S239" s="18"/>
    </row>
    <row r="240" spans="1:22" s="6" customFormat="1" x14ac:dyDescent="0.2">
      <c r="A240" s="100"/>
      <c r="B240" s="4"/>
      <c r="C240" s="4"/>
      <c r="D240" s="4"/>
      <c r="E240" s="4"/>
      <c r="F240" s="19"/>
      <c r="G240" s="148"/>
      <c r="H240" s="19"/>
      <c r="I240" s="19"/>
      <c r="J240" s="19"/>
      <c r="K240" s="19"/>
      <c r="L240" s="4"/>
      <c r="M240" s="20"/>
      <c r="P240" s="4"/>
      <c r="Q240" s="4"/>
      <c r="R240" s="4"/>
      <c r="S240" s="4"/>
      <c r="T240" s="4"/>
      <c r="U240" s="4"/>
      <c r="V240" s="4"/>
    </row>
    <row r="241" spans="1:22" s="6" customFormat="1" x14ac:dyDescent="0.2">
      <c r="A241" s="100"/>
      <c r="B241" s="4"/>
      <c r="C241" s="4"/>
      <c r="D241" s="4"/>
      <c r="E241" s="4"/>
      <c r="F241" s="19"/>
      <c r="G241" s="148"/>
      <c r="H241" s="19"/>
      <c r="I241" s="19"/>
      <c r="J241" s="19"/>
      <c r="K241" s="19"/>
      <c r="L241" s="4"/>
      <c r="M241" s="20"/>
      <c r="P241" s="4"/>
      <c r="Q241" s="4"/>
      <c r="R241" s="4"/>
      <c r="S241" s="4"/>
      <c r="T241" s="4"/>
      <c r="U241" s="4"/>
      <c r="V241" s="4"/>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x14ac:dyDescent="0.2">
      <c r="H288" s="19"/>
    </row>
  </sheetData>
  <mergeCells count="1">
    <mergeCell ref="Q5:R5"/>
  </mergeCells>
  <conditionalFormatting sqref="H155 G157">
    <cfRule type="cellIs" dxfId="34"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29" min="1" max="15"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0"/>
  <sheetViews>
    <sheetView topLeftCell="A76" zoomScale="80" zoomScaleNormal="80" workbookViewId="0">
      <selection activeCell="D104" sqref="D104"/>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3" t="s">
        <v>66</v>
      </c>
    </row>
    <row r="4" spans="1:22" x14ac:dyDescent="0.2">
      <c r="A4" s="99"/>
      <c r="B4" s="7"/>
      <c r="C4" s="3"/>
      <c r="D4" s="3"/>
      <c r="E4" s="3"/>
      <c r="F4" s="8"/>
      <c r="G4" s="147"/>
      <c r="H4" s="8"/>
      <c r="I4" s="9"/>
      <c r="J4" s="9"/>
      <c r="K4" s="9"/>
      <c r="M4" s="10"/>
      <c r="P4" s="183" t="s">
        <v>1</v>
      </c>
    </row>
    <row r="5" spans="1:22" x14ac:dyDescent="0.2">
      <c r="E5" s="183" t="s">
        <v>2</v>
      </c>
      <c r="F5" s="183" t="s">
        <v>3</v>
      </c>
      <c r="G5" s="183" t="s">
        <v>4</v>
      </c>
      <c r="H5" s="183"/>
      <c r="I5" s="111" t="s">
        <v>208</v>
      </c>
      <c r="J5" s="13" t="s">
        <v>180</v>
      </c>
      <c r="K5" s="111" t="s">
        <v>209</v>
      </c>
      <c r="L5" s="183" t="s">
        <v>5</v>
      </c>
      <c r="M5" s="11" t="s">
        <v>6</v>
      </c>
      <c r="N5" s="11" t="s">
        <v>0</v>
      </c>
      <c r="O5" s="11" t="s">
        <v>8</v>
      </c>
      <c r="P5" s="183" t="s">
        <v>9</v>
      </c>
      <c r="Q5" s="576" t="s">
        <v>10</v>
      </c>
      <c r="R5" s="576"/>
      <c r="U5" s="12" t="s">
        <v>11</v>
      </c>
    </row>
    <row r="6" spans="1:22" x14ac:dyDescent="0.2">
      <c r="E6" s="13">
        <v>42155</v>
      </c>
      <c r="F6" s="13" t="s">
        <v>12</v>
      </c>
      <c r="G6" s="14" t="s">
        <v>13</v>
      </c>
      <c r="H6" s="14" t="s">
        <v>8</v>
      </c>
      <c r="I6" s="112">
        <v>42185</v>
      </c>
      <c r="J6" s="13" t="s">
        <v>210</v>
      </c>
      <c r="K6" s="112">
        <f>I6</f>
        <v>42185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May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May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May 2015'!$A$1:$I$252,9,FALSE)</f>
        <v>793117.81</v>
      </c>
      <c r="F15" s="30">
        <v>0</v>
      </c>
      <c r="G15" s="33">
        <v>-258827</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May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May 2015'!$A$1:$I$252,9,FALSE)</f>
        <v>0</v>
      </c>
      <c r="F17" s="30">
        <v>0</v>
      </c>
      <c r="G17" s="33">
        <v>0</v>
      </c>
      <c r="H17" s="33">
        <v>0</v>
      </c>
      <c r="I17" s="115">
        <f>E17+F17+G17+H17</f>
        <v>0</v>
      </c>
      <c r="J17" s="30">
        <v>4091717.92</v>
      </c>
      <c r="K17" s="115">
        <f t="shared" ref="K17" si="1">I17+J17</f>
        <v>4091717.92</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-258827</v>
      </c>
      <c r="H19" s="29">
        <f t="shared" si="2"/>
        <v>0</v>
      </c>
      <c r="I19" s="123">
        <f t="shared" si="2"/>
        <v>1830943.81</v>
      </c>
      <c r="J19" s="29">
        <f t="shared" si="2"/>
        <v>4091717.92</v>
      </c>
      <c r="K19" s="123">
        <f t="shared" si="2"/>
        <v>5922661.7300000004</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May 2015'!$A$1:$I$252,9,FALSE)</f>
        <v>1876823.0000000007</v>
      </c>
      <c r="F22" s="33">
        <v>0</v>
      </c>
      <c r="G22" s="130"/>
      <c r="H22" s="130">
        <v>-22206.16</v>
      </c>
      <c r="I22" s="115">
        <f>E22+F22+G22+H22</f>
        <v>1854616.8400000008</v>
      </c>
      <c r="J22" s="33">
        <v>-266473.92</v>
      </c>
      <c r="K22" s="115">
        <f>I22+J22</f>
        <v>1588142.9200000009</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1876823.0000000007</v>
      </c>
      <c r="F24" s="29">
        <f t="shared" ref="F24:K24" si="3">SUM(F22:F23)</f>
        <v>0</v>
      </c>
      <c r="G24" s="29">
        <f t="shared" si="3"/>
        <v>0</v>
      </c>
      <c r="H24" s="29">
        <f t="shared" si="3"/>
        <v>-22206.16</v>
      </c>
      <c r="I24" s="123">
        <f t="shared" si="3"/>
        <v>1854616.8400000008</v>
      </c>
      <c r="J24" s="29">
        <f t="shared" si="3"/>
        <v>-266473.92</v>
      </c>
      <c r="K24" s="123">
        <f t="shared" si="3"/>
        <v>1588142.9200000009</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May 2015'!$A$1:$I$252,9,FALSE)</f>
        <v>1558480</v>
      </c>
      <c r="F27" s="33">
        <v>0</v>
      </c>
      <c r="G27" s="33">
        <v>9774</v>
      </c>
      <c r="H27" s="29">
        <v>0</v>
      </c>
      <c r="I27" s="115">
        <f>E27+F27+G27+H27</f>
        <v>1568254</v>
      </c>
      <c r="J27" s="33">
        <v>0</v>
      </c>
      <c r="K27" s="115">
        <f>I27+J27</f>
        <v>1568254</v>
      </c>
      <c r="L27" s="4" t="s">
        <v>22</v>
      </c>
      <c r="M27" s="20"/>
      <c r="S27" s="28" t="s">
        <v>23</v>
      </c>
    </row>
    <row r="28" spans="1:21" ht="13.5" customHeight="1" x14ac:dyDescent="0.2">
      <c r="A28" s="100" t="s">
        <v>80</v>
      </c>
      <c r="B28" s="28"/>
      <c r="C28" s="28" t="s">
        <v>24</v>
      </c>
      <c r="D28" s="4" t="s">
        <v>204</v>
      </c>
      <c r="E28" s="29">
        <f>VLOOKUP(A28,'DEK May 2015'!$A$1:$I$252,9,FALSE)</f>
        <v>-532657.80000000005</v>
      </c>
      <c r="F28" s="33">
        <v>0</v>
      </c>
      <c r="G28" s="33">
        <v>5067</v>
      </c>
      <c r="H28" s="32">
        <v>0</v>
      </c>
      <c r="I28" s="115">
        <f>E28+F28+G28+H28</f>
        <v>-527590.80000000005</v>
      </c>
      <c r="J28" s="33">
        <v>0</v>
      </c>
      <c r="K28" s="115">
        <f>I28+J28</f>
        <v>-527590.80000000005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1025822.2</v>
      </c>
      <c r="F30" s="44">
        <f t="shared" ref="F30:K30" si="4">SUM(F27:F28)</f>
        <v>0</v>
      </c>
      <c r="G30" s="130">
        <f t="shared" si="4"/>
        <v>14841</v>
      </c>
      <c r="H30" s="130">
        <f t="shared" si="4"/>
        <v>0</v>
      </c>
      <c r="I30" s="122">
        <f t="shared" si="4"/>
        <v>1040663.2</v>
      </c>
      <c r="J30" s="33">
        <f t="shared" si="4"/>
        <v>0</v>
      </c>
      <c r="K30" s="122">
        <f t="shared" si="4"/>
        <v>1040663.2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May 2015'!$A$1:$I$252,9,FALSE)</f>
        <v>7950570.8100000005</v>
      </c>
      <c r="F52" s="33">
        <v>0</v>
      </c>
      <c r="G52" s="33">
        <v>-321278.87</v>
      </c>
      <c r="H52" s="33">
        <v>0</v>
      </c>
      <c r="I52" s="115">
        <f>E52+F52+G52+H52</f>
        <v>7629291.9400000004</v>
      </c>
      <c r="J52" s="33">
        <v>-3825244</v>
      </c>
      <c r="K52" s="115">
        <f>I52+J52</f>
        <v>3804047.9400000004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May 2015'!$A$1:$I$252,9,FALSE)</f>
        <v>5999744</v>
      </c>
      <c r="F53" s="33">
        <v>0</v>
      </c>
      <c r="G53" s="130">
        <v>-763000</v>
      </c>
      <c r="H53" s="130">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hidden="1" x14ac:dyDescent="0.2">
      <c r="B58" s="28"/>
      <c r="C58" s="28"/>
      <c r="E58" s="30"/>
      <c r="F58" s="33"/>
      <c r="G58" s="144"/>
      <c r="H58" s="33"/>
      <c r="I58" s="115"/>
      <c r="J58" s="33"/>
      <c r="K58" s="115"/>
      <c r="S58" s="18"/>
    </row>
    <row r="59" spans="1:23" x14ac:dyDescent="0.2">
      <c r="A59" s="100" t="s">
        <v>134</v>
      </c>
      <c r="B59" s="28"/>
      <c r="C59" s="28" t="s">
        <v>133</v>
      </c>
      <c r="D59" s="4" t="s">
        <v>205</v>
      </c>
      <c r="E59" s="29">
        <f>VLOOKUP(A59,'DEK May 2015'!$A$1:$I$252,9,FALSE)</f>
        <v>1250000</v>
      </c>
      <c r="F59" s="33">
        <v>0</v>
      </c>
      <c r="G59" s="33">
        <v>50000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May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May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May 2015'!$A$1:$I$252,9,FALSE)</f>
        <v>6544000.0999999996</v>
      </c>
      <c r="F67" s="172"/>
      <c r="G67" s="33">
        <v>343033.85</v>
      </c>
      <c r="H67" s="172"/>
      <c r="I67" s="115">
        <f t="shared" si="5"/>
        <v>6887033.9499999993</v>
      </c>
      <c r="J67" s="172"/>
      <c r="K67" s="115">
        <f t="shared" si="6"/>
        <v>6887033.9499999993</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v>0</v>
      </c>
      <c r="F69" s="172"/>
      <c r="G69" s="33">
        <v>-812018.38</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234</v>
      </c>
      <c r="B71" s="28"/>
      <c r="C71" s="28" t="s">
        <v>232</v>
      </c>
      <c r="D71" s="4" t="s">
        <v>233</v>
      </c>
      <c r="E71" s="35">
        <f>VLOOKUP(A71,'DEK May 2015'!$A$1:$I$252,9,FALSE)</f>
        <v>0</v>
      </c>
      <c r="F71" s="174"/>
      <c r="G71" s="36">
        <v>0</v>
      </c>
      <c r="H71" s="36"/>
      <c r="I71" s="116">
        <f t="shared" ref="I71" si="7">E71+F71+G71+H71</f>
        <v>0</v>
      </c>
      <c r="J71" s="36"/>
      <c r="K71" s="116">
        <f t="shared" ref="K71" si="8">I71+J71</f>
        <v>0</v>
      </c>
      <c r="M71" s="20"/>
      <c r="S71" s="18"/>
    </row>
    <row r="72" spans="1:21" x14ac:dyDescent="0.2">
      <c r="B72" s="54"/>
      <c r="C72" s="28"/>
      <c r="E72" s="29">
        <f>SUM(E42:E71)</f>
        <v>26656998.910000004</v>
      </c>
      <c r="F72" s="29">
        <f>SUM(F39:F65)+F36</f>
        <v>0</v>
      </c>
      <c r="G72" s="29">
        <f>SUM(G39:G71)+G36</f>
        <v>-1503263.4000000001</v>
      </c>
      <c r="H72" s="29">
        <f>SUM(H39:H71)+H36</f>
        <v>0</v>
      </c>
      <c r="I72" s="123">
        <f>SUM(I39:I71)+I36</f>
        <v>25153735.510000002</v>
      </c>
      <c r="J72" s="29">
        <f>SUM(J39:J71)+J36</f>
        <v>-3825244</v>
      </c>
      <c r="K72" s="123">
        <f>SUM(K39:K71)+K36</f>
        <v>21328491.510000002</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May 2015'!$A$1:$I$252,9,FALSE)</f>
        <v>22701357.440000001</v>
      </c>
      <c r="F76" s="30">
        <v>0</v>
      </c>
      <c r="G76" s="130">
        <v>-184449</v>
      </c>
      <c r="H76" s="129">
        <v>0</v>
      </c>
      <c r="I76" s="115">
        <f>E76+F76+G76+H76</f>
        <v>22516908.440000001</v>
      </c>
      <c r="J76" s="30">
        <v>0</v>
      </c>
      <c r="K76" s="115">
        <f t="shared" ref="K76:K78" si="9">I76+J76</f>
        <v>22516908.440000001</v>
      </c>
      <c r="M76" s="20"/>
      <c r="P76" s="58"/>
      <c r="S76" s="18">
        <v>186801</v>
      </c>
    </row>
    <row r="77" spans="1:21" x14ac:dyDescent="0.2">
      <c r="A77" s="108" t="s">
        <v>171</v>
      </c>
      <c r="B77" s="28"/>
      <c r="C77" s="28" t="s">
        <v>122</v>
      </c>
      <c r="D77" s="4" t="s">
        <v>225</v>
      </c>
      <c r="E77" s="29">
        <f>VLOOKUP(A77,'DEK May 2015'!$A$1:$I$252,9,FALSE)</f>
        <v>3108031.55</v>
      </c>
      <c r="F77" s="30">
        <v>0</v>
      </c>
      <c r="G77" s="130">
        <v>-27586</v>
      </c>
      <c r="H77" s="129">
        <v>0</v>
      </c>
      <c r="I77" s="115">
        <f>E77+F77+G77+H77</f>
        <v>3080445.55</v>
      </c>
      <c r="J77" s="30">
        <v>0</v>
      </c>
      <c r="K77" s="115">
        <f t="shared" si="9"/>
        <v>3080445.55</v>
      </c>
      <c r="M77" s="20"/>
      <c r="P77" s="58"/>
      <c r="S77" s="18"/>
    </row>
    <row r="78" spans="1:21" x14ac:dyDescent="0.2">
      <c r="A78" s="108" t="s">
        <v>172</v>
      </c>
      <c r="B78" s="28"/>
      <c r="C78" s="28" t="s">
        <v>123</v>
      </c>
      <c r="D78" s="4" t="s">
        <v>226</v>
      </c>
      <c r="E78" s="29">
        <f>VLOOKUP(A78,'DEK May 2015'!$A$1:$I$252,9,FALSE)</f>
        <v>60065.05</v>
      </c>
      <c r="F78" s="30">
        <v>0</v>
      </c>
      <c r="G78" s="130">
        <v>-794</v>
      </c>
      <c r="H78" s="129">
        <v>0</v>
      </c>
      <c r="I78" s="115">
        <f>E78+F78+G78+H78</f>
        <v>59271.05</v>
      </c>
      <c r="J78" s="30">
        <v>0</v>
      </c>
      <c r="K78" s="115">
        <f t="shared" si="9"/>
        <v>59271.05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25869454.040000003</v>
      </c>
      <c r="F80" s="29">
        <f t="shared" ref="F80:K80" si="10">SUM(F75:F79)</f>
        <v>0</v>
      </c>
      <c r="G80" s="29">
        <f>SUM(G75:G79)</f>
        <v>-212829</v>
      </c>
      <c r="H80" s="29">
        <f t="shared" si="10"/>
        <v>0</v>
      </c>
      <c r="I80" s="123">
        <f t="shared" si="10"/>
        <v>25656625.040000003</v>
      </c>
      <c r="J80" s="29">
        <f t="shared" si="10"/>
        <v>0</v>
      </c>
      <c r="K80" s="123">
        <f t="shared" si="10"/>
        <v>25656625.040000003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57518868.960000008</v>
      </c>
      <c r="F86" s="133">
        <f t="shared" si="12"/>
        <v>0</v>
      </c>
      <c r="G86" s="133">
        <f t="shared" si="12"/>
        <v>-1960078.4000000001</v>
      </c>
      <c r="H86" s="133">
        <f t="shared" si="12"/>
        <v>-22206.16</v>
      </c>
      <c r="I86" s="134">
        <f t="shared" si="12"/>
        <v>55536584.400000006</v>
      </c>
      <c r="J86" s="133">
        <f t="shared" si="12"/>
        <v>0</v>
      </c>
      <c r="K86" s="134">
        <f t="shared" si="12"/>
        <v>55536584.400000006</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145"/>
      <c r="I88" s="113"/>
      <c r="J88" s="19"/>
      <c r="K88" s="113"/>
      <c r="M88" s="19"/>
      <c r="N88" s="20"/>
      <c r="O88" s="48"/>
      <c r="R88" s="57"/>
      <c r="S88" s="57"/>
    </row>
    <row r="89" spans="1:20" x14ac:dyDescent="0.2">
      <c r="A89" s="100" t="s">
        <v>114</v>
      </c>
      <c r="B89" s="18"/>
      <c r="C89" s="28" t="s">
        <v>52</v>
      </c>
      <c r="D89" s="4" t="s">
        <v>114</v>
      </c>
      <c r="E89" s="29">
        <f>VLOOKUP(A89,'DEK May 2015'!$A$1:$I$252,9,FALSE)</f>
        <v>-758752.90999999992</v>
      </c>
      <c r="F89" s="30">
        <v>0</v>
      </c>
      <c r="G89" s="33">
        <v>-88916.04</v>
      </c>
      <c r="H89" s="33">
        <v>-32074.46</v>
      </c>
      <c r="I89" s="115">
        <f t="shared" ref="I89:I94" si="13">E89+F89+G89+H89</f>
        <v>-879743.40999999992</v>
      </c>
      <c r="J89" s="30">
        <v>0</v>
      </c>
      <c r="K89" s="115">
        <f t="shared" ref="K89:K94" si="14">I89+J89</f>
        <v>-879743.40999999992</v>
      </c>
      <c r="L89" s="4" t="s">
        <v>22</v>
      </c>
      <c r="M89" s="33"/>
      <c r="N89" s="42"/>
      <c r="O89" s="42"/>
      <c r="S89" s="18">
        <v>191400</v>
      </c>
      <c r="T89" s="58"/>
    </row>
    <row r="90" spans="1:20" x14ac:dyDescent="0.2">
      <c r="A90" s="100" t="s">
        <v>115</v>
      </c>
      <c r="B90" s="18"/>
      <c r="C90" s="28" t="s">
        <v>53</v>
      </c>
      <c r="D90" s="4" t="s">
        <v>115</v>
      </c>
      <c r="E90" s="29">
        <f>VLOOKUP(A90,'DEK May 2015'!$A$1:$I$252,9,FALSE)</f>
        <v>-561426</v>
      </c>
      <c r="F90" s="30">
        <v>0</v>
      </c>
      <c r="G90" s="33">
        <v>122946</v>
      </c>
      <c r="H90" s="33">
        <v>0</v>
      </c>
      <c r="I90" s="115">
        <f t="shared" si="13"/>
        <v>-438480</v>
      </c>
      <c r="J90" s="30">
        <v>0</v>
      </c>
      <c r="K90" s="115">
        <f t="shared" si="14"/>
        <v>-438480</v>
      </c>
      <c r="L90" s="4" t="s">
        <v>22</v>
      </c>
      <c r="M90" s="30"/>
      <c r="N90" s="42"/>
      <c r="O90" s="42"/>
      <c r="S90" s="18">
        <v>191800</v>
      </c>
      <c r="T90" s="58"/>
    </row>
    <row r="91" spans="1:20" ht="12.75" customHeight="1" x14ac:dyDescent="0.2">
      <c r="A91" s="100" t="s">
        <v>117</v>
      </c>
      <c r="B91" s="18"/>
      <c r="C91" s="28" t="s">
        <v>77</v>
      </c>
      <c r="D91" s="4" t="s">
        <v>117</v>
      </c>
      <c r="E91" s="29">
        <f>VLOOKUP(A91,'DEK May 2015'!$A$1:$I$252,9,FALSE)</f>
        <v>-551016</v>
      </c>
      <c r="F91" s="30">
        <v>0</v>
      </c>
      <c r="G91" s="30">
        <v>-269845</v>
      </c>
      <c r="H91" s="33">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May 2015'!$A$1:$I$252,9,FALSE)</f>
        <v>-4069890.5700000008</v>
      </c>
      <c r="F92" s="30">
        <v>0</v>
      </c>
      <c r="G92" s="30">
        <v>219508.93</v>
      </c>
      <c r="H92" s="33">
        <v>0</v>
      </c>
      <c r="I92" s="115">
        <f t="shared" si="13"/>
        <v>-3850381.6400000006</v>
      </c>
      <c r="J92" s="30">
        <v>0</v>
      </c>
      <c r="K92" s="115">
        <f t="shared" si="14"/>
        <v>-3850381.6400000006</v>
      </c>
      <c r="M92" s="20"/>
      <c r="N92" s="42"/>
      <c r="O92" s="42"/>
      <c r="S92" s="18">
        <v>242997</v>
      </c>
      <c r="T92" s="58"/>
    </row>
    <row r="93" spans="1:20" x14ac:dyDescent="0.2">
      <c r="A93" s="100" t="s">
        <v>120</v>
      </c>
      <c r="B93" s="18"/>
      <c r="C93" s="28" t="s">
        <v>54</v>
      </c>
      <c r="D93" s="4" t="s">
        <v>120</v>
      </c>
      <c r="E93" s="29">
        <f>VLOOKUP(A93,'DEK May 2015'!$A$1:$I$252,9,FALSE)</f>
        <v>-414058.69999999995</v>
      </c>
      <c r="F93" s="33">
        <v>0</v>
      </c>
      <c r="G93" s="33">
        <v>0</v>
      </c>
      <c r="H93" s="33">
        <v>5955.68</v>
      </c>
      <c r="I93" s="115">
        <f t="shared" si="13"/>
        <v>-408103.01999999996</v>
      </c>
      <c r="J93" s="33">
        <v>0</v>
      </c>
      <c r="K93" s="115">
        <f t="shared" si="14"/>
        <v>-408103.01999999996</v>
      </c>
      <c r="L93" s="4" t="s">
        <v>22</v>
      </c>
      <c r="M93" s="42"/>
      <c r="N93" s="42"/>
      <c r="O93" s="42"/>
      <c r="S93" s="18">
        <v>253130</v>
      </c>
      <c r="T93" s="58"/>
    </row>
    <row r="94" spans="1:20" x14ac:dyDescent="0.2">
      <c r="A94" s="100" t="s">
        <v>156</v>
      </c>
      <c r="B94" s="18"/>
      <c r="C94" s="28" t="s">
        <v>116</v>
      </c>
      <c r="D94" s="4" t="s">
        <v>211</v>
      </c>
      <c r="E94" s="29">
        <f>VLOOKUP(A94,'DEK May 2015'!$A$1:$I$252,9,FALSE)</f>
        <v>-648400.78</v>
      </c>
      <c r="F94" s="33"/>
      <c r="G94" s="33">
        <v>546517.34</v>
      </c>
      <c r="H94" s="33">
        <v>0</v>
      </c>
      <c r="I94" s="115">
        <f t="shared" si="13"/>
        <v>-101883.44000000006</v>
      </c>
      <c r="J94" s="30">
        <v>0</v>
      </c>
      <c r="K94" s="115">
        <f t="shared" si="14"/>
        <v>-101883.44000000006</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-7003544.9600000009</v>
      </c>
      <c r="F96" s="33">
        <f t="shared" si="15"/>
        <v>0</v>
      </c>
      <c r="G96" s="33">
        <f t="shared" si="15"/>
        <v>530211.23</v>
      </c>
      <c r="H96" s="33">
        <f t="shared" si="15"/>
        <v>-26118.78</v>
      </c>
      <c r="I96" s="122">
        <f t="shared" si="15"/>
        <v>-6499452.5100000007</v>
      </c>
      <c r="J96" s="33">
        <f t="shared" si="15"/>
        <v>0</v>
      </c>
      <c r="K96" s="122">
        <f t="shared" si="15"/>
        <v>-6499452.5100000007</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f>VLOOKUP(A99,'[23]DEK May 2013'!$A$1:$I$252,9,FALSE)</f>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May 2015'!$A$1:$I$252,9,FALSE)</f>
        <v>-3669938.63</v>
      </c>
      <c r="F104" s="30">
        <v>0</v>
      </c>
      <c r="G104" s="130">
        <v>33028</v>
      </c>
      <c r="H104" s="130">
        <v>0</v>
      </c>
      <c r="I104" s="125">
        <f>E104+G104+H104+F104</f>
        <v>-3636910.63</v>
      </c>
      <c r="J104" s="91">
        <v>0</v>
      </c>
      <c r="K104" s="115">
        <f>I104+J104</f>
        <v>-3636910.63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May 2015'!$A$1:$I$252,9,FALSE)</f>
        <v>0</v>
      </c>
      <c r="F107" s="30">
        <v>0</v>
      </c>
      <c r="G107" s="130">
        <v>0</v>
      </c>
      <c r="H107" s="130">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May 2015'!$A$1:$I$252,9,FALSE)</f>
        <v>0</v>
      </c>
      <c r="F108" s="30">
        <v>0</v>
      </c>
      <c r="G108" s="129">
        <v>0</v>
      </c>
      <c r="H108" s="130">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May 2015'!$A$1:$I$252,9,FALSE)</f>
        <v>-16630.350000000006</v>
      </c>
      <c r="F109" s="30">
        <v>0</v>
      </c>
      <c r="G109" s="130">
        <v>143.31</v>
      </c>
      <c r="H109" s="130">
        <v>0</v>
      </c>
      <c r="I109" s="115">
        <f>E109+F109+G109+H109</f>
        <v>-16487.040000000005</v>
      </c>
      <c r="J109" s="30">
        <v>0</v>
      </c>
      <c r="K109" s="115">
        <f t="shared" si="17"/>
        <v>-16487.040000000005</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-16630.350000000006</v>
      </c>
      <c r="F111" s="30">
        <f t="shared" ref="F111:K111" si="19">SUM(F107:F110)</f>
        <v>0</v>
      </c>
      <c r="G111" s="30">
        <f t="shared" si="19"/>
        <v>143.31</v>
      </c>
      <c r="H111" s="30">
        <f t="shared" si="19"/>
        <v>0</v>
      </c>
      <c r="I111" s="115">
        <f t="shared" si="19"/>
        <v>-16487.040000000005</v>
      </c>
      <c r="J111" s="30">
        <f t="shared" si="19"/>
        <v>0</v>
      </c>
      <c r="K111" s="115">
        <f t="shared" si="19"/>
        <v>-16487.040000000005</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May 2015'!$A$1:$I$252,9,FALSE)</f>
        <v>-17159915.57</v>
      </c>
      <c r="F113" s="30">
        <v>0</v>
      </c>
      <c r="G113" s="129">
        <v>-47730.73</v>
      </c>
      <c r="H113" s="129">
        <v>0</v>
      </c>
      <c r="I113" s="115">
        <f t="shared" ref="I113:I118" si="20">E113+F113+G113+H113</f>
        <v>-17207646.300000001</v>
      </c>
      <c r="J113" s="30">
        <v>0</v>
      </c>
      <c r="K113" s="115">
        <f t="shared" ref="K113:K118" si="21">I113+J113</f>
        <v>-17207646.300000001</v>
      </c>
      <c r="L113" s="4" t="s">
        <v>43</v>
      </c>
      <c r="M113" s="20"/>
      <c r="N113" s="42"/>
      <c r="O113" s="42"/>
      <c r="Q113" s="183">
        <v>75086</v>
      </c>
      <c r="R113" s="58" t="s">
        <v>44</v>
      </c>
      <c r="S113" s="18">
        <v>108201</v>
      </c>
      <c r="T113" s="58"/>
    </row>
    <row r="114" spans="1:22" x14ac:dyDescent="0.2">
      <c r="A114" s="100" t="s">
        <v>166</v>
      </c>
      <c r="B114" s="18"/>
      <c r="C114" s="28" t="s">
        <v>45</v>
      </c>
      <c r="D114" s="4" t="s">
        <v>198</v>
      </c>
      <c r="E114" s="29">
        <f>VLOOKUP(A114,'DEK May 2015'!$A$1:$I$252,9,FALSE)</f>
        <v>-49690007.400000006</v>
      </c>
      <c r="F114" s="30">
        <v>0</v>
      </c>
      <c r="G114" s="129">
        <v>3379456.63</v>
      </c>
      <c r="H114" s="129">
        <v>0</v>
      </c>
      <c r="I114" s="115">
        <f t="shared" si="20"/>
        <v>-46310550.770000003</v>
      </c>
      <c r="J114" s="30">
        <v>0</v>
      </c>
      <c r="K114" s="115">
        <f t="shared" si="21"/>
        <v>-46310550.770000003</v>
      </c>
      <c r="L114" s="4" t="s">
        <v>43</v>
      </c>
      <c r="M114" s="20"/>
      <c r="N114" s="42"/>
      <c r="O114" s="42"/>
      <c r="R114" s="58" t="s">
        <v>44</v>
      </c>
      <c r="S114" s="18">
        <v>108301</v>
      </c>
      <c r="T114" s="58"/>
    </row>
    <row r="115" spans="1:22" x14ac:dyDescent="0.2">
      <c r="A115" s="100" t="s">
        <v>167</v>
      </c>
      <c r="B115" s="18"/>
      <c r="C115" s="28" t="s">
        <v>46</v>
      </c>
      <c r="D115" s="4" t="s">
        <v>199</v>
      </c>
      <c r="E115" s="29">
        <f>VLOOKUP(A115,'DEK May 2015'!$A$1:$I$252,9,FALSE)</f>
        <v>12477345.309999999</v>
      </c>
      <c r="F115" s="30">
        <v>0</v>
      </c>
      <c r="G115" s="129">
        <v>-2425240.9700000002</v>
      </c>
      <c r="H115" s="129">
        <v>0</v>
      </c>
      <c r="I115" s="115">
        <f t="shared" si="20"/>
        <v>10052104.339999998</v>
      </c>
      <c r="J115" s="30">
        <v>0</v>
      </c>
      <c r="K115" s="115">
        <f>I115+J115</f>
        <v>10052104.339999998</v>
      </c>
      <c r="L115" s="4" t="s">
        <v>43</v>
      </c>
      <c r="M115" s="20"/>
      <c r="N115" s="42"/>
      <c r="O115" s="42"/>
      <c r="S115" s="18">
        <v>108410</v>
      </c>
      <c r="T115" s="58"/>
    </row>
    <row r="116" spans="1:22" x14ac:dyDescent="0.2">
      <c r="A116" s="100" t="s">
        <v>168</v>
      </c>
      <c r="B116" s="18"/>
      <c r="C116" s="28" t="s">
        <v>74</v>
      </c>
      <c r="D116" s="4" t="s">
        <v>217</v>
      </c>
      <c r="E116" s="29">
        <f>VLOOKUP(A116,'DEK May 2015'!$A$1:$I$252,9,FALSE)</f>
        <v>2125259.4699999997</v>
      </c>
      <c r="F116" s="30">
        <v>0</v>
      </c>
      <c r="G116" s="129">
        <v>20671.72</v>
      </c>
      <c r="H116" s="129">
        <v>0</v>
      </c>
      <c r="I116" s="115">
        <f t="shared" si="20"/>
        <v>2145931.19</v>
      </c>
      <c r="J116" s="30">
        <v>0</v>
      </c>
      <c r="K116" s="115">
        <f>I116+J116</f>
        <v>2145931.19</v>
      </c>
      <c r="M116" s="20"/>
      <c r="N116" s="42"/>
      <c r="O116" s="42"/>
      <c r="Q116" s="4" t="s">
        <v>50</v>
      </c>
      <c r="R116" s="4" t="s">
        <v>51</v>
      </c>
      <c r="S116" s="18">
        <v>182303</v>
      </c>
      <c r="T116" s="58"/>
    </row>
    <row r="117" spans="1:22" x14ac:dyDescent="0.2">
      <c r="A117" s="100" t="s">
        <v>169</v>
      </c>
      <c r="B117" s="18"/>
      <c r="C117" s="28" t="s">
        <v>49</v>
      </c>
      <c r="D117" s="4" t="s">
        <v>218</v>
      </c>
      <c r="E117" s="29">
        <f>VLOOKUP(A117,'DEK May 2015'!$A$1:$I$252,9,FALSE)</f>
        <v>4158555.8300000015</v>
      </c>
      <c r="F117" s="30">
        <v>0</v>
      </c>
      <c r="G117" s="129">
        <v>21510.28</v>
      </c>
      <c r="H117" s="129">
        <v>0</v>
      </c>
      <c r="I117" s="115">
        <f t="shared" si="20"/>
        <v>4180066.1100000013</v>
      </c>
      <c r="J117" s="30">
        <v>0</v>
      </c>
      <c r="K117" s="115">
        <f t="shared" si="21"/>
        <v>4180066.1100000013</v>
      </c>
      <c r="M117" s="20"/>
      <c r="N117" s="42"/>
      <c r="O117" s="42"/>
      <c r="Q117" s="4" t="s">
        <v>50</v>
      </c>
      <c r="S117" s="18">
        <v>182304</v>
      </c>
      <c r="T117" s="58"/>
    </row>
    <row r="118" spans="1:22" x14ac:dyDescent="0.2">
      <c r="A118" s="100" t="s">
        <v>170</v>
      </c>
      <c r="B118" s="18"/>
      <c r="C118" s="28" t="s">
        <v>42</v>
      </c>
      <c r="D118" s="4" t="s">
        <v>200</v>
      </c>
      <c r="E118" s="29">
        <f>VLOOKUP(A118,'DEK May 2015'!$A$1:$I$252,9,FALSE)</f>
        <v>-106456.6</v>
      </c>
      <c r="F118" s="30">
        <v>0</v>
      </c>
      <c r="G118" s="129">
        <v>-5932.49</v>
      </c>
      <c r="H118" s="129">
        <v>0</v>
      </c>
      <c r="I118" s="115">
        <f t="shared" si="20"/>
        <v>-112389.09000000001</v>
      </c>
      <c r="J118" s="30">
        <v>0</v>
      </c>
      <c r="K118" s="115">
        <f t="shared" si="21"/>
        <v>-112389.09000000001</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-48195218.960000016</v>
      </c>
      <c r="F120" s="33">
        <f t="shared" si="22"/>
        <v>0</v>
      </c>
      <c r="G120" s="33">
        <f t="shared" si="22"/>
        <v>942734.43999999971</v>
      </c>
      <c r="H120" s="33">
        <f t="shared" si="22"/>
        <v>0</v>
      </c>
      <c r="I120" s="122">
        <f t="shared" si="22"/>
        <v>-47252484.520000018</v>
      </c>
      <c r="J120" s="33">
        <f t="shared" si="22"/>
        <v>0</v>
      </c>
      <c r="K120" s="122">
        <f t="shared" si="22"/>
        <v>-47252484.520000018</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-58885332.900000013</v>
      </c>
      <c r="F122" s="133">
        <f t="shared" ref="F122:H122" si="23">+F96+F104+F111+F120+F101</f>
        <v>0</v>
      </c>
      <c r="G122" s="133">
        <f t="shared" si="23"/>
        <v>1506116.9799999997</v>
      </c>
      <c r="H122" s="133">
        <f t="shared" si="23"/>
        <v>-26118.78</v>
      </c>
      <c r="I122" s="134">
        <f>+I96+I104+I111+I120+I101</f>
        <v>-57405334.700000018</v>
      </c>
      <c r="J122" s="133">
        <f>+J96+J104+J111+J120+J101</f>
        <v>0</v>
      </c>
      <c r="K122" s="134">
        <f>+K96+K104+K111+K120+K101</f>
        <v>-57405334.700000018</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-1366463.9400000051</v>
      </c>
      <c r="F124" s="137">
        <f>F122+F86</f>
        <v>0</v>
      </c>
      <c r="G124" s="137">
        <f>G122+G86</f>
        <v>-453961.42000000039</v>
      </c>
      <c r="H124" s="137">
        <f>H122+H86</f>
        <v>-48324.94</v>
      </c>
      <c r="I124" s="138">
        <f>I86+I122</f>
        <v>-1868750.3000000119</v>
      </c>
      <c r="J124" s="137">
        <f>J122+J86</f>
        <v>0</v>
      </c>
      <c r="K124" s="138">
        <f>K86+K122</f>
        <v>-1868750.3000000119</v>
      </c>
      <c r="L124" s="50">
        <v>0</v>
      </c>
      <c r="M124" s="70"/>
      <c r="N124" s="70"/>
      <c r="O124" s="70"/>
      <c r="P124" s="50"/>
      <c r="Q124" s="50"/>
      <c r="R124" s="50"/>
      <c r="S124" s="18"/>
      <c r="T124" s="29">
        <f>+G124+H124+F124</f>
        <v>-502286.36000000039</v>
      </c>
      <c r="U124" s="19">
        <v>13111056.41</v>
      </c>
      <c r="V124" s="29">
        <f>+T124-U124</f>
        <v>-13613342.770000001</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306361.12000000052</v>
      </c>
      <c r="H126" s="139">
        <f>-H118-H113-H114-H115-H116-H117-H76-H16-H107-H30-H22-H53-H109-H77-H78-H104-H108-H52</f>
        <v>22206.16</v>
      </c>
      <c r="I126" s="74"/>
      <c r="J126" s="74"/>
      <c r="K126" s="74"/>
      <c r="M126" s="76"/>
      <c r="N126" s="77"/>
      <c r="O126" s="77"/>
      <c r="S126" s="18"/>
    </row>
    <row r="127" spans="1:22" ht="12.75" customHeight="1" x14ac:dyDescent="0.2">
      <c r="A127" s="107"/>
      <c r="B127" s="18"/>
      <c r="C127" s="18"/>
      <c r="D127" s="72"/>
      <c r="E127" s="73"/>
      <c r="F127" s="50"/>
      <c r="G127" s="145">
        <f>G124+H124</f>
        <v>-502286.36000000039</v>
      </c>
      <c r="H127" s="50"/>
      <c r="I127" s="50"/>
      <c r="J127" s="50"/>
      <c r="K127" s="50"/>
      <c r="M127" s="20"/>
      <c r="S127" s="18"/>
    </row>
    <row r="128" spans="1:22" ht="12.75" hidden="1" customHeight="1" x14ac:dyDescent="0.2">
      <c r="A128" s="107" t="s">
        <v>58</v>
      </c>
      <c r="B128" s="18"/>
      <c r="C128" s="71"/>
      <c r="D128" s="72" t="s">
        <v>58</v>
      </c>
      <c r="E128" s="73"/>
      <c r="F128" s="50"/>
      <c r="G128" s="145">
        <f>G124+G126</f>
        <v>-147600.29999999987</v>
      </c>
      <c r="H128" s="50">
        <f>H124+H126</f>
        <v>-26118.780000000002</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-173719.07999999987</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2089770.81</v>
      </c>
      <c r="F135" s="32">
        <f t="shared" ref="F135:F140" si="24">+F84+F85</f>
        <v>0</v>
      </c>
      <c r="G135" s="165"/>
      <c r="H135" s="83"/>
      <c r="I135" s="84">
        <f>+I19</f>
        <v>1830943.81</v>
      </c>
      <c r="J135" s="84">
        <f>+J19</f>
        <v>4091717.92</v>
      </c>
      <c r="K135" s="84">
        <f>+K19</f>
        <v>5922661.7300000004</v>
      </c>
      <c r="M135" s="20"/>
      <c r="S135" s="18"/>
    </row>
    <row r="136" spans="1:19" hidden="1" x14ac:dyDescent="0.2">
      <c r="A136" s="109" t="s">
        <v>141</v>
      </c>
      <c r="B136" s="18"/>
      <c r="C136" s="18"/>
      <c r="D136" s="82" t="s">
        <v>141</v>
      </c>
      <c r="E136" s="83">
        <f>+E24</f>
        <v>1876823.0000000007</v>
      </c>
      <c r="F136" s="32">
        <f t="shared" si="24"/>
        <v>0</v>
      </c>
      <c r="G136" s="165"/>
      <c r="H136" s="83"/>
      <c r="I136" s="84">
        <f>+I24</f>
        <v>1854616.8400000008</v>
      </c>
      <c r="J136" s="84">
        <f>+J24</f>
        <v>-266473.92</v>
      </c>
      <c r="K136" s="84">
        <f>+K24</f>
        <v>1588142.9200000009</v>
      </c>
      <c r="M136" s="20"/>
      <c r="S136" s="18"/>
    </row>
    <row r="137" spans="1:19" hidden="1" x14ac:dyDescent="0.2">
      <c r="A137" s="109" t="s">
        <v>61</v>
      </c>
      <c r="B137" s="18"/>
      <c r="C137" s="18"/>
      <c r="D137" s="82" t="s">
        <v>61</v>
      </c>
      <c r="E137" s="32">
        <f>+E30</f>
        <v>1025822.2</v>
      </c>
      <c r="F137" s="32">
        <f t="shared" si="24"/>
        <v>0</v>
      </c>
      <c r="G137" s="157"/>
      <c r="H137" s="32"/>
      <c r="I137" s="84">
        <f>+I30</f>
        <v>1040663.2</v>
      </c>
      <c r="J137" s="84">
        <f>+J30</f>
        <v>0</v>
      </c>
      <c r="K137" s="84">
        <f>+K30</f>
        <v>1040663.2</v>
      </c>
      <c r="M137" s="20"/>
      <c r="S137" s="18"/>
    </row>
    <row r="138" spans="1:19" hidden="1" x14ac:dyDescent="0.2">
      <c r="A138" s="109" t="s">
        <v>143</v>
      </c>
      <c r="B138" s="18"/>
      <c r="C138" s="18"/>
      <c r="D138" s="82" t="s">
        <v>143</v>
      </c>
      <c r="E138" s="32">
        <f>+E72</f>
        <v>26656998.910000004</v>
      </c>
      <c r="F138" s="32">
        <f t="shared" si="24"/>
        <v>0</v>
      </c>
      <c r="G138" s="157"/>
      <c r="H138" s="32"/>
      <c r="I138" s="84">
        <f>+I72</f>
        <v>25153735.510000002</v>
      </c>
      <c r="J138" s="84">
        <f>+J72</f>
        <v>-3825244</v>
      </c>
      <c r="K138" s="84">
        <f>+K72</f>
        <v>21328491.510000002</v>
      </c>
      <c r="M138" s="20"/>
      <c r="S138" s="18"/>
    </row>
    <row r="139" spans="1:19" hidden="1" x14ac:dyDescent="0.2">
      <c r="A139" s="109" t="s">
        <v>151</v>
      </c>
      <c r="B139" s="18"/>
      <c r="C139" s="18"/>
      <c r="D139" s="82" t="s">
        <v>151</v>
      </c>
      <c r="E139" s="32">
        <f>+E80</f>
        <v>25869454.040000003</v>
      </c>
      <c r="F139" s="32">
        <f t="shared" si="24"/>
        <v>0</v>
      </c>
      <c r="G139" s="157"/>
      <c r="H139" s="32"/>
      <c r="I139" s="84">
        <f>+I80</f>
        <v>25656625.040000003</v>
      </c>
      <c r="J139" s="84">
        <f>+J80</f>
        <v>0</v>
      </c>
      <c r="K139" s="84">
        <f>+K80</f>
        <v>25656625.040000003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-7003544.9600000009</v>
      </c>
      <c r="F141" s="32" t="e">
        <f>+F90+#REF!</f>
        <v>#REF!</v>
      </c>
      <c r="G141" s="157"/>
      <c r="H141" s="32"/>
      <c r="I141" s="84">
        <f>+I96</f>
        <v>-6499452.5100000007</v>
      </c>
      <c r="J141" s="84">
        <f>+J96</f>
        <v>0</v>
      </c>
      <c r="K141" s="84">
        <f>+K96</f>
        <v>-6499452.5100000007</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-3669938.63</v>
      </c>
      <c r="F143" s="32" t="e">
        <f>+#REF!+#REF!</f>
        <v>#REF!</v>
      </c>
      <c r="G143" s="157"/>
      <c r="H143" s="32"/>
      <c r="I143" s="84">
        <f>+I104</f>
        <v>-3636910.63</v>
      </c>
      <c r="J143" s="84">
        <f>+J104</f>
        <v>0</v>
      </c>
      <c r="K143" s="84">
        <f>+K104</f>
        <v>-3636910.63</v>
      </c>
      <c r="M143" s="20"/>
      <c r="S143" s="18"/>
    </row>
    <row r="144" spans="1:19" hidden="1" x14ac:dyDescent="0.2">
      <c r="A144" s="109" t="s">
        <v>153</v>
      </c>
      <c r="B144" s="18"/>
      <c r="C144" s="18"/>
      <c r="D144" s="82" t="s">
        <v>153</v>
      </c>
      <c r="E144" s="32">
        <f>+E111</f>
        <v>-16630.350000000006</v>
      </c>
      <c r="F144" s="32" t="e">
        <f>+#REF!+F91</f>
        <v>#REF!</v>
      </c>
      <c r="G144" s="157"/>
      <c r="H144" s="32"/>
      <c r="I144" s="84">
        <f>+I111</f>
        <v>-16487.040000000005</v>
      </c>
      <c r="J144" s="84">
        <f>+J111</f>
        <v>0</v>
      </c>
      <c r="K144" s="84">
        <f>+K111</f>
        <v>-16487.040000000005</v>
      </c>
      <c r="M144" s="20"/>
      <c r="S144" s="18"/>
    </row>
    <row r="145" spans="1:19" hidden="1" x14ac:dyDescent="0.2">
      <c r="A145" s="109" t="s">
        <v>155</v>
      </c>
      <c r="B145" s="18"/>
      <c r="C145" s="18"/>
      <c r="D145" s="82" t="s">
        <v>155</v>
      </c>
      <c r="E145" s="32">
        <f>+E120</f>
        <v>-48195218.960000016</v>
      </c>
      <c r="F145" s="32">
        <f t="shared" ref="F145" si="25">+F91+F92</f>
        <v>0</v>
      </c>
      <c r="G145" s="157"/>
      <c r="H145" s="32"/>
      <c r="I145" s="84">
        <f>+I120</f>
        <v>-47252484.520000018</v>
      </c>
      <c r="J145" s="84">
        <f>+J120</f>
        <v>0</v>
      </c>
      <c r="K145" s="84">
        <f>+K120</f>
        <v>-47252484.520000018</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-1366463.9400000125</v>
      </c>
      <c r="F147" s="88" t="e">
        <f>SUM(F137:F146)</f>
        <v>#REF!</v>
      </c>
      <c r="G147" s="166"/>
      <c r="H147" s="88"/>
      <c r="I147" s="89">
        <f>SUM(I133:I146)</f>
        <v>-1868750.3000000119</v>
      </c>
      <c r="J147" s="89">
        <f>SUM(J133:J146)</f>
        <v>0</v>
      </c>
      <c r="K147" s="89">
        <f>SUM(K133:K146)</f>
        <v>-1868750.3000000119</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-7.4505805969238281E-9</v>
      </c>
      <c r="F149" s="19"/>
      <c r="G149" s="148"/>
      <c r="H149" s="19"/>
      <c r="I149" s="19">
        <f>+I147-I124</f>
        <v>0</v>
      </c>
      <c r="J149" s="19">
        <f>+J147-J124</f>
        <v>0</v>
      </c>
      <c r="K149" s="19">
        <f>+K147-K124</f>
        <v>0</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-208827</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530211.23</v>
      </c>
      <c r="H155" s="19">
        <f>+H90+H91+H92+H93+H89</f>
        <v>-26118.78</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468984.52999999985</v>
      </c>
      <c r="H157" s="110">
        <f>+H153+H154+H155-H128</f>
        <v>0</v>
      </c>
      <c r="I157" s="19"/>
      <c r="J157" s="19"/>
      <c r="K157" s="19"/>
      <c r="M157" s="20"/>
      <c r="S157" s="18"/>
    </row>
    <row r="158" spans="1:19" hidden="1" x14ac:dyDescent="0.2">
      <c r="B158" s="18"/>
      <c r="C158" s="18"/>
      <c r="F158" s="19"/>
      <c r="H158" s="29">
        <f>+H154+H155+H153+G153+G154+G155</f>
        <v>295265.44999999995</v>
      </c>
      <c r="I158" s="19"/>
      <c r="J158" s="19"/>
      <c r="K158" s="19"/>
      <c r="M158" s="20"/>
      <c r="S158" s="18"/>
    </row>
    <row r="159" spans="1:19" hidden="1" x14ac:dyDescent="0.2">
      <c r="B159" s="18"/>
      <c r="C159" s="18"/>
      <c r="F159" s="19"/>
      <c r="G159" s="148"/>
      <c r="H159" s="29">
        <f>+H158-G128-H128</f>
        <v>468984.52999999985</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3"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290"/>
  <sheetViews>
    <sheetView topLeftCell="A85" zoomScale="80" zoomScaleNormal="80" workbookViewId="0">
      <selection activeCell="G171" sqref="G171"/>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3" t="s">
        <v>66</v>
      </c>
    </row>
    <row r="4" spans="1:22" x14ac:dyDescent="0.2">
      <c r="A4" s="99"/>
      <c r="B4" s="7"/>
      <c r="C4" s="3"/>
      <c r="D4" s="3"/>
      <c r="E4" s="3"/>
      <c r="F4" s="8"/>
      <c r="G4" s="147"/>
      <c r="H4" s="8"/>
      <c r="I4" s="9"/>
      <c r="J4" s="9"/>
      <c r="K4" s="9"/>
      <c r="M4" s="10"/>
      <c r="P4" s="183" t="s">
        <v>1</v>
      </c>
    </row>
    <row r="5" spans="1:22" x14ac:dyDescent="0.2">
      <c r="E5" s="183" t="s">
        <v>2</v>
      </c>
      <c r="F5" s="183" t="s">
        <v>3</v>
      </c>
      <c r="G5" s="183" t="s">
        <v>4</v>
      </c>
      <c r="H5" s="183"/>
      <c r="I5" s="111" t="s">
        <v>208</v>
      </c>
      <c r="J5" s="13" t="s">
        <v>180</v>
      </c>
      <c r="K5" s="111" t="s">
        <v>209</v>
      </c>
      <c r="L5" s="183" t="s">
        <v>5</v>
      </c>
      <c r="M5" s="11" t="s">
        <v>6</v>
      </c>
      <c r="N5" s="11" t="s">
        <v>0</v>
      </c>
      <c r="O5" s="11" t="s">
        <v>8</v>
      </c>
      <c r="P5" s="183" t="s">
        <v>9</v>
      </c>
      <c r="Q5" s="576" t="s">
        <v>10</v>
      </c>
      <c r="R5" s="576"/>
      <c r="U5" s="12" t="s">
        <v>11</v>
      </c>
    </row>
    <row r="6" spans="1:22" x14ac:dyDescent="0.2">
      <c r="E6" s="13">
        <v>42094</v>
      </c>
      <c r="F6" s="13" t="s">
        <v>12</v>
      </c>
      <c r="G6" s="14" t="s">
        <v>13</v>
      </c>
      <c r="H6" s="14" t="s">
        <v>8</v>
      </c>
      <c r="I6" s="112">
        <v>42185</v>
      </c>
      <c r="J6" s="13" t="s">
        <v>210</v>
      </c>
      <c r="K6" s="112">
        <f>I6</f>
        <v>42185</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Mar 2015'!$A$1:$I$252,9,FALSE)</f>
        <v>-1.1641532182693481E-9</v>
      </c>
      <c r="F9" s="30">
        <v>0</v>
      </c>
      <c r="G9" s="188">
        <v>0</v>
      </c>
      <c r="H9" s="189">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Mar 2015'!$A$1:$I$252,9,FALSE)</f>
        <v>0</v>
      </c>
      <c r="F10" s="33">
        <v>0</v>
      </c>
      <c r="G10" s="188">
        <v>0</v>
      </c>
      <c r="H10" s="188">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Mar 2015'!$A$1:$I$252,9,FALSE)</f>
        <v>793117.81</v>
      </c>
      <c r="F15" s="30">
        <v>0</v>
      </c>
      <c r="G15" s="188">
        <v>-258827</v>
      </c>
      <c r="H15" s="189">
        <v>0</v>
      </c>
      <c r="I15" s="115">
        <f>E15+F15+G15+H15</f>
        <v>534290.81000000006</v>
      </c>
      <c r="J15" s="30">
        <v>0</v>
      </c>
      <c r="K15" s="115">
        <f>I15+J15</f>
        <v>534290.81000000006</v>
      </c>
      <c r="M15" s="20"/>
      <c r="S15" s="18"/>
    </row>
    <row r="16" spans="1:22" x14ac:dyDescent="0.2">
      <c r="A16" s="100" t="s">
        <v>157</v>
      </c>
      <c r="B16" s="28"/>
      <c r="C16" s="28" t="s">
        <v>37</v>
      </c>
      <c r="D16" s="4" t="s">
        <v>192</v>
      </c>
      <c r="E16" s="29">
        <f>VLOOKUP(A16,'DEK Mar 2015'!$A$1:$I$252,9,FALSE)</f>
        <v>1296653</v>
      </c>
      <c r="F16" s="30">
        <v>0</v>
      </c>
      <c r="G16" s="189">
        <v>0</v>
      </c>
      <c r="H16" s="18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Mar 2015'!$A$1:$I$252,9,FALSE)</f>
        <v>0</v>
      </c>
      <c r="F17" s="30">
        <v>0</v>
      </c>
      <c r="G17" s="188">
        <v>0</v>
      </c>
      <c r="H17" s="188">
        <v>0</v>
      </c>
      <c r="I17" s="115">
        <f>E17+F17+G17+H17</f>
        <v>0</v>
      </c>
      <c r="J17" s="30">
        <v>4091717.92</v>
      </c>
      <c r="K17" s="115">
        <f t="shared" ref="K17" si="1">I17+J17</f>
        <v>4091717.92</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2089770.81</v>
      </c>
      <c r="F19" s="29">
        <f t="shared" ref="F19:K19" si="2">SUM(F15:F18)</f>
        <v>0</v>
      </c>
      <c r="G19" s="29">
        <f t="shared" si="2"/>
        <v>-258827</v>
      </c>
      <c r="H19" s="29">
        <f t="shared" si="2"/>
        <v>0</v>
      </c>
      <c r="I19" s="123">
        <f>SUM(I15:I18)</f>
        <v>1830943.81</v>
      </c>
      <c r="J19" s="29">
        <f t="shared" si="2"/>
        <v>4091717.92</v>
      </c>
      <c r="K19" s="123">
        <f t="shared" si="2"/>
        <v>5922661.7300000004</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Mar 2015'!$A$1:$I$252,9,FALSE)</f>
        <v>1921235.3300000005</v>
      </c>
      <c r="F22" s="33">
        <v>0</v>
      </c>
      <c r="G22" s="188"/>
      <c r="H22" s="188">
        <v>-66618.490000000005</v>
      </c>
      <c r="I22" s="115">
        <f>E22+F22+G22+H22</f>
        <v>1854616.8400000005</v>
      </c>
      <c r="J22" s="33">
        <v>-266473.92</v>
      </c>
      <c r="K22" s="115">
        <f>I22+J22</f>
        <v>1588142.9200000006</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1921235.3300000005</v>
      </c>
      <c r="F24" s="29">
        <f t="shared" ref="F24:K24" si="3">SUM(F22:F23)</f>
        <v>0</v>
      </c>
      <c r="G24" s="29">
        <f t="shared" si="3"/>
        <v>0</v>
      </c>
      <c r="H24" s="29">
        <f t="shared" si="3"/>
        <v>-66618.490000000005</v>
      </c>
      <c r="I24" s="123">
        <f t="shared" si="3"/>
        <v>1854616.8400000005</v>
      </c>
      <c r="J24" s="29">
        <f t="shared" si="3"/>
        <v>-266473.92</v>
      </c>
      <c r="K24" s="123">
        <f t="shared" si="3"/>
        <v>1588142.9200000006</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Mar 2015'!$A$1:$I$252,9,FALSE)</f>
        <v>1538937</v>
      </c>
      <c r="F27" s="33">
        <v>0</v>
      </c>
      <c r="G27" s="188">
        <v>29317</v>
      </c>
      <c r="H27" s="190">
        <v>0</v>
      </c>
      <c r="I27" s="115">
        <f>E27+F27+G27+H27</f>
        <v>1568254</v>
      </c>
      <c r="J27" s="33">
        <v>0</v>
      </c>
      <c r="K27" s="115">
        <f>I27+J27</f>
        <v>1568254</v>
      </c>
      <c r="L27" s="4" t="s">
        <v>22</v>
      </c>
      <c r="M27" s="20"/>
      <c r="S27" s="28" t="s">
        <v>23</v>
      </c>
    </row>
    <row r="28" spans="1:21" ht="13.5" customHeight="1" x14ac:dyDescent="0.2">
      <c r="A28" s="100" t="s">
        <v>80</v>
      </c>
      <c r="B28" s="28"/>
      <c r="C28" s="28" t="s">
        <v>24</v>
      </c>
      <c r="D28" s="4" t="s">
        <v>204</v>
      </c>
      <c r="E28" s="29">
        <f>VLOOKUP(A28,'DEK Mar 2015'!$A$1:$I$252,9,FALSE)</f>
        <v>-542789.80000000005</v>
      </c>
      <c r="F28" s="33">
        <v>0</v>
      </c>
      <c r="G28" s="188">
        <v>15199</v>
      </c>
      <c r="H28" s="191">
        <v>0</v>
      </c>
      <c r="I28" s="115">
        <f>E28+F28+G28+H28</f>
        <v>-527590.80000000005</v>
      </c>
      <c r="J28" s="33">
        <v>0</v>
      </c>
      <c r="K28" s="115">
        <f>I28+J28</f>
        <v>-527590.80000000005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996147.19999999995</v>
      </c>
      <c r="F30" s="44">
        <f t="shared" ref="F30:K30" si="4">SUM(F27:F28)</f>
        <v>0</v>
      </c>
      <c r="G30" s="130">
        <f t="shared" si="4"/>
        <v>44516</v>
      </c>
      <c r="H30" s="130">
        <f t="shared" si="4"/>
        <v>0</v>
      </c>
      <c r="I30" s="122">
        <f t="shared" si="4"/>
        <v>1040663.2</v>
      </c>
      <c r="J30" s="33">
        <f t="shared" si="4"/>
        <v>0</v>
      </c>
      <c r="K30" s="122">
        <f t="shared" si="4"/>
        <v>1040663.2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Mar 2015'!$A$1:$I$252,9,FALSE)</f>
        <v>7472501.8900000006</v>
      </c>
      <c r="F52" s="33">
        <v>0</v>
      </c>
      <c r="G52" s="188">
        <v>156790.04999999999</v>
      </c>
      <c r="H52" s="188">
        <v>0</v>
      </c>
      <c r="I52" s="115">
        <f>E52+F52+G52+H52</f>
        <v>7629291.9400000004</v>
      </c>
      <c r="J52" s="33">
        <v>-3825244</v>
      </c>
      <c r="K52" s="115">
        <f>I52+J52</f>
        <v>3804047.9400000004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Mar 2015'!$A$1:$I$252,9,FALSE)</f>
        <v>5999744</v>
      </c>
      <c r="F53" s="33">
        <v>0</v>
      </c>
      <c r="G53" s="188">
        <v>-763000</v>
      </c>
      <c r="H53" s="188">
        <v>0</v>
      </c>
      <c r="I53" s="115">
        <f>E53+F53+G53+H53</f>
        <v>5236744</v>
      </c>
      <c r="J53" s="33">
        <v>0</v>
      </c>
      <c r="K53" s="115">
        <f>I53+J53</f>
        <v>5236744</v>
      </c>
      <c r="L53" s="4" t="s">
        <v>22</v>
      </c>
      <c r="M53" s="6" t="s">
        <v>110</v>
      </c>
      <c r="N53" s="6" t="s">
        <v>111</v>
      </c>
      <c r="S53" s="18">
        <v>182410</v>
      </c>
    </row>
    <row r="54" spans="1:23" x14ac:dyDescent="0.2">
      <c r="B54" s="28"/>
      <c r="C54" s="28"/>
      <c r="E54" s="30"/>
      <c r="F54" s="33"/>
      <c r="G54" s="192"/>
      <c r="H54" s="188"/>
      <c r="I54" s="115"/>
      <c r="J54" s="33"/>
      <c r="K54" s="115"/>
      <c r="S54" s="18"/>
    </row>
    <row r="55" spans="1:23" hidden="1" x14ac:dyDescent="0.2">
      <c r="A55" s="100" t="s">
        <v>173</v>
      </c>
      <c r="B55" s="28"/>
      <c r="C55" s="28" t="s">
        <v>174</v>
      </c>
      <c r="D55" s="4" t="s">
        <v>173</v>
      </c>
      <c r="E55" s="29">
        <v>0</v>
      </c>
      <c r="F55" s="33">
        <v>0</v>
      </c>
      <c r="G55" s="192">
        <v>0</v>
      </c>
      <c r="H55" s="189">
        <v>0</v>
      </c>
      <c r="I55" s="115">
        <f>E55+F55+G55+H55</f>
        <v>0</v>
      </c>
      <c r="J55" s="33">
        <f>F55+G55+H55+I55</f>
        <v>0</v>
      </c>
      <c r="K55" s="115">
        <f>G55+H55+I55+J55</f>
        <v>0</v>
      </c>
      <c r="S55" s="18"/>
      <c r="W55" s="47"/>
    </row>
    <row r="56" spans="1:23" hidden="1" x14ac:dyDescent="0.2">
      <c r="B56" s="28"/>
      <c r="C56" s="28"/>
      <c r="E56" s="30"/>
      <c r="F56" s="33"/>
      <c r="G56" s="192"/>
      <c r="H56" s="188"/>
      <c r="I56" s="115"/>
      <c r="J56" s="33"/>
      <c r="K56" s="115"/>
      <c r="S56" s="18"/>
      <c r="W56" s="47"/>
    </row>
    <row r="57" spans="1:23" hidden="1" x14ac:dyDescent="0.2">
      <c r="A57" s="100" t="s">
        <v>132</v>
      </c>
      <c r="B57" s="28"/>
      <c r="C57" s="28" t="s">
        <v>131</v>
      </c>
      <c r="D57" s="4" t="s">
        <v>132</v>
      </c>
      <c r="E57" s="29">
        <v>0</v>
      </c>
      <c r="F57" s="33">
        <v>0</v>
      </c>
      <c r="G57" s="192">
        <v>0</v>
      </c>
      <c r="H57" s="188">
        <v>0</v>
      </c>
      <c r="I57" s="115">
        <f>E57+F57+G57+H57</f>
        <v>0</v>
      </c>
      <c r="J57" s="33">
        <v>0</v>
      </c>
      <c r="K57" s="115">
        <f>I57+J57</f>
        <v>0</v>
      </c>
      <c r="S57" s="18"/>
    </row>
    <row r="58" spans="1:23" hidden="1" x14ac:dyDescent="0.2">
      <c r="B58" s="28"/>
      <c r="C58" s="28"/>
      <c r="E58" s="30"/>
      <c r="F58" s="33"/>
      <c r="G58" s="192"/>
      <c r="H58" s="188"/>
      <c r="I58" s="115"/>
      <c r="J58" s="33"/>
      <c r="K58" s="115"/>
      <c r="S58" s="18"/>
    </row>
    <row r="59" spans="1:23" x14ac:dyDescent="0.2">
      <c r="A59" s="100" t="s">
        <v>134</v>
      </c>
      <c r="B59" s="28"/>
      <c r="C59" s="28" t="s">
        <v>133</v>
      </c>
      <c r="D59" s="4" t="s">
        <v>205</v>
      </c>
      <c r="E59" s="29">
        <f>VLOOKUP(A59,'DEK Mar 2015'!$A$1:$I$252,9,FALSE)</f>
        <v>1250000</v>
      </c>
      <c r="F59" s="33">
        <v>0</v>
      </c>
      <c r="G59" s="188">
        <v>50000</v>
      </c>
      <c r="H59" s="188">
        <v>0</v>
      </c>
      <c r="I59" s="115">
        <f>E59+F59+G59+H59</f>
        <v>1300000</v>
      </c>
      <c r="J59" s="33">
        <v>0</v>
      </c>
      <c r="K59" s="115">
        <f>I59+J59</f>
        <v>1300000</v>
      </c>
      <c r="S59" s="18"/>
    </row>
    <row r="60" spans="1:23" x14ac:dyDescent="0.2">
      <c r="B60" s="28"/>
      <c r="C60" s="28"/>
      <c r="E60" s="30"/>
      <c r="F60" s="33"/>
      <c r="G60" s="192"/>
      <c r="H60" s="188"/>
      <c r="I60" s="115"/>
      <c r="J60" s="33"/>
      <c r="K60" s="115"/>
      <c r="S60" s="18"/>
    </row>
    <row r="61" spans="1:23" hidden="1" x14ac:dyDescent="0.2">
      <c r="A61" s="100" t="s">
        <v>175</v>
      </c>
      <c r="B61" s="28"/>
      <c r="C61" s="28" t="s">
        <v>176</v>
      </c>
      <c r="D61" s="4" t="s">
        <v>175</v>
      </c>
      <c r="E61" s="29">
        <v>0</v>
      </c>
      <c r="F61" s="33">
        <v>0</v>
      </c>
      <c r="G61" s="192">
        <v>0</v>
      </c>
      <c r="H61" s="188">
        <v>0</v>
      </c>
      <c r="I61" s="115">
        <v>0</v>
      </c>
      <c r="J61" s="33">
        <v>0</v>
      </c>
      <c r="K61" s="115">
        <v>0</v>
      </c>
      <c r="S61" s="18"/>
      <c r="W61" s="47"/>
    </row>
    <row r="62" spans="1:23" hidden="1" x14ac:dyDescent="0.2">
      <c r="B62" s="28"/>
      <c r="C62" s="28"/>
      <c r="E62" s="30"/>
      <c r="F62" s="33"/>
      <c r="G62" s="192"/>
      <c r="H62" s="188"/>
      <c r="I62" s="115"/>
      <c r="J62" s="33"/>
      <c r="K62" s="115"/>
      <c r="S62" s="18"/>
      <c r="W62" s="47"/>
    </row>
    <row r="63" spans="1:23" x14ac:dyDescent="0.2">
      <c r="A63" s="100" t="s">
        <v>39</v>
      </c>
      <c r="B63" s="28"/>
      <c r="C63" s="28" t="s">
        <v>38</v>
      </c>
      <c r="D63" s="4" t="s">
        <v>39</v>
      </c>
      <c r="E63" s="29">
        <f>VLOOKUP(A63,'DEK Mar 2015'!$A$1:$I$252,9,FALSE)</f>
        <v>4912684</v>
      </c>
      <c r="F63" s="33">
        <v>0</v>
      </c>
      <c r="G63" s="193">
        <v>0</v>
      </c>
      <c r="H63" s="188">
        <v>0</v>
      </c>
      <c r="I63" s="115">
        <f>E63+F63+G63+H63</f>
        <v>4912684</v>
      </c>
      <c r="J63" s="33">
        <v>0</v>
      </c>
      <c r="K63" s="115">
        <f>I63+J63</f>
        <v>4912684</v>
      </c>
      <c r="M63" s="20" t="s">
        <v>112</v>
      </c>
      <c r="S63" s="18"/>
    </row>
    <row r="64" spans="1:23" x14ac:dyDescent="0.2">
      <c r="B64" s="28"/>
      <c r="C64" s="28"/>
      <c r="E64" s="30"/>
      <c r="F64" s="33"/>
      <c r="G64" s="192"/>
      <c r="H64" s="188"/>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Mar 2015'!$A$1:$I$252,9,FALSE)</f>
        <v>0</v>
      </c>
      <c r="F65" s="33">
        <v>0</v>
      </c>
      <c r="G65" s="194">
        <v>0</v>
      </c>
      <c r="H65" s="188">
        <v>0</v>
      </c>
      <c r="I65" s="115">
        <f t="shared" si="5"/>
        <v>0</v>
      </c>
      <c r="J65" s="33">
        <f>F65+G65+H65+I65</f>
        <v>0</v>
      </c>
      <c r="K65" s="115">
        <f t="shared" si="6"/>
        <v>0</v>
      </c>
      <c r="M65" s="20"/>
      <c r="S65" s="18"/>
    </row>
    <row r="66" spans="1:21" ht="12.75" hidden="1" customHeight="1" x14ac:dyDescent="0.2">
      <c r="B66" s="28"/>
      <c r="C66" s="28"/>
      <c r="E66" s="32"/>
      <c r="F66" s="33"/>
      <c r="G66" s="194"/>
      <c r="H66" s="188"/>
      <c r="I66" s="115"/>
      <c r="J66" s="33"/>
      <c r="K66" s="115"/>
      <c r="M66" s="20"/>
      <c r="S66" s="18"/>
    </row>
    <row r="67" spans="1:21" ht="15.75" customHeight="1" x14ac:dyDescent="0.35">
      <c r="A67" s="100" t="s">
        <v>231</v>
      </c>
      <c r="B67" s="28"/>
      <c r="C67" s="28" t="s">
        <v>229</v>
      </c>
      <c r="D67" s="4" t="s">
        <v>230</v>
      </c>
      <c r="E67" s="32">
        <f>VLOOKUP(A67,'DEK Mar 2015'!$A$1:$I$252,9,FALSE)</f>
        <v>3865309.38</v>
      </c>
      <c r="F67" s="172"/>
      <c r="G67" s="188">
        <v>3021724.57</v>
      </c>
      <c r="H67" s="188">
        <v>0</v>
      </c>
      <c r="I67" s="115">
        <f t="shared" si="5"/>
        <v>6887033.9499999993</v>
      </c>
      <c r="J67" s="172"/>
      <c r="K67" s="115">
        <f t="shared" si="6"/>
        <v>6887033.9499999993</v>
      </c>
      <c r="M67" s="20"/>
      <c r="S67" s="18"/>
    </row>
    <row r="68" spans="1:21" ht="12.75" customHeight="1" x14ac:dyDescent="0.35">
      <c r="B68" s="28"/>
      <c r="C68" s="28"/>
      <c r="E68" s="171"/>
      <c r="F68" s="172"/>
      <c r="G68" s="188"/>
      <c r="H68" s="195"/>
      <c r="I68" s="115"/>
      <c r="J68" s="172"/>
      <c r="K68" s="115"/>
      <c r="M68" s="20"/>
      <c r="S68" s="18"/>
    </row>
    <row r="69" spans="1:21" ht="12.75" customHeight="1" x14ac:dyDescent="0.35">
      <c r="A69" s="100" t="s">
        <v>237</v>
      </c>
      <c r="B69" s="28"/>
      <c r="C69" s="28" t="s">
        <v>236</v>
      </c>
      <c r="D69" s="4" t="s">
        <v>237</v>
      </c>
      <c r="E69" s="32">
        <v>0</v>
      </c>
      <c r="F69" s="172"/>
      <c r="G69" s="188">
        <v>-812018.38</v>
      </c>
      <c r="H69" s="188">
        <v>0</v>
      </c>
      <c r="I69" s="115">
        <f t="shared" si="5"/>
        <v>-812018.38</v>
      </c>
      <c r="J69" s="33"/>
      <c r="K69" s="115">
        <f t="shared" si="6"/>
        <v>-812018.38</v>
      </c>
      <c r="M69" s="20"/>
      <c r="S69" s="18"/>
    </row>
    <row r="70" spans="1:21" ht="12.75" customHeight="1" x14ac:dyDescent="0.35">
      <c r="B70" s="28"/>
      <c r="C70" s="28"/>
      <c r="E70" s="32"/>
      <c r="F70" s="172"/>
      <c r="G70" s="192"/>
      <c r="H70" s="188"/>
      <c r="I70" s="115"/>
      <c r="J70" s="33"/>
      <c r="K70" s="115"/>
      <c r="M70" s="20"/>
      <c r="S70" s="18"/>
    </row>
    <row r="71" spans="1:21" ht="12.75" customHeight="1" x14ac:dyDescent="0.35">
      <c r="A71" s="100" t="s">
        <v>234</v>
      </c>
      <c r="B71" s="28"/>
      <c r="C71" s="28" t="s">
        <v>232</v>
      </c>
      <c r="D71" s="4" t="s">
        <v>233</v>
      </c>
      <c r="E71" s="35">
        <f>VLOOKUP(A71,'DEK Mar 2015'!$A$1:$I$252,9,FALSE)</f>
        <v>228.93</v>
      </c>
      <c r="F71" s="174"/>
      <c r="G71" s="196">
        <v>-228.93</v>
      </c>
      <c r="H71" s="196">
        <v>0</v>
      </c>
      <c r="I71" s="116">
        <f t="shared" ref="I71" si="7">E71+F71+G71+H71</f>
        <v>0</v>
      </c>
      <c r="J71" s="36"/>
      <c r="K71" s="116">
        <f t="shared" ref="K71" si="8">I71+J71</f>
        <v>0</v>
      </c>
      <c r="M71" s="20"/>
      <c r="S71" s="18"/>
    </row>
    <row r="72" spans="1:21" x14ac:dyDescent="0.2">
      <c r="B72" s="54"/>
      <c r="C72" s="28"/>
      <c r="E72" s="29">
        <f>SUM(E42:E71)</f>
        <v>23500468.199999999</v>
      </c>
      <c r="F72" s="29">
        <f>SUM(F39:F65)+F36</f>
        <v>0</v>
      </c>
      <c r="G72" s="29">
        <f>SUM(G39:G71)+G36</f>
        <v>1653267.3100000003</v>
      </c>
      <c r="H72" s="29">
        <f>SUM(H39:H71)+H36</f>
        <v>0</v>
      </c>
      <c r="I72" s="123">
        <f>SUM(I39:I71)+I36</f>
        <v>25153735.510000002</v>
      </c>
      <c r="J72" s="29">
        <f>SUM(J39:J69)+J36</f>
        <v>-3825244</v>
      </c>
      <c r="K72" s="123">
        <f>SUM(K39:K69)+K36</f>
        <v>21328491.510000002</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Mar 2015'!$A$1:$I$252,9,FALSE)</f>
        <v>20995909.440000001</v>
      </c>
      <c r="F76" s="30">
        <v>0</v>
      </c>
      <c r="G76" s="188">
        <v>1520999</v>
      </c>
      <c r="H76" s="189">
        <v>0</v>
      </c>
      <c r="I76" s="115">
        <f>E76+F76+G76+H76</f>
        <v>22516908.440000001</v>
      </c>
      <c r="J76" s="30">
        <v>0</v>
      </c>
      <c r="K76" s="115">
        <f t="shared" ref="K76:K78" si="9">I76+J76</f>
        <v>22516908.440000001</v>
      </c>
      <c r="M76" s="20"/>
      <c r="P76" s="58"/>
      <c r="S76" s="18">
        <v>186801</v>
      </c>
    </row>
    <row r="77" spans="1:21" x14ac:dyDescent="0.2">
      <c r="A77" s="108" t="s">
        <v>171</v>
      </c>
      <c r="B77" s="28"/>
      <c r="C77" s="28" t="s">
        <v>122</v>
      </c>
      <c r="D77" s="4" t="s">
        <v>225</v>
      </c>
      <c r="E77" s="29">
        <f>VLOOKUP(A77,'DEK Mar 2015'!$A$1:$I$252,9,FALSE)</f>
        <v>3163203.55</v>
      </c>
      <c r="F77" s="30">
        <v>0</v>
      </c>
      <c r="G77" s="188">
        <v>-82758</v>
      </c>
      <c r="H77" s="189">
        <v>0</v>
      </c>
      <c r="I77" s="115">
        <f>E77+F77+G77+H77</f>
        <v>3080445.55</v>
      </c>
      <c r="J77" s="30">
        <v>0</v>
      </c>
      <c r="K77" s="115">
        <f t="shared" si="9"/>
        <v>3080445.55</v>
      </c>
      <c r="M77" s="20"/>
      <c r="P77" s="58"/>
      <c r="S77" s="18"/>
    </row>
    <row r="78" spans="1:21" x14ac:dyDescent="0.2">
      <c r="A78" s="108" t="s">
        <v>172</v>
      </c>
      <c r="B78" s="28"/>
      <c r="C78" s="28" t="s">
        <v>123</v>
      </c>
      <c r="D78" s="4" t="s">
        <v>226</v>
      </c>
      <c r="E78" s="29">
        <f>VLOOKUP(A78,'DEK Mar 2015'!$A$1:$I$252,9,FALSE)</f>
        <v>61653.05</v>
      </c>
      <c r="F78" s="30">
        <v>0</v>
      </c>
      <c r="G78" s="188">
        <v>-2382</v>
      </c>
      <c r="H78" s="189">
        <v>0</v>
      </c>
      <c r="I78" s="115">
        <f>E78+F78+G78+H78</f>
        <v>59271.05</v>
      </c>
      <c r="J78" s="30">
        <v>0</v>
      </c>
      <c r="K78" s="115">
        <f t="shared" si="9"/>
        <v>59271.05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24220766.040000003</v>
      </c>
      <c r="F80" s="29">
        <f t="shared" ref="F80:K80" si="10">SUM(F75:F79)</f>
        <v>0</v>
      </c>
      <c r="G80" s="29">
        <f>SUM(G75:G79)</f>
        <v>1435859</v>
      </c>
      <c r="H80" s="29">
        <f t="shared" si="10"/>
        <v>0</v>
      </c>
      <c r="I80" s="123">
        <f t="shared" si="10"/>
        <v>25656625.040000003</v>
      </c>
      <c r="J80" s="29">
        <f t="shared" si="10"/>
        <v>0</v>
      </c>
      <c r="K80" s="123">
        <f t="shared" si="10"/>
        <v>25656625.040000003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52728387.579999998</v>
      </c>
      <c r="F86" s="133">
        <f t="shared" si="12"/>
        <v>0</v>
      </c>
      <c r="G86" s="133">
        <f t="shared" si="12"/>
        <v>2874815.3100000005</v>
      </c>
      <c r="H86" s="133">
        <f t="shared" si="12"/>
        <v>-66618.490000000005</v>
      </c>
      <c r="I86" s="134">
        <f t="shared" si="12"/>
        <v>55536584.400000006</v>
      </c>
      <c r="J86" s="133">
        <f t="shared" si="12"/>
        <v>0</v>
      </c>
      <c r="K86" s="134">
        <f t="shared" si="12"/>
        <v>55536584.400000006</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50"/>
      <c r="I88" s="113"/>
      <c r="J88" s="19"/>
      <c r="K88" s="113"/>
      <c r="M88" s="19"/>
      <c r="N88" s="20"/>
      <c r="O88" s="48"/>
      <c r="R88" s="57"/>
      <c r="S88" s="57"/>
    </row>
    <row r="89" spans="1:20" x14ac:dyDescent="0.2">
      <c r="A89" s="100" t="s">
        <v>114</v>
      </c>
      <c r="B89" s="18"/>
      <c r="C89" s="28" t="s">
        <v>52</v>
      </c>
      <c r="D89" s="4" t="s">
        <v>114</v>
      </c>
      <c r="E89" s="29">
        <f>VLOOKUP(A89,'DEK Mar 2015'!$A$1:$I$252,9,FALSE)</f>
        <v>1030231.7400000001</v>
      </c>
      <c r="F89" s="30">
        <v>0</v>
      </c>
      <c r="G89" s="188">
        <v>-1264583.7</v>
      </c>
      <c r="H89" s="188">
        <v>-645391.44999999995</v>
      </c>
      <c r="I89" s="115">
        <f t="shared" ref="I89:I94" si="13">E89+F89+G89+H89</f>
        <v>-879743.4099999998</v>
      </c>
      <c r="J89" s="30">
        <v>0</v>
      </c>
      <c r="K89" s="115">
        <f t="shared" ref="K89:K94" si="14">I89+J89</f>
        <v>-879743.4099999998</v>
      </c>
      <c r="L89" s="4" t="s">
        <v>22</v>
      </c>
      <c r="M89" s="33"/>
      <c r="N89" s="42"/>
      <c r="O89" s="42"/>
      <c r="S89" s="18">
        <v>191400</v>
      </c>
      <c r="T89" s="58"/>
    </row>
    <row r="90" spans="1:20" x14ac:dyDescent="0.2">
      <c r="A90" s="100" t="s">
        <v>115</v>
      </c>
      <c r="B90" s="18"/>
      <c r="C90" s="28" t="s">
        <v>53</v>
      </c>
      <c r="D90" s="4" t="s">
        <v>115</v>
      </c>
      <c r="E90" s="29">
        <f>VLOOKUP(A90,'DEK Mar 2015'!$A$1:$I$252,9,FALSE)</f>
        <v>-2341925</v>
      </c>
      <c r="F90" s="30">
        <v>0</v>
      </c>
      <c r="G90" s="188">
        <v>1903445</v>
      </c>
      <c r="H90" s="188">
        <v>0</v>
      </c>
      <c r="I90" s="115">
        <f t="shared" si="13"/>
        <v>-438480</v>
      </c>
      <c r="J90" s="30">
        <v>0</v>
      </c>
      <c r="K90" s="115">
        <f t="shared" si="14"/>
        <v>-438480</v>
      </c>
      <c r="L90" s="4" t="s">
        <v>22</v>
      </c>
      <c r="M90" s="30"/>
      <c r="N90" s="42"/>
      <c r="O90" s="42"/>
      <c r="S90" s="18">
        <v>191800</v>
      </c>
      <c r="T90" s="58"/>
    </row>
    <row r="91" spans="1:20" ht="12.75" customHeight="1" x14ac:dyDescent="0.2">
      <c r="A91" s="100" t="s">
        <v>117</v>
      </c>
      <c r="B91" s="18"/>
      <c r="C91" s="28" t="s">
        <v>77</v>
      </c>
      <c r="D91" s="4" t="s">
        <v>117</v>
      </c>
      <c r="E91" s="29">
        <f>VLOOKUP(A91,'DEK Mar 2015'!$A$1:$I$252,9,FALSE)</f>
        <v>-370254</v>
      </c>
      <c r="F91" s="30">
        <v>0</v>
      </c>
      <c r="G91" s="189">
        <v>-450607</v>
      </c>
      <c r="H91" s="188">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Mar 2015'!$A$1:$I$252,9,FALSE)</f>
        <v>-3084564.8400000008</v>
      </c>
      <c r="F92" s="30">
        <v>0</v>
      </c>
      <c r="G92" s="189">
        <v>-765816.8</v>
      </c>
      <c r="H92" s="188">
        <v>0</v>
      </c>
      <c r="I92" s="115">
        <f t="shared" si="13"/>
        <v>-3850381.6400000006</v>
      </c>
      <c r="J92" s="30">
        <v>0</v>
      </c>
      <c r="K92" s="115">
        <f t="shared" si="14"/>
        <v>-3850381.6400000006</v>
      </c>
      <c r="M92" s="20"/>
      <c r="N92" s="42"/>
      <c r="O92" s="42"/>
      <c r="S92" s="18">
        <v>242997</v>
      </c>
      <c r="T92" s="58"/>
    </row>
    <row r="93" spans="1:20" x14ac:dyDescent="0.2">
      <c r="A93" s="100" t="s">
        <v>120</v>
      </c>
      <c r="B93" s="18"/>
      <c r="C93" s="28" t="s">
        <v>54</v>
      </c>
      <c r="D93" s="4" t="s">
        <v>120</v>
      </c>
      <c r="E93" s="29">
        <f>VLOOKUP(A93,'DEK Mar 2015'!$A$1:$I$252,9,FALSE)</f>
        <v>22725.930000000029</v>
      </c>
      <c r="F93" s="33">
        <v>0</v>
      </c>
      <c r="G93" s="188">
        <v>-443041.19</v>
      </c>
      <c r="H93" s="188">
        <v>12212.24</v>
      </c>
      <c r="I93" s="115">
        <f t="shared" si="13"/>
        <v>-408103.01999999996</v>
      </c>
      <c r="J93" s="33">
        <v>0</v>
      </c>
      <c r="K93" s="115">
        <f t="shared" si="14"/>
        <v>-408103.01999999996</v>
      </c>
      <c r="L93" s="4" t="s">
        <v>22</v>
      </c>
      <c r="M93" s="42"/>
      <c r="N93" s="42"/>
      <c r="O93" s="42"/>
      <c r="S93" s="18">
        <v>253130</v>
      </c>
      <c r="T93" s="58"/>
    </row>
    <row r="94" spans="1:20" x14ac:dyDescent="0.2">
      <c r="A94" s="100" t="s">
        <v>156</v>
      </c>
      <c r="B94" s="18"/>
      <c r="C94" s="28" t="s">
        <v>116</v>
      </c>
      <c r="D94" s="4" t="s">
        <v>211</v>
      </c>
      <c r="E94" s="29">
        <f>VLOOKUP(A94,'DEK Mar 2015'!$A$1:$I$252,9,FALSE)</f>
        <v>-556507.07000000007</v>
      </c>
      <c r="F94" s="33"/>
      <c r="G94" s="188">
        <v>454623.63</v>
      </c>
      <c r="H94" s="188">
        <v>0</v>
      </c>
      <c r="I94" s="115">
        <f t="shared" si="13"/>
        <v>-101883.44000000006</v>
      </c>
      <c r="J94" s="30">
        <v>0</v>
      </c>
      <c r="K94" s="115">
        <f t="shared" si="14"/>
        <v>-101883.44000000006</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-5300293.2400000012</v>
      </c>
      <c r="F96" s="33">
        <f t="shared" si="15"/>
        <v>0</v>
      </c>
      <c r="G96" s="33">
        <f t="shared" si="15"/>
        <v>-565980.05999999994</v>
      </c>
      <c r="H96" s="33">
        <f t="shared" si="15"/>
        <v>-633179.21</v>
      </c>
      <c r="I96" s="122">
        <f t="shared" si="15"/>
        <v>-6499452.5100000007</v>
      </c>
      <c r="J96" s="33">
        <f t="shared" si="15"/>
        <v>0</v>
      </c>
      <c r="K96" s="122">
        <f t="shared" si="15"/>
        <v>-6499452.5100000007</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f>VLOOKUP(A99,'[23]DEK Mar 2013'!$A$1:$I$252,9,FALSE)</f>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Mar 2015'!$A$1:$I$252,9,FALSE)</f>
        <v>-3735994.63</v>
      </c>
      <c r="F104" s="30">
        <v>0</v>
      </c>
      <c r="G104" s="188">
        <v>99084</v>
      </c>
      <c r="H104" s="188">
        <v>0</v>
      </c>
      <c r="I104" s="186">
        <f>E104+G104+H104+F104</f>
        <v>-3636910.63</v>
      </c>
      <c r="J104" s="91">
        <v>0</v>
      </c>
      <c r="K104" s="122">
        <f>I104+J104</f>
        <v>-3636910.63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Mar 2015'!$A$1:$I$252,9,FALSE)</f>
        <v>0</v>
      </c>
      <c r="F107" s="30">
        <v>0</v>
      </c>
      <c r="G107" s="188">
        <v>0</v>
      </c>
      <c r="H107" s="188">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Mar 2015'!$A$1:$I$252,9,FALSE)</f>
        <v>0</v>
      </c>
      <c r="F108" s="30">
        <v>0</v>
      </c>
      <c r="G108" s="189">
        <v>0</v>
      </c>
      <c r="H108" s="188">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Mar 2015'!$A$1:$I$252,9,FALSE)</f>
        <v>-16950.120000000006</v>
      </c>
      <c r="F109" s="30">
        <v>0</v>
      </c>
      <c r="G109" s="188">
        <v>463.08</v>
      </c>
      <c r="H109" s="188">
        <v>0</v>
      </c>
      <c r="I109" s="122">
        <f>E109+F109+G109+H109</f>
        <v>-16487.040000000005</v>
      </c>
      <c r="J109" s="30">
        <v>0</v>
      </c>
      <c r="K109" s="122">
        <f t="shared" si="17"/>
        <v>-16487.040000000005</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-16950.120000000006</v>
      </c>
      <c r="F111" s="30">
        <f t="shared" ref="F111:K111" si="19">SUM(F107:F110)</f>
        <v>0</v>
      </c>
      <c r="G111" s="30">
        <f t="shared" si="19"/>
        <v>463.08</v>
      </c>
      <c r="H111" s="30">
        <f t="shared" si="19"/>
        <v>0</v>
      </c>
      <c r="I111" s="115">
        <f t="shared" si="19"/>
        <v>-16487.040000000005</v>
      </c>
      <c r="J111" s="30">
        <f t="shared" si="19"/>
        <v>0</v>
      </c>
      <c r="K111" s="115">
        <f t="shared" si="19"/>
        <v>-16487.040000000005</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Mar 2015'!$A$1:$I$252,9,FALSE)</f>
        <v>-17046792.380000003</v>
      </c>
      <c r="F113" s="30">
        <v>0</v>
      </c>
      <c r="G113" s="189">
        <v>-160853.92000000001</v>
      </c>
      <c r="H113" s="189">
        <v>0</v>
      </c>
      <c r="I113" s="115">
        <f t="shared" ref="I113:I118" si="20">E113+F113+G113+H113</f>
        <v>-17207646.300000004</v>
      </c>
      <c r="J113" s="30">
        <v>0</v>
      </c>
      <c r="K113" s="115">
        <f t="shared" ref="K113:K118" si="21">I113+J113</f>
        <v>-17207646.300000004</v>
      </c>
      <c r="L113" s="4" t="s">
        <v>43</v>
      </c>
      <c r="M113" s="20"/>
      <c r="N113" s="42"/>
      <c r="O113" s="42"/>
      <c r="Q113" s="183">
        <v>75086</v>
      </c>
      <c r="R113" s="58" t="s">
        <v>44</v>
      </c>
      <c r="S113" s="18">
        <v>108201</v>
      </c>
      <c r="T113" s="58"/>
    </row>
    <row r="114" spans="1:22" x14ac:dyDescent="0.2">
      <c r="A114" s="100" t="s">
        <v>166</v>
      </c>
      <c r="B114" s="18"/>
      <c r="C114" s="28" t="s">
        <v>45</v>
      </c>
      <c r="D114" s="4" t="s">
        <v>198</v>
      </c>
      <c r="E114" s="29">
        <f>VLOOKUP(A114,'DEK Mar 2015'!$A$1:$I$252,9,FALSE)</f>
        <v>-48963732.070000008</v>
      </c>
      <c r="F114" s="30">
        <v>0</v>
      </c>
      <c r="G114" s="189">
        <v>2653181.2999999998</v>
      </c>
      <c r="H114" s="189">
        <v>0</v>
      </c>
      <c r="I114" s="115">
        <f t="shared" si="20"/>
        <v>-46310550.770000011</v>
      </c>
      <c r="J114" s="30">
        <v>0</v>
      </c>
      <c r="K114" s="115">
        <f t="shared" si="21"/>
        <v>-46310550.770000011</v>
      </c>
      <c r="L114" s="4" t="s">
        <v>43</v>
      </c>
      <c r="M114" s="20"/>
      <c r="N114" s="42"/>
      <c r="O114" s="42"/>
      <c r="R114" s="58" t="s">
        <v>44</v>
      </c>
      <c r="S114" s="18">
        <v>108301</v>
      </c>
      <c r="T114" s="58"/>
    </row>
    <row r="115" spans="1:22" x14ac:dyDescent="0.2">
      <c r="A115" s="100" t="s">
        <v>167</v>
      </c>
      <c r="B115" s="18"/>
      <c r="C115" s="28" t="s">
        <v>46</v>
      </c>
      <c r="D115" s="4" t="s">
        <v>199</v>
      </c>
      <c r="E115" s="29">
        <f>VLOOKUP(A115,'DEK Mar 2015'!$A$1:$I$252,9,FALSE)</f>
        <v>11961279.009999998</v>
      </c>
      <c r="F115" s="30">
        <v>0</v>
      </c>
      <c r="G115" s="189">
        <v>-1909174.67</v>
      </c>
      <c r="H115" s="189">
        <v>0</v>
      </c>
      <c r="I115" s="115">
        <f t="shared" si="20"/>
        <v>10052104.339999998</v>
      </c>
      <c r="J115" s="30">
        <v>0</v>
      </c>
      <c r="K115" s="115">
        <f>I115+J115</f>
        <v>10052104.339999998</v>
      </c>
      <c r="L115" s="4" t="s">
        <v>43</v>
      </c>
      <c r="M115" s="20"/>
      <c r="N115" s="42"/>
      <c r="O115" s="42"/>
      <c r="S115" s="18">
        <v>108410</v>
      </c>
      <c r="T115" s="58"/>
    </row>
    <row r="116" spans="1:22" x14ac:dyDescent="0.2">
      <c r="A116" s="100" t="s">
        <v>168</v>
      </c>
      <c r="B116" s="18"/>
      <c r="C116" s="28" t="s">
        <v>74</v>
      </c>
      <c r="D116" s="4" t="s">
        <v>217</v>
      </c>
      <c r="E116" s="29">
        <f>VLOOKUP(A116,'DEK Mar 2015'!$A$1:$I$252,9,FALSE)</f>
        <v>1667622.18</v>
      </c>
      <c r="F116" s="30">
        <v>0</v>
      </c>
      <c r="G116" s="189">
        <v>478309.01</v>
      </c>
      <c r="H116" s="189">
        <v>0</v>
      </c>
      <c r="I116" s="115">
        <f t="shared" si="20"/>
        <v>2145931.19</v>
      </c>
      <c r="J116" s="30">
        <v>0</v>
      </c>
      <c r="K116" s="115">
        <f>I116+J116</f>
        <v>2145931.19</v>
      </c>
      <c r="M116" s="20"/>
      <c r="N116" s="42"/>
      <c r="O116" s="42"/>
      <c r="Q116" s="4" t="s">
        <v>50</v>
      </c>
      <c r="R116" s="4" t="s">
        <v>51</v>
      </c>
      <c r="S116" s="18">
        <v>182303</v>
      </c>
      <c r="T116" s="58"/>
    </row>
    <row r="117" spans="1:22" x14ac:dyDescent="0.2">
      <c r="A117" s="100" t="s">
        <v>169</v>
      </c>
      <c r="B117" s="18"/>
      <c r="C117" s="28" t="s">
        <v>49</v>
      </c>
      <c r="D117" s="4" t="s">
        <v>218</v>
      </c>
      <c r="E117" s="29">
        <f>VLOOKUP(A117,'DEK Mar 2015'!$A$1:$I$252,9,FALSE)</f>
        <v>4116648.6300000018</v>
      </c>
      <c r="F117" s="30">
        <v>0</v>
      </c>
      <c r="G117" s="189">
        <v>63417.48</v>
      </c>
      <c r="H117" s="189">
        <v>0</v>
      </c>
      <c r="I117" s="115">
        <f t="shared" si="20"/>
        <v>4180066.1100000017</v>
      </c>
      <c r="J117" s="30">
        <v>0</v>
      </c>
      <c r="K117" s="115">
        <f t="shared" si="21"/>
        <v>4180066.1100000017</v>
      </c>
      <c r="M117" s="20"/>
      <c r="N117" s="42"/>
      <c r="O117" s="42"/>
      <c r="Q117" s="4" t="s">
        <v>50</v>
      </c>
      <c r="S117" s="18">
        <v>182304</v>
      </c>
      <c r="T117" s="58"/>
    </row>
    <row r="118" spans="1:22" x14ac:dyDescent="0.2">
      <c r="A118" s="100" t="s">
        <v>170</v>
      </c>
      <c r="B118" s="18"/>
      <c r="C118" s="28" t="s">
        <v>42</v>
      </c>
      <c r="D118" s="4" t="s">
        <v>200</v>
      </c>
      <c r="E118" s="29">
        <f>VLOOKUP(A118,'DEK Mar 2015'!$A$1:$I$252,9,FALSE)</f>
        <v>-94564.25</v>
      </c>
      <c r="F118" s="30">
        <v>0</v>
      </c>
      <c r="G118" s="189">
        <v>-17824.84</v>
      </c>
      <c r="H118" s="189">
        <v>0</v>
      </c>
      <c r="I118" s="115">
        <f t="shared" si="20"/>
        <v>-112389.09</v>
      </c>
      <c r="J118" s="30">
        <v>0</v>
      </c>
      <c r="K118" s="115">
        <f t="shared" si="21"/>
        <v>-112389.09</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-48359538.88000001</v>
      </c>
      <c r="F120" s="33">
        <f t="shared" si="22"/>
        <v>0</v>
      </c>
      <c r="G120" s="33">
        <f t="shared" si="22"/>
        <v>1107054.3599999999</v>
      </c>
      <c r="H120" s="33">
        <f t="shared" si="22"/>
        <v>0</v>
      </c>
      <c r="I120" s="122">
        <f t="shared" si="22"/>
        <v>-47252484.520000026</v>
      </c>
      <c r="J120" s="33">
        <f t="shared" si="22"/>
        <v>0</v>
      </c>
      <c r="K120" s="122">
        <f t="shared" si="22"/>
        <v>-47252484.520000026</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-57412776.870000012</v>
      </c>
      <c r="F122" s="133">
        <f t="shared" ref="F122:H122" si="23">+F96+F104+F111+F120+F101</f>
        <v>0</v>
      </c>
      <c r="G122" s="133">
        <f t="shared" si="23"/>
        <v>640621.37999999989</v>
      </c>
      <c r="H122" s="133">
        <f t="shared" si="23"/>
        <v>-633179.21</v>
      </c>
      <c r="I122" s="134">
        <f>+I96+I104+I111+I120+I101</f>
        <v>-57405334.700000025</v>
      </c>
      <c r="J122" s="133">
        <f>+J96+J104+J111+J120+J101</f>
        <v>0</v>
      </c>
      <c r="K122" s="134">
        <f>+K96+K104+K111+K120+K101</f>
        <v>-57405334.700000025</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-4684389.290000014</v>
      </c>
      <c r="F124" s="137">
        <f>F122+F86</f>
        <v>0</v>
      </c>
      <c r="G124" s="137">
        <f>G122+G86</f>
        <v>3515436.6900000004</v>
      </c>
      <c r="H124" s="137">
        <f>H122+H86</f>
        <v>-699797.7</v>
      </c>
      <c r="I124" s="138">
        <f>I86+I122</f>
        <v>-1868750.3000000194</v>
      </c>
      <c r="J124" s="137">
        <f>J122+J86</f>
        <v>0</v>
      </c>
      <c r="K124" s="138">
        <f>K86+K122</f>
        <v>-1868750.3000000194</v>
      </c>
      <c r="L124" s="50">
        <v>0</v>
      </c>
      <c r="M124" s="70"/>
      <c r="N124" s="70"/>
      <c r="O124" s="70"/>
      <c r="P124" s="50"/>
      <c r="Q124" s="50"/>
      <c r="R124" s="50"/>
      <c r="S124" s="18"/>
      <c r="T124" s="29">
        <f>+G124+H124+F124</f>
        <v>2815638.99</v>
      </c>
      <c r="U124" s="19">
        <v>13111056.41</v>
      </c>
      <c r="V124" s="29">
        <f>+T124-U124</f>
        <v>-10295417.42</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-2080766.4900000005</v>
      </c>
      <c r="H126" s="139">
        <f>-H118-H113-H114-H115-H116-H117-H76-H16-H107-H30-H22-H53-H109-H77-H78-H104-H108-H52</f>
        <v>66618.490000000005</v>
      </c>
      <c r="I126" s="74"/>
      <c r="J126" s="74"/>
      <c r="K126" s="74"/>
      <c r="M126" s="76"/>
      <c r="N126" s="77"/>
      <c r="O126" s="77"/>
      <c r="S126" s="18"/>
    </row>
    <row r="127" spans="1:22" ht="12.75" customHeight="1" x14ac:dyDescent="0.2">
      <c r="A127" s="107"/>
      <c r="B127" s="18"/>
      <c r="C127" s="18"/>
      <c r="D127" s="72"/>
      <c r="E127" s="73"/>
      <c r="F127" s="50"/>
      <c r="G127" s="145">
        <f>G124+H124</f>
        <v>2815638.99</v>
      </c>
      <c r="H127" s="50"/>
      <c r="I127" s="50"/>
      <c r="J127" s="50"/>
      <c r="K127" s="50"/>
      <c r="M127" s="20"/>
      <c r="S127" s="18"/>
    </row>
    <row r="128" spans="1:22" ht="12.75" hidden="1" customHeight="1" x14ac:dyDescent="0.2">
      <c r="A128" s="107" t="s">
        <v>58</v>
      </c>
      <c r="B128" s="18"/>
      <c r="C128" s="71"/>
      <c r="D128" s="72" t="s">
        <v>58</v>
      </c>
      <c r="E128" s="73"/>
      <c r="F128" s="50"/>
      <c r="G128" s="145">
        <f>G124+G126</f>
        <v>1434670.2</v>
      </c>
      <c r="H128" s="50">
        <f>H124+H126</f>
        <v>-633179.21</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801490.98999999976</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2089770.81</v>
      </c>
      <c r="F135" s="32">
        <f t="shared" ref="F135:F140" si="24">+F84+F85</f>
        <v>0</v>
      </c>
      <c r="G135" s="165"/>
      <c r="H135" s="83"/>
      <c r="I135" s="84">
        <f>+I19</f>
        <v>1830943.81</v>
      </c>
      <c r="J135" s="84">
        <f>+J19</f>
        <v>4091717.92</v>
      </c>
      <c r="K135" s="84">
        <f>+K19</f>
        <v>5922661.7300000004</v>
      </c>
      <c r="M135" s="20"/>
      <c r="S135" s="18"/>
    </row>
    <row r="136" spans="1:19" hidden="1" x14ac:dyDescent="0.2">
      <c r="A136" s="109" t="s">
        <v>141</v>
      </c>
      <c r="B136" s="18"/>
      <c r="C136" s="18"/>
      <c r="D136" s="82" t="s">
        <v>141</v>
      </c>
      <c r="E136" s="83">
        <f>+E24</f>
        <v>1921235.3300000005</v>
      </c>
      <c r="F136" s="32">
        <f t="shared" si="24"/>
        <v>0</v>
      </c>
      <c r="G136" s="165"/>
      <c r="H136" s="83"/>
      <c r="I136" s="84">
        <f>+I24</f>
        <v>1854616.8400000005</v>
      </c>
      <c r="J136" s="84">
        <f>+J24</f>
        <v>-266473.92</v>
      </c>
      <c r="K136" s="84">
        <f>+K24</f>
        <v>1588142.9200000006</v>
      </c>
      <c r="M136" s="20"/>
      <c r="S136" s="18"/>
    </row>
    <row r="137" spans="1:19" hidden="1" x14ac:dyDescent="0.2">
      <c r="A137" s="109" t="s">
        <v>61</v>
      </c>
      <c r="B137" s="18"/>
      <c r="C137" s="18"/>
      <c r="D137" s="82" t="s">
        <v>61</v>
      </c>
      <c r="E137" s="32">
        <f>+E30</f>
        <v>996147.19999999995</v>
      </c>
      <c r="F137" s="32">
        <f t="shared" si="24"/>
        <v>0</v>
      </c>
      <c r="G137" s="157"/>
      <c r="H137" s="32"/>
      <c r="I137" s="84">
        <f>+I30</f>
        <v>1040663.2</v>
      </c>
      <c r="J137" s="84">
        <f>+J30</f>
        <v>0</v>
      </c>
      <c r="K137" s="84">
        <f>+K30</f>
        <v>1040663.2</v>
      </c>
      <c r="M137" s="20"/>
      <c r="S137" s="18"/>
    </row>
    <row r="138" spans="1:19" hidden="1" x14ac:dyDescent="0.2">
      <c r="A138" s="109" t="s">
        <v>143</v>
      </c>
      <c r="B138" s="18"/>
      <c r="C138" s="18"/>
      <c r="D138" s="82" t="s">
        <v>143</v>
      </c>
      <c r="E138" s="32">
        <f>+E72</f>
        <v>23500468.199999999</v>
      </c>
      <c r="F138" s="32">
        <f t="shared" si="24"/>
        <v>0</v>
      </c>
      <c r="G138" s="157"/>
      <c r="H138" s="32"/>
      <c r="I138" s="84">
        <f>+I72</f>
        <v>25153735.510000002</v>
      </c>
      <c r="J138" s="84">
        <f>+J72</f>
        <v>-3825244</v>
      </c>
      <c r="K138" s="84">
        <f>+K72</f>
        <v>21328491.510000002</v>
      </c>
      <c r="M138" s="20"/>
      <c r="S138" s="18"/>
    </row>
    <row r="139" spans="1:19" hidden="1" x14ac:dyDescent="0.2">
      <c r="A139" s="109" t="s">
        <v>151</v>
      </c>
      <c r="B139" s="18"/>
      <c r="C139" s="18"/>
      <c r="D139" s="82" t="s">
        <v>151</v>
      </c>
      <c r="E139" s="32">
        <f>+E80</f>
        <v>24220766.040000003</v>
      </c>
      <c r="F139" s="32">
        <f t="shared" si="24"/>
        <v>0</v>
      </c>
      <c r="G139" s="157"/>
      <c r="H139" s="32"/>
      <c r="I139" s="84">
        <f>+I80</f>
        <v>25656625.040000003</v>
      </c>
      <c r="J139" s="84">
        <f>+J80</f>
        <v>0</v>
      </c>
      <c r="K139" s="84">
        <f>+K80</f>
        <v>25656625.040000003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-5300293.2400000012</v>
      </c>
      <c r="F141" s="32" t="e">
        <f>+F90+#REF!</f>
        <v>#REF!</v>
      </c>
      <c r="G141" s="157"/>
      <c r="H141" s="32"/>
      <c r="I141" s="84">
        <f>+I96</f>
        <v>-6499452.5100000007</v>
      </c>
      <c r="J141" s="84">
        <f>+J96</f>
        <v>0</v>
      </c>
      <c r="K141" s="84">
        <f>+K96</f>
        <v>-6499452.5100000007</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-3735994.63</v>
      </c>
      <c r="F143" s="32" t="e">
        <f>+#REF!+#REF!</f>
        <v>#REF!</v>
      </c>
      <c r="G143" s="157"/>
      <c r="H143" s="32"/>
      <c r="I143" s="84">
        <f>+I104</f>
        <v>-3636910.63</v>
      </c>
      <c r="J143" s="84">
        <f>+J104</f>
        <v>0</v>
      </c>
      <c r="K143" s="84">
        <f>+K104</f>
        <v>-3636910.63</v>
      </c>
      <c r="M143" s="20"/>
      <c r="S143" s="18"/>
    </row>
    <row r="144" spans="1:19" hidden="1" x14ac:dyDescent="0.2">
      <c r="A144" s="109" t="s">
        <v>153</v>
      </c>
      <c r="B144" s="18"/>
      <c r="C144" s="18"/>
      <c r="D144" s="82" t="s">
        <v>153</v>
      </c>
      <c r="E144" s="32">
        <f>+E111</f>
        <v>-16950.120000000006</v>
      </c>
      <c r="F144" s="32" t="e">
        <f>+#REF!+F91</f>
        <v>#REF!</v>
      </c>
      <c r="G144" s="157"/>
      <c r="H144" s="32"/>
      <c r="I144" s="84">
        <f>+I111</f>
        <v>-16487.040000000005</v>
      </c>
      <c r="J144" s="84">
        <f>+J111</f>
        <v>0</v>
      </c>
      <c r="K144" s="84">
        <f>+K111</f>
        <v>-16487.040000000005</v>
      </c>
      <c r="M144" s="20"/>
      <c r="S144" s="18"/>
    </row>
    <row r="145" spans="1:19" hidden="1" x14ac:dyDescent="0.2">
      <c r="A145" s="109" t="s">
        <v>155</v>
      </c>
      <c r="B145" s="18"/>
      <c r="C145" s="18"/>
      <c r="D145" s="82" t="s">
        <v>155</v>
      </c>
      <c r="E145" s="32">
        <f>+E120</f>
        <v>-48359538.88000001</v>
      </c>
      <c r="F145" s="32">
        <f t="shared" ref="F145" si="25">+F91+F92</f>
        <v>0</v>
      </c>
      <c r="G145" s="157"/>
      <c r="H145" s="32"/>
      <c r="I145" s="84">
        <f>+I120</f>
        <v>-47252484.520000026</v>
      </c>
      <c r="J145" s="84">
        <f>+J120</f>
        <v>0</v>
      </c>
      <c r="K145" s="84">
        <f>+K120</f>
        <v>-47252484.520000026</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-4684389.290000014</v>
      </c>
      <c r="F147" s="88" t="e">
        <f>SUM(F137:F146)</f>
        <v>#REF!</v>
      </c>
      <c r="G147" s="166"/>
      <c r="H147" s="88"/>
      <c r="I147" s="89">
        <f>SUM(I133:I146)</f>
        <v>-1868750.3000000194</v>
      </c>
      <c r="J147" s="89">
        <f>SUM(J133:J146)</f>
        <v>0</v>
      </c>
      <c r="K147" s="89">
        <f>SUM(K133:K146)</f>
        <v>-1868750.3000000194</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0</v>
      </c>
      <c r="F149" s="19"/>
      <c r="G149" s="148"/>
      <c r="H149" s="19"/>
      <c r="I149" s="19">
        <f>+I147-I124</f>
        <v>0</v>
      </c>
      <c r="J149" s="19">
        <f>+J147-J124</f>
        <v>0</v>
      </c>
      <c r="K149" s="19">
        <f>+K147-K124</f>
        <v>0</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-208827</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-565980.05999999994</v>
      </c>
      <c r="H155" s="19">
        <f>+H90+H91+H92+H93+H89</f>
        <v>-633179.21</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-2209477.2599999998</v>
      </c>
      <c r="H157" s="110">
        <f>+H153+H154+H155-H128</f>
        <v>0</v>
      </c>
      <c r="I157" s="19"/>
      <c r="J157" s="19"/>
      <c r="K157" s="19"/>
      <c r="M157" s="20"/>
      <c r="S157" s="18"/>
    </row>
    <row r="158" spans="1:19" hidden="1" x14ac:dyDescent="0.2">
      <c r="B158" s="18"/>
      <c r="C158" s="18"/>
      <c r="F158" s="19"/>
      <c r="H158" s="29">
        <f>+H154+H155+H153+G153+G154+G155</f>
        <v>-1407986.27</v>
      </c>
      <c r="I158" s="19"/>
      <c r="J158" s="19"/>
      <c r="K158" s="19"/>
      <c r="M158" s="20"/>
      <c r="S158" s="18"/>
    </row>
    <row r="159" spans="1:19" hidden="1" x14ac:dyDescent="0.2">
      <c r="B159" s="18"/>
      <c r="C159" s="18"/>
      <c r="F159" s="19"/>
      <c r="G159" s="148"/>
      <c r="H159" s="29">
        <f>+H158-G128-H128</f>
        <v>-2209477.2599999998</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2"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0"/>
  <sheetViews>
    <sheetView topLeftCell="A70" zoomScale="80" zoomScaleNormal="80" workbookViewId="0">
      <selection activeCell="D94" sqref="D94"/>
    </sheetView>
  </sheetViews>
  <sheetFormatPr defaultColWidth="9.140625" defaultRowHeight="12.75" x14ac:dyDescent="0.2"/>
  <cols>
    <col min="1" max="1" width="3.85546875" style="100"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68"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99"/>
      <c r="B1" s="2" t="s">
        <v>223</v>
      </c>
      <c r="C1" s="3"/>
      <c r="D1" s="3"/>
      <c r="E1" s="3"/>
      <c r="F1" s="3"/>
      <c r="G1" s="146"/>
      <c r="H1" s="3"/>
      <c r="I1" s="3"/>
      <c r="J1" s="3"/>
      <c r="K1" s="3"/>
      <c r="M1" s="5"/>
    </row>
    <row r="2" spans="1:22" x14ac:dyDescent="0.2">
      <c r="A2" s="99"/>
      <c r="B2" s="3" t="s">
        <v>220</v>
      </c>
      <c r="C2" s="3"/>
      <c r="D2" s="3"/>
      <c r="E2" s="3"/>
      <c r="F2" s="3"/>
      <c r="G2" s="146"/>
      <c r="H2" s="3"/>
      <c r="I2" s="3"/>
      <c r="J2" s="3"/>
      <c r="K2" s="3"/>
      <c r="M2" s="5"/>
    </row>
    <row r="3" spans="1:22" x14ac:dyDescent="0.2">
      <c r="A3" s="99"/>
      <c r="B3" s="3" t="s">
        <v>221</v>
      </c>
      <c r="C3" s="3"/>
      <c r="D3" s="3"/>
      <c r="E3" s="3"/>
      <c r="F3" s="3"/>
      <c r="G3" s="146"/>
      <c r="H3" s="3"/>
      <c r="I3" s="3"/>
      <c r="J3" s="3"/>
      <c r="K3" s="3"/>
      <c r="M3" s="5"/>
      <c r="P3" s="184" t="s">
        <v>66</v>
      </c>
    </row>
    <row r="4" spans="1:22" x14ac:dyDescent="0.2">
      <c r="A4" s="99"/>
      <c r="B4" s="7"/>
      <c r="C4" s="3"/>
      <c r="D4" s="3"/>
      <c r="E4" s="3"/>
      <c r="F4" s="8"/>
      <c r="G4" s="147"/>
      <c r="H4" s="8"/>
      <c r="I4" s="9"/>
      <c r="J4" s="9"/>
      <c r="K4" s="9"/>
      <c r="M4" s="10"/>
      <c r="P4" s="184" t="s">
        <v>1</v>
      </c>
    </row>
    <row r="5" spans="1:22" x14ac:dyDescent="0.2">
      <c r="E5" s="184" t="s">
        <v>2</v>
      </c>
      <c r="F5" s="184" t="s">
        <v>3</v>
      </c>
      <c r="G5" s="184" t="s">
        <v>4</v>
      </c>
      <c r="H5" s="184"/>
      <c r="I5" s="111" t="s">
        <v>208</v>
      </c>
      <c r="J5" s="13" t="s">
        <v>180</v>
      </c>
      <c r="K5" s="111" t="s">
        <v>209</v>
      </c>
      <c r="L5" s="184" t="s">
        <v>5</v>
      </c>
      <c r="M5" s="11" t="s">
        <v>6</v>
      </c>
      <c r="N5" s="11" t="s">
        <v>0</v>
      </c>
      <c r="O5" s="11" t="s">
        <v>8</v>
      </c>
      <c r="P5" s="184" t="s">
        <v>9</v>
      </c>
      <c r="Q5" s="576" t="s">
        <v>10</v>
      </c>
      <c r="R5" s="576"/>
      <c r="U5" s="12" t="s">
        <v>11</v>
      </c>
    </row>
    <row r="6" spans="1:22" x14ac:dyDescent="0.2">
      <c r="E6" s="13">
        <v>42185</v>
      </c>
      <c r="F6" s="13" t="s">
        <v>12</v>
      </c>
      <c r="G6" s="14" t="s">
        <v>13</v>
      </c>
      <c r="H6" s="14" t="s">
        <v>8</v>
      </c>
      <c r="I6" s="112">
        <v>42216</v>
      </c>
      <c r="J6" s="13" t="s">
        <v>210</v>
      </c>
      <c r="K6" s="112">
        <f>I6</f>
        <v>42216</v>
      </c>
      <c r="L6" s="15" t="s">
        <v>14</v>
      </c>
      <c r="M6" s="16" t="s">
        <v>15</v>
      </c>
      <c r="N6" s="17" t="s">
        <v>7</v>
      </c>
      <c r="O6" s="17" t="s">
        <v>16</v>
      </c>
      <c r="P6" s="15" t="s">
        <v>17</v>
      </c>
      <c r="Q6" s="15" t="s">
        <v>18</v>
      </c>
      <c r="R6" s="15" t="s">
        <v>19</v>
      </c>
      <c r="S6" s="15" t="s">
        <v>78</v>
      </c>
      <c r="U6" s="12" t="s">
        <v>20</v>
      </c>
    </row>
    <row r="7" spans="1:22" x14ac:dyDescent="0.2">
      <c r="B7" s="18"/>
      <c r="C7" s="18"/>
      <c r="F7" s="19"/>
      <c r="G7" s="148"/>
      <c r="H7" s="19"/>
      <c r="I7" s="113"/>
      <c r="J7" s="19"/>
      <c r="K7" s="113"/>
      <c r="M7" s="20"/>
      <c r="S7" s="18"/>
    </row>
    <row r="8" spans="1:22" s="22" customFormat="1" x14ac:dyDescent="0.2">
      <c r="A8" s="101"/>
      <c r="B8" s="21" t="s">
        <v>127</v>
      </c>
      <c r="E8" s="23"/>
      <c r="F8" s="24"/>
      <c r="G8" s="149"/>
      <c r="H8" s="23"/>
      <c r="I8" s="114"/>
      <c r="J8" s="23"/>
      <c r="K8" s="114"/>
      <c r="L8" s="25"/>
      <c r="M8" s="25"/>
      <c r="N8" s="26"/>
      <c r="O8" s="26"/>
      <c r="P8" s="25"/>
      <c r="R8" s="25"/>
      <c r="S8" s="25"/>
      <c r="T8" s="25"/>
      <c r="U8" s="25"/>
      <c r="V8" s="27"/>
    </row>
    <row r="9" spans="1:22" x14ac:dyDescent="0.2">
      <c r="A9" s="100" t="s">
        <v>70</v>
      </c>
      <c r="B9" s="18"/>
      <c r="C9" s="28" t="s">
        <v>33</v>
      </c>
      <c r="D9" s="4" t="s">
        <v>70</v>
      </c>
      <c r="E9" s="29">
        <f>VLOOKUP(A9,'DEK Jun 2015'!$A$1:$I$252,9,FALSE)</f>
        <v>-1.1641532182693481E-9</v>
      </c>
      <c r="F9" s="30">
        <v>0</v>
      </c>
      <c r="G9" s="33">
        <v>0</v>
      </c>
      <c r="H9" s="30">
        <v>0</v>
      </c>
      <c r="I9" s="115">
        <f>E9+F9+G9+H9</f>
        <v>-1.1641532182693481E-9</v>
      </c>
      <c r="J9" s="30">
        <v>0</v>
      </c>
      <c r="K9" s="115">
        <f>I9+J9</f>
        <v>-1.1641532182693481E-9</v>
      </c>
      <c r="L9" s="4" t="s">
        <v>88</v>
      </c>
      <c r="M9" s="20"/>
      <c r="P9" s="31"/>
      <c r="S9" s="18">
        <v>142982</v>
      </c>
    </row>
    <row r="10" spans="1:22" x14ac:dyDescent="0.2">
      <c r="A10" s="100" t="s">
        <v>109</v>
      </c>
      <c r="B10" s="28"/>
      <c r="C10" s="28" t="s">
        <v>34</v>
      </c>
      <c r="D10" s="4" t="s">
        <v>109</v>
      </c>
      <c r="E10" s="29">
        <f>VLOOKUP(A10,'DEK Jun 2015'!$A$1:$I$252,9,FALSE)</f>
        <v>0</v>
      </c>
      <c r="F10" s="33">
        <v>0</v>
      </c>
      <c r="G10" s="33">
        <v>0</v>
      </c>
      <c r="H10" s="33">
        <v>0</v>
      </c>
      <c r="I10" s="115">
        <f>E10+F10+G10+H10</f>
        <v>0</v>
      </c>
      <c r="J10" s="30">
        <v>0</v>
      </c>
      <c r="K10" s="115">
        <f>I10+J10</f>
        <v>0</v>
      </c>
      <c r="M10" s="20"/>
      <c r="S10" s="18">
        <v>191990</v>
      </c>
    </row>
    <row r="11" spans="1:22" x14ac:dyDescent="0.2">
      <c r="B11" s="28"/>
      <c r="C11" s="28"/>
      <c r="D11" s="34"/>
      <c r="E11" s="35"/>
      <c r="F11" s="36"/>
      <c r="G11" s="150"/>
      <c r="H11" s="36"/>
      <c r="I11" s="116"/>
      <c r="J11" s="36"/>
      <c r="K11" s="116"/>
      <c r="M11" s="20"/>
      <c r="S11" s="18"/>
    </row>
    <row r="12" spans="1:22" x14ac:dyDescent="0.2">
      <c r="B12" s="28"/>
      <c r="C12" s="18"/>
      <c r="E12" s="29">
        <f>SUM(E9:E11)</f>
        <v>-1.1641532182693481E-9</v>
      </c>
      <c r="F12" s="29">
        <f t="shared" ref="F12:J12" si="0">SUM(F9:F10)</f>
        <v>0</v>
      </c>
      <c r="G12" s="29">
        <f t="shared" si="0"/>
        <v>0</v>
      </c>
      <c r="H12" s="29">
        <f t="shared" si="0"/>
        <v>0</v>
      </c>
      <c r="I12" s="117">
        <f t="shared" si="0"/>
        <v>-1.1641532182693481E-9</v>
      </c>
      <c r="J12" s="29">
        <f t="shared" si="0"/>
        <v>0</v>
      </c>
      <c r="K12" s="117">
        <f>SUM(K9:K10)</f>
        <v>-1.1641532182693481E-9</v>
      </c>
      <c r="M12" s="20"/>
      <c r="S12" s="18"/>
    </row>
    <row r="13" spans="1:22" x14ac:dyDescent="0.2">
      <c r="B13" s="28"/>
      <c r="C13" s="18"/>
      <c r="E13" s="29"/>
      <c r="F13" s="30"/>
      <c r="G13" s="152"/>
      <c r="H13" s="30"/>
      <c r="I13" s="118"/>
      <c r="J13" s="37"/>
      <c r="K13" s="118"/>
      <c r="M13" s="20"/>
      <c r="S13" s="18"/>
    </row>
    <row r="14" spans="1:22" s="22" customFormat="1" x14ac:dyDescent="0.2">
      <c r="A14" s="101"/>
      <c r="B14" s="21" t="s">
        <v>190</v>
      </c>
      <c r="E14" s="29"/>
      <c r="F14" s="92"/>
      <c r="G14" s="153"/>
      <c r="H14" s="92"/>
      <c r="I14" s="119"/>
      <c r="J14" s="92"/>
      <c r="K14" s="119"/>
      <c r="L14" s="96"/>
      <c r="M14" s="90"/>
      <c r="N14" s="90"/>
      <c r="O14" s="90"/>
      <c r="P14" s="96"/>
      <c r="Q14" s="96"/>
      <c r="R14" s="96"/>
      <c r="U14" s="27"/>
    </row>
    <row r="15" spans="1:22" x14ac:dyDescent="0.2">
      <c r="A15" s="100" t="s">
        <v>137</v>
      </c>
      <c r="B15" s="28"/>
      <c r="C15" s="28" t="s">
        <v>136</v>
      </c>
      <c r="D15" s="4" t="s">
        <v>201</v>
      </c>
      <c r="E15" s="29">
        <f>VLOOKUP(A15,'DEK Jun 2015'!$A$1:$I$252,9,FALSE)</f>
        <v>534290.81000000006</v>
      </c>
      <c r="F15" s="30">
        <v>0</v>
      </c>
      <c r="G15" s="33">
        <v>0</v>
      </c>
      <c r="H15" s="30">
        <v>0</v>
      </c>
      <c r="I15" s="115">
        <f>E15+F15+G15+H15</f>
        <v>534290.81000000006</v>
      </c>
      <c r="J15" s="30">
        <v>0</v>
      </c>
      <c r="K15" s="115">
        <f>I15+J15</f>
        <v>534290.81000000006</v>
      </c>
      <c r="M15" s="20"/>
      <c r="S15" s="18"/>
    </row>
    <row r="16" spans="1:22" x14ac:dyDescent="0.2">
      <c r="A16" s="100" t="s">
        <v>157</v>
      </c>
      <c r="B16" s="28"/>
      <c r="C16" s="28" t="s">
        <v>37</v>
      </c>
      <c r="D16" s="4" t="s">
        <v>192</v>
      </c>
      <c r="E16" s="29">
        <f>VLOOKUP(A16,'DEK Jun 2015'!$A$1:$I$252,9,FALSE)</f>
        <v>1296653</v>
      </c>
      <c r="F16" s="30">
        <v>0</v>
      </c>
      <c r="G16" s="129">
        <v>0</v>
      </c>
      <c r="H16" s="129">
        <v>0</v>
      </c>
      <c r="I16" s="115">
        <f>E16+F16+G16+H16</f>
        <v>1296653</v>
      </c>
      <c r="J16" s="30">
        <v>0</v>
      </c>
      <c r="K16" s="115">
        <f>I16+J16</f>
        <v>1296653</v>
      </c>
      <c r="L16" s="4" t="s">
        <v>88</v>
      </c>
      <c r="M16" s="20"/>
      <c r="P16" s="58"/>
      <c r="R16" s="4" t="s">
        <v>96</v>
      </c>
      <c r="S16" s="18">
        <v>186342</v>
      </c>
    </row>
    <row r="17" spans="1:21" x14ac:dyDescent="0.2">
      <c r="A17" s="100" t="s">
        <v>183</v>
      </c>
      <c r="B17" s="28"/>
      <c r="C17" s="28" t="s">
        <v>184</v>
      </c>
      <c r="D17" s="4" t="s">
        <v>202</v>
      </c>
      <c r="E17" s="29">
        <f>VLOOKUP(A17,'DEK Jun 2015'!$A$1:$I$252,9,FALSE)</f>
        <v>0</v>
      </c>
      <c r="F17" s="30">
        <v>0</v>
      </c>
      <c r="G17" s="33">
        <v>0</v>
      </c>
      <c r="H17" s="33">
        <v>0</v>
      </c>
      <c r="I17" s="115">
        <f>E17+F17+G17+H17</f>
        <v>0</v>
      </c>
      <c r="J17" s="30">
        <v>3978956.04</v>
      </c>
      <c r="K17" s="115">
        <f t="shared" ref="K17" si="1">I17+J17</f>
        <v>3978956.04</v>
      </c>
      <c r="L17" s="4" t="s">
        <v>88</v>
      </c>
      <c r="M17" s="20"/>
      <c r="P17" s="58"/>
      <c r="R17" s="4" t="s">
        <v>96</v>
      </c>
      <c r="S17" s="18">
        <v>186342</v>
      </c>
    </row>
    <row r="18" spans="1:21" x14ac:dyDescent="0.2">
      <c r="B18" s="28"/>
      <c r="C18" s="18"/>
      <c r="E18" s="35"/>
      <c r="F18" s="36"/>
      <c r="G18" s="150"/>
      <c r="H18" s="36"/>
      <c r="I18" s="120"/>
      <c r="J18" s="93"/>
      <c r="K18" s="120"/>
      <c r="M18" s="20"/>
      <c r="S18" s="18"/>
    </row>
    <row r="19" spans="1:21" x14ac:dyDescent="0.2">
      <c r="B19" s="28"/>
      <c r="C19" s="18"/>
      <c r="E19" s="29">
        <f>SUM(E15:E18)</f>
        <v>1830943.81</v>
      </c>
      <c r="F19" s="29">
        <f t="shared" ref="F19:K19" si="2">SUM(F15:F18)</f>
        <v>0</v>
      </c>
      <c r="G19" s="29">
        <f t="shared" si="2"/>
        <v>0</v>
      </c>
      <c r="H19" s="29">
        <f t="shared" si="2"/>
        <v>0</v>
      </c>
      <c r="I19" s="123">
        <f t="shared" si="2"/>
        <v>1830943.81</v>
      </c>
      <c r="J19" s="49">
        <f t="shared" si="2"/>
        <v>3978956.04</v>
      </c>
      <c r="K19" s="123">
        <f t="shared" si="2"/>
        <v>5809899.8499999996</v>
      </c>
      <c r="M19" s="20" t="s">
        <v>222</v>
      </c>
      <c r="S19" s="18"/>
    </row>
    <row r="20" spans="1:21" x14ac:dyDescent="0.2">
      <c r="B20" s="28"/>
      <c r="C20" s="18"/>
      <c r="E20" s="29"/>
      <c r="F20" s="30"/>
      <c r="G20" s="152"/>
      <c r="H20" s="30"/>
      <c r="I20" s="118"/>
      <c r="J20" s="37"/>
      <c r="K20" s="118"/>
      <c r="M20" s="20"/>
      <c r="S20" s="18"/>
    </row>
    <row r="21" spans="1:21" x14ac:dyDescent="0.2">
      <c r="B21" s="38" t="s">
        <v>206</v>
      </c>
      <c r="C21" s="18"/>
      <c r="E21" s="29"/>
      <c r="F21" s="30"/>
      <c r="G21" s="152"/>
      <c r="H21" s="30"/>
      <c r="I21" s="115"/>
      <c r="J21" s="30"/>
      <c r="K21" s="115"/>
      <c r="M21" s="20"/>
      <c r="S21" s="18"/>
    </row>
    <row r="22" spans="1:21" x14ac:dyDescent="0.2">
      <c r="A22" s="100" t="s">
        <v>158</v>
      </c>
      <c r="B22" s="28"/>
      <c r="C22" s="28" t="s">
        <v>40</v>
      </c>
      <c r="D22" s="4" t="s">
        <v>207</v>
      </c>
      <c r="E22" s="29">
        <f>VLOOKUP(A22,'DEK Jun 2015'!$A$1:$I$252,9,FALSE)</f>
        <v>1854616.8400000008</v>
      </c>
      <c r="F22" s="33">
        <v>0</v>
      </c>
      <c r="G22" s="130"/>
      <c r="H22" s="130">
        <v>-22206.17</v>
      </c>
      <c r="I22" s="115">
        <f>E22+F22+G22+H22</f>
        <v>1832410.6700000009</v>
      </c>
      <c r="J22" s="33">
        <v>-266474.03999999998</v>
      </c>
      <c r="K22" s="115">
        <f>I22+J22</f>
        <v>1565936.6300000008</v>
      </c>
      <c r="M22" s="20"/>
      <c r="R22" s="4" t="s">
        <v>27</v>
      </c>
      <c r="S22" s="18">
        <v>189010</v>
      </c>
      <c r="U22" s="39" t="s">
        <v>113</v>
      </c>
    </row>
    <row r="23" spans="1:21" x14ac:dyDescent="0.2">
      <c r="B23" s="28"/>
      <c r="C23" s="18"/>
      <c r="E23" s="40"/>
      <c r="F23" s="40"/>
      <c r="G23" s="156"/>
      <c r="H23" s="40"/>
      <c r="I23" s="121"/>
      <c r="J23" s="40"/>
      <c r="K23" s="121"/>
      <c r="M23" s="20"/>
      <c r="S23" s="18"/>
    </row>
    <row r="24" spans="1:21" x14ac:dyDescent="0.2">
      <c r="B24" s="28"/>
      <c r="C24" s="18"/>
      <c r="E24" s="29">
        <f>SUM(E22:E23)</f>
        <v>1854616.8400000008</v>
      </c>
      <c r="F24" s="29">
        <f t="shared" ref="F24:K24" si="3">SUM(F22:F23)</f>
        <v>0</v>
      </c>
      <c r="G24" s="29">
        <f t="shared" si="3"/>
        <v>0</v>
      </c>
      <c r="H24" s="29">
        <f t="shared" si="3"/>
        <v>-22206.17</v>
      </c>
      <c r="I24" s="123">
        <f t="shared" si="3"/>
        <v>1832410.6700000009</v>
      </c>
      <c r="J24" s="49">
        <f t="shared" si="3"/>
        <v>-266474.03999999998</v>
      </c>
      <c r="K24" s="123">
        <f t="shared" si="3"/>
        <v>1565936.6300000008</v>
      </c>
      <c r="M24" s="20"/>
      <c r="S24" s="18"/>
    </row>
    <row r="25" spans="1:21" x14ac:dyDescent="0.2">
      <c r="B25" s="28"/>
      <c r="C25" s="18"/>
      <c r="E25" s="29"/>
      <c r="F25" s="30"/>
      <c r="G25" s="152"/>
      <c r="H25" s="30"/>
      <c r="I25" s="118"/>
      <c r="J25" s="37"/>
      <c r="K25" s="118"/>
      <c r="M25" s="20"/>
      <c r="S25" s="18"/>
    </row>
    <row r="26" spans="1:21" x14ac:dyDescent="0.2">
      <c r="B26" s="41" t="s">
        <v>191</v>
      </c>
      <c r="E26" s="29"/>
      <c r="F26" s="30"/>
      <c r="G26" s="152"/>
      <c r="H26" s="30"/>
      <c r="I26" s="115"/>
      <c r="J26" s="30"/>
      <c r="K26" s="115"/>
      <c r="M26" s="20"/>
    </row>
    <row r="27" spans="1:21" x14ac:dyDescent="0.2">
      <c r="A27" s="100" t="s">
        <v>79</v>
      </c>
      <c r="B27" s="28"/>
      <c r="C27" s="28" t="s">
        <v>21</v>
      </c>
      <c r="D27" s="4" t="s">
        <v>203</v>
      </c>
      <c r="E27" s="29">
        <f>VLOOKUP(A27,'DEK Jun 2015'!$A$1:$I$252,9,FALSE)</f>
        <v>1568254</v>
      </c>
      <c r="F27" s="33">
        <v>0</v>
      </c>
      <c r="G27" s="33">
        <v>9771</v>
      </c>
      <c r="H27" s="29">
        <v>0</v>
      </c>
      <c r="I27" s="115">
        <f>E27+F27+G27+H27</f>
        <v>1578025</v>
      </c>
      <c r="J27" s="33">
        <v>0</v>
      </c>
      <c r="K27" s="115">
        <f>I27+J27</f>
        <v>1578025</v>
      </c>
      <c r="L27" s="4" t="s">
        <v>22</v>
      </c>
      <c r="M27" s="20"/>
      <c r="S27" s="28" t="s">
        <v>23</v>
      </c>
    </row>
    <row r="28" spans="1:21" ht="13.5" customHeight="1" x14ac:dyDescent="0.2">
      <c r="A28" s="100" t="s">
        <v>80</v>
      </c>
      <c r="B28" s="28"/>
      <c r="C28" s="28" t="s">
        <v>24</v>
      </c>
      <c r="D28" s="4" t="s">
        <v>204</v>
      </c>
      <c r="E28" s="29">
        <f>VLOOKUP(A28,'DEK Jun 2015'!$A$1:$I$252,9,FALSE)</f>
        <v>-527590.80000000005</v>
      </c>
      <c r="F28" s="33">
        <v>0</v>
      </c>
      <c r="G28" s="33">
        <v>5065</v>
      </c>
      <c r="H28" s="32">
        <v>0</v>
      </c>
      <c r="I28" s="115">
        <f>E28+F28+G28+H28</f>
        <v>-522525.80000000005</v>
      </c>
      <c r="J28" s="33">
        <v>0</v>
      </c>
      <c r="K28" s="115">
        <f>I28+J28</f>
        <v>-522525.80000000005</v>
      </c>
      <c r="L28" s="4" t="s">
        <v>22</v>
      </c>
      <c r="M28" s="42"/>
      <c r="P28" s="31"/>
      <c r="S28" s="18">
        <v>254300</v>
      </c>
    </row>
    <row r="29" spans="1:21" ht="12" customHeight="1" x14ac:dyDescent="0.2">
      <c r="B29" s="28"/>
      <c r="C29" s="28"/>
      <c r="E29" s="35"/>
      <c r="F29" s="36"/>
      <c r="G29" s="150"/>
      <c r="H29" s="35"/>
      <c r="I29" s="116"/>
      <c r="J29" s="36"/>
      <c r="K29" s="116"/>
      <c r="M29" s="42"/>
      <c r="P29" s="31"/>
      <c r="S29" s="18"/>
    </row>
    <row r="30" spans="1:21" x14ac:dyDescent="0.2">
      <c r="A30" s="102" t="s">
        <v>25</v>
      </c>
      <c r="B30" s="18"/>
      <c r="C30" s="18"/>
      <c r="D30" s="43"/>
      <c r="E30" s="44">
        <f>SUM(E27:E29)</f>
        <v>1040663.2</v>
      </c>
      <c r="F30" s="44">
        <f t="shared" ref="F30:K30" si="4">SUM(F27:F28)</f>
        <v>0</v>
      </c>
      <c r="G30" s="130">
        <f t="shared" si="4"/>
        <v>14836</v>
      </c>
      <c r="H30" s="130">
        <f t="shared" si="4"/>
        <v>0</v>
      </c>
      <c r="I30" s="122">
        <f t="shared" si="4"/>
        <v>1055499.2</v>
      </c>
      <c r="J30" s="33">
        <f t="shared" si="4"/>
        <v>0</v>
      </c>
      <c r="K30" s="122">
        <f t="shared" si="4"/>
        <v>1055499.2</v>
      </c>
      <c r="M30" s="45"/>
      <c r="S30" s="18"/>
    </row>
    <row r="31" spans="1:21" x14ac:dyDescent="0.2">
      <c r="B31" s="18"/>
      <c r="C31" s="18"/>
      <c r="E31" s="29"/>
      <c r="F31" s="30"/>
      <c r="G31" s="152"/>
      <c r="H31" s="30"/>
      <c r="I31" s="115"/>
      <c r="J31" s="30"/>
      <c r="K31" s="115"/>
      <c r="M31" s="20"/>
      <c r="S31" s="18"/>
    </row>
    <row r="32" spans="1:21" s="22" customFormat="1" ht="12.75" hidden="1" customHeight="1" x14ac:dyDescent="0.2">
      <c r="A32" s="101"/>
      <c r="B32" s="21" t="s">
        <v>128</v>
      </c>
      <c r="C32" s="46"/>
      <c r="E32" s="47"/>
      <c r="F32" s="30"/>
      <c r="G32" s="152"/>
      <c r="H32" s="30"/>
      <c r="I32" s="115"/>
      <c r="J32" s="30"/>
      <c r="K32" s="115"/>
      <c r="M32" s="48"/>
      <c r="N32" s="48"/>
      <c r="O32" s="48"/>
      <c r="S32" s="46"/>
    </row>
    <row r="33" spans="1:21" ht="12.75" hidden="1" customHeight="1" x14ac:dyDescent="0.2">
      <c r="A33" s="103"/>
      <c r="C33" s="38" t="s">
        <v>81</v>
      </c>
      <c r="D33" s="41"/>
      <c r="E33" s="29"/>
      <c r="F33" s="30"/>
      <c r="G33" s="152"/>
      <c r="H33" s="30"/>
      <c r="I33" s="115"/>
      <c r="J33" s="30"/>
      <c r="K33" s="115"/>
      <c r="M33" s="20"/>
      <c r="S33" s="38"/>
    </row>
    <row r="34" spans="1:21" ht="25.5" hidden="1" customHeight="1" x14ac:dyDescent="0.2">
      <c r="A34" s="100" t="s">
        <v>83</v>
      </c>
      <c r="C34" s="28" t="s">
        <v>82</v>
      </c>
      <c r="D34" s="4" t="s">
        <v>83</v>
      </c>
      <c r="E34" s="29" t="e">
        <f>VLOOKUP(A34,#REF!,9,FALSE)</f>
        <v>#REF!</v>
      </c>
      <c r="F34" s="32">
        <v>0</v>
      </c>
      <c r="G34" s="157">
        <v>0</v>
      </c>
      <c r="H34" s="33">
        <v>0</v>
      </c>
      <c r="I34" s="115" t="e">
        <f>E34+F34+G34+H34</f>
        <v>#REF!</v>
      </c>
      <c r="J34" s="33" t="e">
        <f>F34+G34+H34+I34</f>
        <v>#REF!</v>
      </c>
      <c r="K34" s="115" t="e">
        <f>G34+H34+I34+J34</f>
        <v>#REF!</v>
      </c>
      <c r="L34" s="4" t="s">
        <v>22</v>
      </c>
      <c r="M34" s="6" t="s">
        <v>84</v>
      </c>
      <c r="N34" s="6" t="s">
        <v>85</v>
      </c>
      <c r="O34" s="6" t="s">
        <v>86</v>
      </c>
      <c r="P34" s="31">
        <v>1160748</v>
      </c>
      <c r="R34" s="4" t="s">
        <v>87</v>
      </c>
      <c r="S34" s="18">
        <v>182750</v>
      </c>
      <c r="U34" s="39" t="s">
        <v>36</v>
      </c>
    </row>
    <row r="35" spans="1:21" ht="12.75" hidden="1" customHeight="1" x14ac:dyDescent="0.2">
      <c r="C35" s="28"/>
      <c r="E35" s="35"/>
      <c r="F35" s="35"/>
      <c r="G35" s="158"/>
      <c r="H35" s="36"/>
      <c r="I35" s="116"/>
      <c r="J35" s="36"/>
      <c r="K35" s="116"/>
      <c r="P35" s="31"/>
      <c r="S35" s="18"/>
      <c r="U35" s="39"/>
    </row>
    <row r="36" spans="1:21" ht="12.75" hidden="1" customHeight="1" x14ac:dyDescent="0.2">
      <c r="E36" s="49">
        <v>0</v>
      </c>
      <c r="F36" s="49">
        <f>F34</f>
        <v>0</v>
      </c>
      <c r="G36" s="159">
        <f>G34</f>
        <v>0</v>
      </c>
      <c r="H36" s="49">
        <f>H34</f>
        <v>0</v>
      </c>
      <c r="I36" s="122">
        <f>E36+F36+G36+H36</f>
        <v>0</v>
      </c>
      <c r="J36" s="50">
        <f>F36+G36+H36+I36</f>
        <v>0</v>
      </c>
      <c r="K36" s="122">
        <f>G36+H36+I36+J36</f>
        <v>0</v>
      </c>
    </row>
    <row r="37" spans="1:21" ht="12.75" hidden="1" customHeight="1" x14ac:dyDescent="0.2">
      <c r="C37" s="38" t="s">
        <v>28</v>
      </c>
      <c r="E37" s="29"/>
      <c r="F37" s="30"/>
      <c r="G37" s="152"/>
      <c r="H37" s="30"/>
      <c r="I37" s="115"/>
      <c r="J37" s="30"/>
      <c r="K37" s="115"/>
      <c r="M37" s="20"/>
      <c r="S37" s="18"/>
    </row>
    <row r="38" spans="1:21" ht="12.75" hidden="1" customHeight="1" x14ac:dyDescent="0.2">
      <c r="B38" s="18"/>
      <c r="C38" s="28"/>
      <c r="E38" s="35"/>
      <c r="F38" s="36"/>
      <c r="G38" s="150"/>
      <c r="H38" s="36"/>
      <c r="I38" s="116"/>
      <c r="J38" s="36"/>
      <c r="K38" s="116"/>
      <c r="M38" s="20"/>
      <c r="P38" s="51"/>
      <c r="S38" s="18"/>
      <c r="U38" s="39"/>
    </row>
    <row r="39" spans="1:21" ht="12.75" hidden="1" customHeight="1" x14ac:dyDescent="0.2">
      <c r="B39" s="28"/>
      <c r="C39" s="52"/>
      <c r="E39" s="49">
        <f>SUM(E38:E38)</f>
        <v>0</v>
      </c>
      <c r="F39" s="49">
        <f>SUM(F52)</f>
        <v>0</v>
      </c>
      <c r="G39" s="159">
        <f>SUM(G38:G38)</f>
        <v>0</v>
      </c>
      <c r="H39" s="49">
        <f>SUM(H38:H38)</f>
        <v>0</v>
      </c>
      <c r="I39" s="123">
        <f>SUM(I38:I38)</f>
        <v>0</v>
      </c>
      <c r="J39" s="49">
        <f>SUM(J38:J38)</f>
        <v>0</v>
      </c>
      <c r="K39" s="123">
        <f>SUM(K38:K38)</f>
        <v>0</v>
      </c>
      <c r="M39" s="20"/>
      <c r="S39" s="52"/>
    </row>
    <row r="40" spans="1:21" ht="12.75" hidden="1" customHeight="1" x14ac:dyDescent="0.2">
      <c r="B40" s="18"/>
      <c r="C40" s="18"/>
      <c r="E40" s="29"/>
      <c r="F40" s="30"/>
      <c r="G40" s="152"/>
      <c r="H40" s="30"/>
      <c r="I40" s="115"/>
      <c r="J40" s="30"/>
      <c r="K40" s="115"/>
      <c r="M40" s="20"/>
      <c r="S40" s="18"/>
    </row>
    <row r="41" spans="1:21" x14ac:dyDescent="0.2">
      <c r="C41" s="38" t="s">
        <v>32</v>
      </c>
      <c r="E41" s="29"/>
      <c r="F41" s="30"/>
      <c r="G41" s="152"/>
      <c r="H41" s="30"/>
      <c r="I41" s="115"/>
      <c r="J41" s="30"/>
      <c r="K41" s="115"/>
      <c r="M41" s="20"/>
      <c r="S41" s="18"/>
    </row>
    <row r="42" spans="1:21" ht="25.5" hidden="1" customHeight="1" x14ac:dyDescent="0.2">
      <c r="A42" s="100" t="s">
        <v>90</v>
      </c>
      <c r="B42" s="18"/>
      <c r="C42" s="28" t="s">
        <v>89</v>
      </c>
      <c r="D42" s="4" t="s">
        <v>90</v>
      </c>
      <c r="E42" s="29">
        <v>0</v>
      </c>
      <c r="F42" s="30">
        <v>0</v>
      </c>
      <c r="G42" s="152">
        <v>0</v>
      </c>
      <c r="H42" s="33">
        <v>0</v>
      </c>
      <c r="I42" s="115">
        <f>E42+F42+G42+H42</f>
        <v>0</v>
      </c>
      <c r="J42" s="30">
        <f>F42+G42+H42+I42</f>
        <v>0</v>
      </c>
      <c r="K42" s="115">
        <f>G42+H42+I42+J42</f>
        <v>0</v>
      </c>
      <c r="L42" s="4" t="s">
        <v>22</v>
      </c>
      <c r="M42" s="20"/>
      <c r="N42" s="6" t="s">
        <v>91</v>
      </c>
      <c r="O42" s="6" t="s">
        <v>92</v>
      </c>
      <c r="P42" s="31">
        <v>18168</v>
      </c>
      <c r="R42" s="4" t="s">
        <v>93</v>
      </c>
      <c r="S42" s="18">
        <v>182910</v>
      </c>
      <c r="U42" s="39" t="s">
        <v>26</v>
      </c>
    </row>
    <row r="43" spans="1:21" ht="12.75" hidden="1" customHeight="1" x14ac:dyDescent="0.2">
      <c r="B43" s="18"/>
      <c r="C43" s="18"/>
      <c r="E43" s="30"/>
      <c r="F43" s="30"/>
      <c r="G43" s="152"/>
      <c r="H43" s="30"/>
      <c r="I43" s="115"/>
      <c r="J43" s="30"/>
      <c r="K43" s="115"/>
      <c r="M43" s="20"/>
      <c r="S43" s="18"/>
    </row>
    <row r="44" spans="1:21" ht="25.5" hidden="1" customHeight="1" x14ac:dyDescent="0.2">
      <c r="A44" s="100" t="s">
        <v>98</v>
      </c>
      <c r="B44" s="18"/>
      <c r="C44" s="28" t="s">
        <v>97</v>
      </c>
      <c r="D44" s="4" t="s">
        <v>98</v>
      </c>
      <c r="E44" s="29">
        <v>0</v>
      </c>
      <c r="F44" s="30">
        <v>0</v>
      </c>
      <c r="G44" s="152">
        <v>0</v>
      </c>
      <c r="H44" s="33">
        <v>0</v>
      </c>
      <c r="I44" s="115">
        <f>E44+F44+G44+H44</f>
        <v>0</v>
      </c>
      <c r="J44" s="30">
        <f>F44+G44+H44+I44</f>
        <v>0</v>
      </c>
      <c r="K44" s="115">
        <f>G44+H44+I44+J44</f>
        <v>0</v>
      </c>
      <c r="L44" s="4" t="s">
        <v>22</v>
      </c>
      <c r="M44" s="20"/>
      <c r="N44" s="6" t="s">
        <v>91</v>
      </c>
      <c r="O44" s="6" t="s">
        <v>92</v>
      </c>
      <c r="P44" s="31">
        <v>32040</v>
      </c>
      <c r="R44" s="4" t="s">
        <v>99</v>
      </c>
      <c r="S44" s="18">
        <v>182975</v>
      </c>
      <c r="U44" s="39" t="s">
        <v>36</v>
      </c>
    </row>
    <row r="45" spans="1:21" ht="12.75" hidden="1" customHeight="1" x14ac:dyDescent="0.2">
      <c r="B45" s="18"/>
      <c r="C45" s="18"/>
      <c r="E45" s="30"/>
      <c r="F45" s="30"/>
      <c r="G45" s="152"/>
      <c r="H45" s="30"/>
      <c r="I45" s="115"/>
      <c r="J45" s="30"/>
      <c r="K45" s="115"/>
      <c r="M45" s="20"/>
      <c r="P45" s="31"/>
      <c r="S45" s="18"/>
    </row>
    <row r="46" spans="1:21" ht="25.5" hidden="1" customHeight="1" x14ac:dyDescent="0.2">
      <c r="A46" s="100" t="s">
        <v>101</v>
      </c>
      <c r="B46" s="28"/>
      <c r="C46" s="28" t="s">
        <v>100</v>
      </c>
      <c r="D46" s="4" t="s">
        <v>101</v>
      </c>
      <c r="E46" s="29">
        <v>0</v>
      </c>
      <c r="F46" s="30">
        <v>0</v>
      </c>
      <c r="G46" s="152">
        <v>0</v>
      </c>
      <c r="H46" s="30">
        <v>0</v>
      </c>
      <c r="I46" s="115">
        <f>E46+F46+G46+H46</f>
        <v>0</v>
      </c>
      <c r="J46" s="30">
        <f>F46+G46+H46+I46</f>
        <v>0</v>
      </c>
      <c r="K46" s="115">
        <f>G46+H46+I46+J46</f>
        <v>0</v>
      </c>
      <c r="L46" s="4" t="s">
        <v>22</v>
      </c>
      <c r="M46" s="20" t="s">
        <v>102</v>
      </c>
      <c r="N46" s="6" t="s">
        <v>103</v>
      </c>
      <c r="O46" s="53" t="s">
        <v>228</v>
      </c>
      <c r="P46" s="31">
        <v>437436</v>
      </c>
      <c r="R46" s="4" t="s">
        <v>104</v>
      </c>
      <c r="S46" s="18">
        <v>182376</v>
      </c>
      <c r="U46" s="39" t="s">
        <v>36</v>
      </c>
    </row>
    <row r="47" spans="1:21" ht="12.75" hidden="1" customHeight="1" x14ac:dyDescent="0.2">
      <c r="B47" s="28"/>
      <c r="C47" s="18"/>
      <c r="E47" s="30"/>
      <c r="F47" s="30"/>
      <c r="G47" s="152"/>
      <c r="H47" s="30"/>
      <c r="I47" s="115"/>
      <c r="J47" s="30"/>
      <c r="K47" s="115"/>
      <c r="M47" s="20"/>
      <c r="P47" s="31"/>
      <c r="S47" s="18"/>
    </row>
    <row r="48" spans="1:21" ht="25.5" hidden="1" customHeight="1" x14ac:dyDescent="0.2">
      <c r="A48" s="100" t="s">
        <v>106</v>
      </c>
      <c r="B48" s="18"/>
      <c r="C48" s="28" t="s">
        <v>105</v>
      </c>
      <c r="D48" s="4" t="s">
        <v>106</v>
      </c>
      <c r="E48" s="29">
        <v>0</v>
      </c>
      <c r="F48" s="33">
        <v>0</v>
      </c>
      <c r="G48" s="144">
        <v>0</v>
      </c>
      <c r="H48" s="33">
        <v>0</v>
      </c>
      <c r="I48" s="115">
        <f>E48+F48+G48+H48</f>
        <v>0</v>
      </c>
      <c r="J48" s="30">
        <f>F48+G48+H48+I48</f>
        <v>0</v>
      </c>
      <c r="K48" s="115">
        <f>G48+H48+I48+J48</f>
        <v>0</v>
      </c>
      <c r="M48" s="42"/>
      <c r="N48" s="6" t="s">
        <v>103</v>
      </c>
      <c r="O48" s="53" t="s">
        <v>228</v>
      </c>
      <c r="P48" s="31">
        <v>78333.33</v>
      </c>
      <c r="R48" s="4" t="s">
        <v>107</v>
      </c>
      <c r="S48" s="18">
        <v>182940</v>
      </c>
      <c r="U48" s="39" t="s">
        <v>36</v>
      </c>
    </row>
    <row r="49" spans="1:23" hidden="1" x14ac:dyDescent="0.2">
      <c r="B49" s="18"/>
      <c r="C49" s="28"/>
      <c r="E49" s="30"/>
      <c r="F49" s="33"/>
      <c r="G49" s="144"/>
      <c r="H49" s="33"/>
      <c r="I49" s="115"/>
      <c r="J49" s="30"/>
      <c r="K49" s="115"/>
      <c r="M49" s="42"/>
      <c r="O49" s="53"/>
      <c r="P49" s="31"/>
      <c r="S49" s="18"/>
      <c r="U49" s="39"/>
    </row>
    <row r="50" spans="1:23" hidden="1" x14ac:dyDescent="0.2">
      <c r="A50" s="104" t="s">
        <v>95</v>
      </c>
      <c r="B50" s="18"/>
      <c r="C50" s="97" t="s">
        <v>94</v>
      </c>
      <c r="D50" s="98" t="s">
        <v>95</v>
      </c>
      <c r="E50" s="29">
        <v>0</v>
      </c>
      <c r="F50" s="33">
        <v>0</v>
      </c>
      <c r="G50" s="160">
        <v>0</v>
      </c>
      <c r="H50" s="33">
        <v>0</v>
      </c>
      <c r="I50" s="115">
        <f>E50+F50+G50+H50</f>
        <v>0</v>
      </c>
      <c r="J50" s="30">
        <f>F50+G50+H50+I50</f>
        <v>0</v>
      </c>
      <c r="K50" s="115">
        <f>G50+H50+I50+J50</f>
        <v>0</v>
      </c>
      <c r="M50" s="42"/>
      <c r="O50" s="53"/>
      <c r="P50" s="31"/>
      <c r="S50" s="18"/>
      <c r="U50" s="39"/>
    </row>
    <row r="51" spans="1:23" hidden="1" x14ac:dyDescent="0.2">
      <c r="B51" s="18"/>
      <c r="C51" s="18"/>
      <c r="E51" s="30"/>
      <c r="F51" s="30"/>
      <c r="G51" s="152"/>
      <c r="H51" s="30"/>
      <c r="I51" s="115"/>
      <c r="J51" s="30"/>
      <c r="K51" s="115"/>
      <c r="M51" s="20"/>
      <c r="P51" s="31"/>
      <c r="S51" s="18"/>
    </row>
    <row r="52" spans="1:23" ht="25.5" x14ac:dyDescent="0.2">
      <c r="A52" s="100" t="s">
        <v>159</v>
      </c>
      <c r="B52" s="18"/>
      <c r="C52" s="28" t="s">
        <v>29</v>
      </c>
      <c r="D52" s="4" t="s">
        <v>193</v>
      </c>
      <c r="E52" s="29">
        <f>VLOOKUP(A52,'DEK Jun 2015'!$A$1:$I$252,9,FALSE)</f>
        <v>7629291.9400000004</v>
      </c>
      <c r="F52" s="33">
        <v>0</v>
      </c>
      <c r="G52" s="33">
        <v>-77936.75</v>
      </c>
      <c r="H52" s="33">
        <v>0</v>
      </c>
      <c r="I52" s="115">
        <f>E52+F52+G52+H52</f>
        <v>7551355.1900000004</v>
      </c>
      <c r="J52" s="33">
        <v>-3712482</v>
      </c>
      <c r="K52" s="115">
        <f>I52+J52</f>
        <v>3838873.1900000004</v>
      </c>
      <c r="M52" s="20"/>
      <c r="N52" s="6" t="s">
        <v>67</v>
      </c>
      <c r="O52" s="6" t="s">
        <v>68</v>
      </c>
      <c r="P52" s="51" t="s">
        <v>69</v>
      </c>
      <c r="R52" s="4" t="s">
        <v>30</v>
      </c>
      <c r="S52" s="18">
        <v>182401</v>
      </c>
      <c r="U52" s="39" t="s">
        <v>31</v>
      </c>
    </row>
    <row r="53" spans="1:23" ht="25.5" x14ac:dyDescent="0.2">
      <c r="A53" s="100" t="s">
        <v>160</v>
      </c>
      <c r="B53" s="28"/>
      <c r="C53" s="28" t="s">
        <v>35</v>
      </c>
      <c r="D53" s="4" t="s">
        <v>212</v>
      </c>
      <c r="E53" s="29">
        <f>VLOOKUP(A53,'DEK Jun 2015'!$A$1:$I$252,9,FALSE)</f>
        <v>5236744</v>
      </c>
      <c r="F53" s="33">
        <v>0</v>
      </c>
      <c r="G53" s="130">
        <v>0</v>
      </c>
      <c r="H53" s="130">
        <v>0</v>
      </c>
      <c r="I53" s="115">
        <f>E53+F53+G53+H53</f>
        <v>5236744</v>
      </c>
      <c r="J53" s="33">
        <v>0</v>
      </c>
      <c r="K53" s="115">
        <f>I53+J53</f>
        <v>5236744</v>
      </c>
      <c r="L53" s="4" t="s">
        <v>22</v>
      </c>
      <c r="M53" s="6" t="s">
        <v>110</v>
      </c>
      <c r="N53" s="6" t="s">
        <v>111</v>
      </c>
      <c r="S53" s="18">
        <v>182410</v>
      </c>
    </row>
    <row r="54" spans="1:23" x14ac:dyDescent="0.2">
      <c r="B54" s="28"/>
      <c r="C54" s="28"/>
      <c r="E54" s="30"/>
      <c r="F54" s="33"/>
      <c r="G54" s="144"/>
      <c r="H54" s="33"/>
      <c r="I54" s="115"/>
      <c r="J54" s="33"/>
      <c r="K54" s="115"/>
      <c r="S54" s="18"/>
    </row>
    <row r="55" spans="1:23" hidden="1" x14ac:dyDescent="0.2">
      <c r="A55" s="100" t="s">
        <v>173</v>
      </c>
      <c r="B55" s="28"/>
      <c r="C55" s="28" t="s">
        <v>174</v>
      </c>
      <c r="D55" s="4" t="s">
        <v>173</v>
      </c>
      <c r="E55" s="29">
        <v>0</v>
      </c>
      <c r="F55" s="33">
        <v>0</v>
      </c>
      <c r="G55" s="144">
        <v>0</v>
      </c>
      <c r="H55" s="30">
        <v>0</v>
      </c>
      <c r="I55" s="115">
        <f>E55+F55+G55+H55</f>
        <v>0</v>
      </c>
      <c r="J55" s="33">
        <f>F55+G55+H55+I55</f>
        <v>0</v>
      </c>
      <c r="K55" s="115">
        <f>G55+H55+I55+J55</f>
        <v>0</v>
      </c>
      <c r="S55" s="18"/>
      <c r="W55" s="47"/>
    </row>
    <row r="56" spans="1:23" hidden="1" x14ac:dyDescent="0.2">
      <c r="B56" s="28"/>
      <c r="C56" s="28"/>
      <c r="E56" s="30"/>
      <c r="F56" s="33"/>
      <c r="G56" s="144"/>
      <c r="H56" s="33"/>
      <c r="I56" s="115"/>
      <c r="J56" s="33"/>
      <c r="K56" s="115"/>
      <c r="S56" s="18"/>
      <c r="W56" s="47"/>
    </row>
    <row r="57" spans="1:23" hidden="1" x14ac:dyDescent="0.2">
      <c r="A57" s="100" t="s">
        <v>132</v>
      </c>
      <c r="B57" s="28"/>
      <c r="C57" s="28" t="s">
        <v>131</v>
      </c>
      <c r="D57" s="4" t="s">
        <v>132</v>
      </c>
      <c r="E57" s="29">
        <v>0</v>
      </c>
      <c r="F57" s="33">
        <v>0</v>
      </c>
      <c r="G57" s="144">
        <v>0</v>
      </c>
      <c r="H57" s="33">
        <v>0</v>
      </c>
      <c r="I57" s="115">
        <f>E57+F57+G57+H57</f>
        <v>0</v>
      </c>
      <c r="J57" s="33">
        <v>0</v>
      </c>
      <c r="K57" s="115">
        <f>I57+J57</f>
        <v>0</v>
      </c>
      <c r="S57" s="18"/>
    </row>
    <row r="58" spans="1:23" x14ac:dyDescent="0.2">
      <c r="B58" s="28"/>
      <c r="C58" s="28"/>
      <c r="E58" s="30"/>
      <c r="F58" s="33"/>
      <c r="G58" s="144"/>
      <c r="H58" s="33"/>
      <c r="I58" s="115"/>
      <c r="J58" s="33"/>
      <c r="K58" s="115"/>
      <c r="S58" s="18"/>
    </row>
    <row r="59" spans="1:23" x14ac:dyDescent="0.2">
      <c r="A59" s="100" t="s">
        <v>134</v>
      </c>
      <c r="B59" s="28"/>
      <c r="C59" s="28" t="s">
        <v>133</v>
      </c>
      <c r="D59" s="4" t="s">
        <v>205</v>
      </c>
      <c r="E59" s="29">
        <f>VLOOKUP(A59,'DEK Jun 2015'!$A$1:$I$252,9,FALSE)</f>
        <v>1300000</v>
      </c>
      <c r="F59" s="33">
        <v>0</v>
      </c>
      <c r="G59" s="33">
        <v>0</v>
      </c>
      <c r="H59" s="33">
        <v>0</v>
      </c>
      <c r="I59" s="115">
        <f>E59+F59+G59+H59</f>
        <v>1300000</v>
      </c>
      <c r="J59" s="33">
        <v>0</v>
      </c>
      <c r="K59" s="115">
        <f>I59+J59</f>
        <v>1300000</v>
      </c>
      <c r="S59" s="18"/>
    </row>
    <row r="60" spans="1:23" x14ac:dyDescent="0.2">
      <c r="B60" s="28"/>
      <c r="C60" s="28"/>
      <c r="E60" s="30"/>
      <c r="F60" s="33"/>
      <c r="G60" s="144"/>
      <c r="H60" s="33"/>
      <c r="I60" s="115"/>
      <c r="J60" s="33"/>
      <c r="K60" s="115"/>
      <c r="S60" s="18"/>
    </row>
    <row r="61" spans="1:23" hidden="1" x14ac:dyDescent="0.2">
      <c r="A61" s="100" t="s">
        <v>175</v>
      </c>
      <c r="B61" s="28"/>
      <c r="C61" s="28" t="s">
        <v>176</v>
      </c>
      <c r="D61" s="4" t="s">
        <v>175</v>
      </c>
      <c r="E61" s="29">
        <v>0</v>
      </c>
      <c r="F61" s="33">
        <v>0</v>
      </c>
      <c r="G61" s="144">
        <v>0</v>
      </c>
      <c r="H61" s="33">
        <v>0</v>
      </c>
      <c r="I61" s="115">
        <v>0</v>
      </c>
      <c r="J61" s="33">
        <v>0</v>
      </c>
      <c r="K61" s="115">
        <v>0</v>
      </c>
      <c r="S61" s="18"/>
      <c r="W61" s="47"/>
    </row>
    <row r="62" spans="1:23" hidden="1" x14ac:dyDescent="0.2">
      <c r="B62" s="28"/>
      <c r="C62" s="28"/>
      <c r="E62" s="30"/>
      <c r="F62" s="33"/>
      <c r="G62" s="144"/>
      <c r="H62" s="33"/>
      <c r="I62" s="115"/>
      <c r="J62" s="33"/>
      <c r="K62" s="115"/>
      <c r="S62" s="18"/>
      <c r="W62" s="47"/>
    </row>
    <row r="63" spans="1:23" x14ac:dyDescent="0.2">
      <c r="A63" s="100" t="s">
        <v>39</v>
      </c>
      <c r="B63" s="28"/>
      <c r="C63" s="28" t="s">
        <v>38</v>
      </c>
      <c r="D63" s="4" t="s">
        <v>39</v>
      </c>
      <c r="E63" s="29">
        <f>VLOOKUP(A63,'DEK Jun 2015'!$A$1:$I$252,9,FALSE)</f>
        <v>4912684</v>
      </c>
      <c r="F63" s="33">
        <v>0</v>
      </c>
      <c r="G63" s="44">
        <v>0</v>
      </c>
      <c r="H63" s="33">
        <v>0</v>
      </c>
      <c r="I63" s="115">
        <f>E63+F63+G63+H63</f>
        <v>4912684</v>
      </c>
      <c r="J63" s="33">
        <v>0</v>
      </c>
      <c r="K63" s="115">
        <f>I63+J63</f>
        <v>4912684</v>
      </c>
      <c r="M63" s="20" t="s">
        <v>112</v>
      </c>
      <c r="S63" s="18"/>
    </row>
    <row r="64" spans="1:23" x14ac:dyDescent="0.2">
      <c r="B64" s="28"/>
      <c r="C64" s="28"/>
      <c r="E64" s="30"/>
      <c r="F64" s="33"/>
      <c r="G64" s="144"/>
      <c r="H64" s="33"/>
      <c r="I64" s="115">
        <f t="shared" ref="I64:I69" si="5">E64+F64+G64+H64</f>
        <v>0</v>
      </c>
      <c r="J64" s="33"/>
      <c r="K64" s="115">
        <f t="shared" ref="K64:K69" si="6">I64+J64</f>
        <v>0</v>
      </c>
      <c r="M64" s="20"/>
      <c r="S64" s="18"/>
    </row>
    <row r="65" spans="1:21" ht="12.75" hidden="1" customHeight="1" x14ac:dyDescent="0.2">
      <c r="A65" s="100" t="s">
        <v>178</v>
      </c>
      <c r="B65" s="28"/>
      <c r="C65" s="28" t="s">
        <v>177</v>
      </c>
      <c r="D65" s="4" t="s">
        <v>178</v>
      </c>
      <c r="E65" s="29">
        <f>VLOOKUP(A65,'DEK Jun 2015'!$A$1:$I$252,9,FALSE)</f>
        <v>0</v>
      </c>
      <c r="F65" s="33">
        <v>0</v>
      </c>
      <c r="G65" s="161">
        <v>0</v>
      </c>
      <c r="H65" s="33">
        <v>0</v>
      </c>
      <c r="I65" s="115">
        <f t="shared" si="5"/>
        <v>0</v>
      </c>
      <c r="J65" s="33">
        <f>F65+G65+H65+I65</f>
        <v>0</v>
      </c>
      <c r="K65" s="115">
        <f t="shared" si="6"/>
        <v>0</v>
      </c>
      <c r="M65" s="20"/>
      <c r="S65" s="18"/>
    </row>
    <row r="66" spans="1:21" ht="12.75" hidden="1" customHeight="1" x14ac:dyDescent="0.2">
      <c r="B66" s="28"/>
      <c r="C66" s="28"/>
      <c r="E66" s="32"/>
      <c r="F66" s="33"/>
      <c r="G66" s="161"/>
      <c r="H66" s="33"/>
      <c r="I66" s="115"/>
      <c r="J66" s="33"/>
      <c r="K66" s="115"/>
      <c r="M66" s="20"/>
      <c r="S66" s="18"/>
    </row>
    <row r="67" spans="1:21" ht="15.75" customHeight="1" x14ac:dyDescent="0.35">
      <c r="A67" s="100" t="s">
        <v>231</v>
      </c>
      <c r="B67" s="28"/>
      <c r="C67" s="28" t="s">
        <v>229</v>
      </c>
      <c r="D67" s="4" t="s">
        <v>230</v>
      </c>
      <c r="E67" s="32">
        <f>VLOOKUP(A67,'DEK Jun 2015'!$A$1:$I$252,9,FALSE)</f>
        <v>6887033.9499999993</v>
      </c>
      <c r="F67" s="172"/>
      <c r="G67" s="33">
        <v>831889.45</v>
      </c>
      <c r="H67" s="172"/>
      <c r="I67" s="115">
        <f t="shared" si="5"/>
        <v>7718923.3999999994</v>
      </c>
      <c r="J67" s="172"/>
      <c r="K67" s="115">
        <f t="shared" si="6"/>
        <v>7718923.3999999994</v>
      </c>
      <c r="M67" s="20"/>
      <c r="S67" s="18"/>
    </row>
    <row r="68" spans="1:21" ht="12.75" customHeight="1" x14ac:dyDescent="0.35">
      <c r="B68" s="28"/>
      <c r="C68" s="28"/>
      <c r="E68" s="171"/>
      <c r="F68" s="172"/>
      <c r="G68" s="33"/>
      <c r="H68" s="172"/>
      <c r="I68" s="115"/>
      <c r="J68" s="172"/>
      <c r="K68" s="115"/>
      <c r="M68" s="20"/>
      <c r="S68" s="18"/>
    </row>
    <row r="69" spans="1:21" ht="12.75" customHeight="1" x14ac:dyDescent="0.35">
      <c r="A69" s="100" t="s">
        <v>238</v>
      </c>
      <c r="B69" s="28"/>
      <c r="C69" s="28" t="s">
        <v>236</v>
      </c>
      <c r="D69" s="4" t="s">
        <v>238</v>
      </c>
      <c r="E69" s="32">
        <f>VLOOKUP(A69,'DEK Jun 2015'!$A$1:$I$252,9,FALSE)</f>
        <v>-812018.38</v>
      </c>
      <c r="F69" s="172"/>
      <c r="G69" s="33">
        <v>0</v>
      </c>
      <c r="H69" s="33"/>
      <c r="I69" s="115">
        <f t="shared" si="5"/>
        <v>-812018.38</v>
      </c>
      <c r="J69" s="33"/>
      <c r="K69" s="115">
        <f t="shared" si="6"/>
        <v>-812018.38</v>
      </c>
      <c r="M69" s="20"/>
      <c r="S69" s="18"/>
    </row>
    <row r="70" spans="1:21" ht="12.75" customHeight="1" x14ac:dyDescent="0.35">
      <c r="B70" s="28"/>
      <c r="C70" s="28"/>
      <c r="E70" s="32"/>
      <c r="F70" s="172"/>
      <c r="G70" s="144"/>
      <c r="H70" s="33"/>
      <c r="I70" s="115"/>
      <c r="J70" s="33"/>
      <c r="K70" s="115"/>
      <c r="M70" s="20"/>
      <c r="S70" s="18"/>
    </row>
    <row r="71" spans="1:21" ht="12.75" customHeight="1" x14ac:dyDescent="0.35">
      <c r="A71" s="100" t="s">
        <v>234</v>
      </c>
      <c r="B71" s="28"/>
      <c r="C71" s="28" t="s">
        <v>232</v>
      </c>
      <c r="D71" s="4" t="s">
        <v>233</v>
      </c>
      <c r="E71" s="35">
        <f>VLOOKUP(A71,'DEK Jun 2015'!$A$1:$I$252,9,FALSE)</f>
        <v>0</v>
      </c>
      <c r="F71" s="174"/>
      <c r="G71" s="36">
        <v>0</v>
      </c>
      <c r="H71" s="36"/>
      <c r="I71" s="116">
        <f t="shared" ref="I71" si="7">E71+F71+G71+H71</f>
        <v>0</v>
      </c>
      <c r="J71" s="36"/>
      <c r="K71" s="116">
        <f t="shared" ref="K71" si="8">I71+J71</f>
        <v>0</v>
      </c>
      <c r="M71" s="20"/>
      <c r="S71" s="18"/>
    </row>
    <row r="72" spans="1:21" x14ac:dyDescent="0.2">
      <c r="B72" s="54"/>
      <c r="C72" s="28"/>
      <c r="E72" s="29">
        <f>SUM(E42:E71)</f>
        <v>25153735.510000002</v>
      </c>
      <c r="F72" s="29">
        <f>SUM(F39:F65)+F36</f>
        <v>0</v>
      </c>
      <c r="G72" s="29">
        <f>SUM(G39:G71)+G36</f>
        <v>753952.7</v>
      </c>
      <c r="H72" s="29">
        <f>SUM(H39:H71)+H36</f>
        <v>0</v>
      </c>
      <c r="I72" s="123">
        <f>SUM(I39:I71)+I36</f>
        <v>25907688.210000001</v>
      </c>
      <c r="J72" s="49">
        <f>SUM(J39:J71)+J36</f>
        <v>-3712482</v>
      </c>
      <c r="K72" s="123">
        <f>SUM(K39:K71)+K36</f>
        <v>22195206.210000001</v>
      </c>
      <c r="M72" s="20"/>
      <c r="S72" s="18"/>
    </row>
    <row r="73" spans="1:21" x14ac:dyDescent="0.2">
      <c r="B73" s="28"/>
      <c r="C73" s="28"/>
      <c r="E73" s="29"/>
      <c r="F73" s="30"/>
      <c r="G73" s="152"/>
      <c r="H73" s="30"/>
      <c r="I73" s="115"/>
      <c r="J73" s="30"/>
      <c r="K73" s="115"/>
      <c r="M73" s="20"/>
      <c r="S73" s="18"/>
    </row>
    <row r="74" spans="1:21" s="22" customFormat="1" x14ac:dyDescent="0.2">
      <c r="A74" s="101"/>
      <c r="B74" s="54" t="s">
        <v>129</v>
      </c>
      <c r="C74" s="55"/>
      <c r="E74" s="47"/>
      <c r="F74" s="47"/>
      <c r="G74" s="162"/>
      <c r="H74" s="47"/>
      <c r="I74" s="124"/>
      <c r="J74" s="47"/>
      <c r="K74" s="124"/>
      <c r="M74" s="19"/>
      <c r="N74" s="48"/>
      <c r="O74" s="48"/>
      <c r="P74" s="56"/>
      <c r="R74" s="57"/>
      <c r="S74" s="57"/>
      <c r="T74" s="55"/>
      <c r="U74" s="55"/>
    </row>
    <row r="75" spans="1:21" ht="25.5" hidden="1" customHeight="1" x14ac:dyDescent="0.2">
      <c r="A75" s="100" t="s">
        <v>125</v>
      </c>
      <c r="B75" s="18"/>
      <c r="C75" s="28" t="s">
        <v>73</v>
      </c>
      <c r="D75" s="4" t="s">
        <v>125</v>
      </c>
      <c r="E75" s="29">
        <v>0</v>
      </c>
      <c r="F75" s="33">
        <v>0</v>
      </c>
      <c r="G75" s="144">
        <v>0</v>
      </c>
      <c r="H75" s="33">
        <v>0</v>
      </c>
      <c r="I75" s="115">
        <f>E75+F75+G75+H75</f>
        <v>0</v>
      </c>
      <c r="J75" s="30">
        <f>F75+G75+H75+I75</f>
        <v>0</v>
      </c>
      <c r="K75" s="115">
        <f>G75+H75+I75+J75</f>
        <v>0</v>
      </c>
      <c r="M75" s="42" t="s">
        <v>126</v>
      </c>
      <c r="O75" s="53"/>
      <c r="P75" s="31"/>
      <c r="R75" s="4" t="s">
        <v>107</v>
      </c>
      <c r="S75" s="18">
        <v>182940</v>
      </c>
      <c r="U75" s="39" t="s">
        <v>36</v>
      </c>
    </row>
    <row r="76" spans="1:21" x14ac:dyDescent="0.2">
      <c r="A76" s="100" t="s">
        <v>161</v>
      </c>
      <c r="B76" s="28"/>
      <c r="C76" s="28" t="s">
        <v>72</v>
      </c>
      <c r="D76" s="4" t="s">
        <v>224</v>
      </c>
      <c r="E76" s="29">
        <f>VLOOKUP(A76,'DEK Jun 2015'!$A$1:$I$252,9,FALSE)</f>
        <v>22516908.440000001</v>
      </c>
      <c r="F76" s="30">
        <v>0</v>
      </c>
      <c r="G76" s="130">
        <v>-184449</v>
      </c>
      <c r="H76" s="129">
        <v>0</v>
      </c>
      <c r="I76" s="115">
        <f>E76+F76+G76+H76</f>
        <v>22332459.440000001</v>
      </c>
      <c r="J76" s="30">
        <v>0</v>
      </c>
      <c r="K76" s="115">
        <f t="shared" ref="K76:K78" si="9">I76+J76</f>
        <v>22332459.440000001</v>
      </c>
      <c r="M76" s="20"/>
      <c r="P76" s="58"/>
      <c r="S76" s="18">
        <v>186801</v>
      </c>
    </row>
    <row r="77" spans="1:21" x14ac:dyDescent="0.2">
      <c r="A77" s="108" t="s">
        <v>171</v>
      </c>
      <c r="B77" s="28"/>
      <c r="C77" s="28" t="s">
        <v>122</v>
      </c>
      <c r="D77" s="4" t="s">
        <v>225</v>
      </c>
      <c r="E77" s="29">
        <f>VLOOKUP(A77,'DEK Jun 2015'!$A$1:$I$252,9,FALSE)</f>
        <v>3080445.55</v>
      </c>
      <c r="F77" s="30">
        <v>0</v>
      </c>
      <c r="G77" s="130">
        <v>-27586</v>
      </c>
      <c r="H77" s="129">
        <v>0</v>
      </c>
      <c r="I77" s="115">
        <f>E77+F77+G77+H77</f>
        <v>3052859.55</v>
      </c>
      <c r="J77" s="30">
        <v>0</v>
      </c>
      <c r="K77" s="115">
        <f t="shared" si="9"/>
        <v>3052859.55</v>
      </c>
      <c r="M77" s="20"/>
      <c r="P77" s="58"/>
      <c r="S77" s="18"/>
    </row>
    <row r="78" spans="1:21" x14ac:dyDescent="0.2">
      <c r="A78" s="108" t="s">
        <v>172</v>
      </c>
      <c r="B78" s="28"/>
      <c r="C78" s="28" t="s">
        <v>123</v>
      </c>
      <c r="D78" s="4" t="s">
        <v>226</v>
      </c>
      <c r="E78" s="29">
        <f>VLOOKUP(A78,'DEK Jun 2015'!$A$1:$I$252,9,FALSE)</f>
        <v>59271.05</v>
      </c>
      <c r="F78" s="30">
        <v>0</v>
      </c>
      <c r="G78" s="130">
        <v>-794</v>
      </c>
      <c r="H78" s="129">
        <v>0</v>
      </c>
      <c r="I78" s="115">
        <f>E78+F78+G78+H78</f>
        <v>58477.05</v>
      </c>
      <c r="J78" s="30">
        <v>0</v>
      </c>
      <c r="K78" s="115">
        <f t="shared" si="9"/>
        <v>58477.05</v>
      </c>
      <c r="M78" s="20"/>
      <c r="P78" s="58"/>
      <c r="S78" s="18"/>
    </row>
    <row r="79" spans="1:21" x14ac:dyDescent="0.2">
      <c r="B79" s="28"/>
      <c r="C79" s="28"/>
      <c r="E79" s="35"/>
      <c r="F79" s="36"/>
      <c r="G79" s="150"/>
      <c r="H79" s="36"/>
      <c r="I79" s="116"/>
      <c r="J79" s="36"/>
      <c r="K79" s="116"/>
      <c r="M79" s="20"/>
      <c r="P79" s="58"/>
      <c r="S79" s="18"/>
    </row>
    <row r="80" spans="1:21" x14ac:dyDescent="0.2">
      <c r="B80" s="28"/>
      <c r="C80" s="18"/>
      <c r="E80" s="29">
        <f>SUM(E75:E79)</f>
        <v>25656625.040000003</v>
      </c>
      <c r="F80" s="29">
        <f t="shared" ref="F80:K80" si="10">SUM(F75:F79)</f>
        <v>0</v>
      </c>
      <c r="G80" s="29">
        <f>SUM(G75:G79)</f>
        <v>-212829</v>
      </c>
      <c r="H80" s="29">
        <f t="shared" si="10"/>
        <v>0</v>
      </c>
      <c r="I80" s="123">
        <f t="shared" si="10"/>
        <v>25443796.040000003</v>
      </c>
      <c r="J80" s="29">
        <f t="shared" si="10"/>
        <v>0</v>
      </c>
      <c r="K80" s="123">
        <f t="shared" si="10"/>
        <v>25443796.040000003</v>
      </c>
      <c r="M80" s="20"/>
      <c r="S80" s="18"/>
    </row>
    <row r="81" spans="1:20" ht="12.75" hidden="1" customHeight="1" x14ac:dyDescent="0.2">
      <c r="B81" s="54" t="s">
        <v>135</v>
      </c>
      <c r="C81" s="18"/>
      <c r="E81" s="29"/>
      <c r="F81" s="29"/>
      <c r="G81" s="151"/>
      <c r="H81" s="29"/>
      <c r="I81" s="117"/>
      <c r="J81" s="29"/>
      <c r="K81" s="117"/>
      <c r="M81" s="20"/>
      <c r="S81" s="18"/>
    </row>
    <row r="82" spans="1:20" ht="12.75" hidden="1" customHeight="1" x14ac:dyDescent="0.2">
      <c r="A82" s="100" t="s">
        <v>108</v>
      </c>
      <c r="B82" s="28"/>
      <c r="C82" s="28" t="s">
        <v>71</v>
      </c>
      <c r="D82" s="4" t="s">
        <v>108</v>
      </c>
      <c r="E82" s="29">
        <v>0</v>
      </c>
      <c r="F82" s="30">
        <v>0</v>
      </c>
      <c r="G82" s="152">
        <v>0</v>
      </c>
      <c r="H82" s="30">
        <v>0</v>
      </c>
      <c r="I82" s="115">
        <f t="shared" ref="I82:K83" si="11">E82+F82+G82+H82</f>
        <v>0</v>
      </c>
      <c r="J82" s="30">
        <f t="shared" si="11"/>
        <v>0</v>
      </c>
      <c r="K82" s="115">
        <f t="shared" si="11"/>
        <v>0</v>
      </c>
      <c r="M82" s="20"/>
      <c r="S82" s="18">
        <v>174995</v>
      </c>
    </row>
    <row r="83" spans="1:20" ht="12.75" hidden="1" customHeight="1" x14ac:dyDescent="0.2">
      <c r="A83" s="100" t="s">
        <v>139</v>
      </c>
      <c r="B83" s="28"/>
      <c r="C83" s="28" t="s">
        <v>124</v>
      </c>
      <c r="D83" s="4" t="s">
        <v>139</v>
      </c>
      <c r="E83" s="29">
        <v>0</v>
      </c>
      <c r="F83" s="30">
        <v>0</v>
      </c>
      <c r="G83" s="152">
        <v>0</v>
      </c>
      <c r="H83" s="30">
        <v>0</v>
      </c>
      <c r="I83" s="115">
        <f t="shared" si="11"/>
        <v>0</v>
      </c>
      <c r="J83" s="30">
        <f t="shared" si="11"/>
        <v>0</v>
      </c>
      <c r="K83" s="115">
        <f t="shared" si="11"/>
        <v>0</v>
      </c>
      <c r="M83" s="20"/>
      <c r="S83" s="18"/>
    </row>
    <row r="84" spans="1:20" ht="7.5" hidden="1" customHeight="1" x14ac:dyDescent="0.2">
      <c r="B84" s="28"/>
      <c r="C84" s="18"/>
      <c r="D84" s="59"/>
      <c r="E84" s="29"/>
      <c r="F84" s="30"/>
      <c r="G84" s="152"/>
      <c r="H84" s="30"/>
      <c r="I84" s="115"/>
      <c r="J84" s="30"/>
      <c r="K84" s="115"/>
      <c r="M84" s="20"/>
      <c r="P84" s="58"/>
      <c r="S84" s="18"/>
    </row>
    <row r="85" spans="1:20" x14ac:dyDescent="0.2">
      <c r="B85" s="28"/>
      <c r="C85" s="18"/>
      <c r="E85" s="29"/>
      <c r="F85" s="30"/>
      <c r="G85" s="152"/>
      <c r="H85" s="30"/>
      <c r="I85" s="115"/>
      <c r="J85" s="30"/>
      <c r="K85" s="115"/>
      <c r="M85" s="20"/>
      <c r="S85" s="18"/>
    </row>
    <row r="86" spans="1:20" x14ac:dyDescent="0.2">
      <c r="B86" s="18"/>
      <c r="C86" s="131" t="s">
        <v>41</v>
      </c>
      <c r="D86" s="135"/>
      <c r="E86" s="133">
        <f t="shared" ref="E86:K86" si="12">+E12+E24+E30+E72+E80+E82+E19+E83</f>
        <v>55536584.400000006</v>
      </c>
      <c r="F86" s="133">
        <f t="shared" si="12"/>
        <v>0</v>
      </c>
      <c r="G86" s="133">
        <f t="shared" si="12"/>
        <v>555959.69999999995</v>
      </c>
      <c r="H86" s="133">
        <f t="shared" si="12"/>
        <v>-22206.17</v>
      </c>
      <c r="I86" s="134">
        <f t="shared" si="12"/>
        <v>56070337.930000007</v>
      </c>
      <c r="J86" s="133">
        <f t="shared" si="12"/>
        <v>0</v>
      </c>
      <c r="K86" s="134">
        <f t="shared" si="12"/>
        <v>56070337.93</v>
      </c>
      <c r="M86" s="45"/>
      <c r="N86" s="143"/>
      <c r="S86" s="18"/>
    </row>
    <row r="87" spans="1:20" x14ac:dyDescent="0.2">
      <c r="A87" s="105"/>
      <c r="B87" s="18"/>
      <c r="C87" s="18"/>
      <c r="D87" s="12"/>
      <c r="E87" s="49"/>
      <c r="F87" s="50"/>
      <c r="G87" s="145"/>
      <c r="H87" s="50"/>
      <c r="I87" s="115"/>
      <c r="J87" s="30"/>
      <c r="K87" s="115"/>
      <c r="M87" s="45"/>
      <c r="S87" s="18"/>
    </row>
    <row r="88" spans="1:20" s="22" customFormat="1" x14ac:dyDescent="0.2">
      <c r="A88" s="106"/>
      <c r="B88" s="21" t="s">
        <v>130</v>
      </c>
      <c r="C88" s="46"/>
      <c r="D88" s="27"/>
      <c r="E88" s="60"/>
      <c r="F88" s="50"/>
      <c r="G88" s="145"/>
      <c r="H88" s="145"/>
      <c r="I88" s="113"/>
      <c r="J88" s="19"/>
      <c r="K88" s="113"/>
      <c r="M88" s="19"/>
      <c r="N88" s="20"/>
      <c r="O88" s="48"/>
      <c r="R88" s="57"/>
      <c r="S88" s="57"/>
    </row>
    <row r="89" spans="1:20" x14ac:dyDescent="0.2">
      <c r="A89" s="100" t="s">
        <v>114</v>
      </c>
      <c r="B89" s="18"/>
      <c r="C89" s="28" t="s">
        <v>52</v>
      </c>
      <c r="D89" s="4" t="s">
        <v>114</v>
      </c>
      <c r="E89" s="29">
        <f>VLOOKUP(A89,'DEK Jun 2015'!$A$1:$I$252,9,FALSE)</f>
        <v>-879743.40999999992</v>
      </c>
      <c r="F89" s="30">
        <v>0</v>
      </c>
      <c r="G89" s="33">
        <v>291296.51</v>
      </c>
      <c r="H89" s="33">
        <v>-24548.87</v>
      </c>
      <c r="I89" s="115">
        <f t="shared" ref="I89:I94" si="13">E89+F89+G89+H89</f>
        <v>-612995.7699999999</v>
      </c>
      <c r="J89" s="30">
        <v>0</v>
      </c>
      <c r="K89" s="115">
        <f t="shared" ref="K89:K94" si="14">I89+J89</f>
        <v>-612995.7699999999</v>
      </c>
      <c r="L89" s="4" t="s">
        <v>22</v>
      </c>
      <c r="M89" s="33"/>
      <c r="N89" s="42"/>
      <c r="O89" s="42"/>
      <c r="S89" s="18">
        <v>191400</v>
      </c>
      <c r="T89" s="58"/>
    </row>
    <row r="90" spans="1:20" x14ac:dyDescent="0.2">
      <c r="A90" s="100" t="s">
        <v>115</v>
      </c>
      <c r="B90" s="18"/>
      <c r="C90" s="28" t="s">
        <v>53</v>
      </c>
      <c r="D90" s="4" t="s">
        <v>115</v>
      </c>
      <c r="E90" s="29">
        <f>VLOOKUP(A90,'DEK Jun 2015'!$A$1:$I$252,9,FALSE)</f>
        <v>-438480</v>
      </c>
      <c r="F90" s="30">
        <v>0</v>
      </c>
      <c r="G90" s="33">
        <v>63044</v>
      </c>
      <c r="H90" s="33">
        <v>0</v>
      </c>
      <c r="I90" s="115">
        <f t="shared" si="13"/>
        <v>-375436</v>
      </c>
      <c r="J90" s="30">
        <v>0</v>
      </c>
      <c r="K90" s="115">
        <f t="shared" si="14"/>
        <v>-375436</v>
      </c>
      <c r="L90" s="4" t="s">
        <v>22</v>
      </c>
      <c r="M90" s="30"/>
      <c r="N90" s="42"/>
      <c r="O90" s="42"/>
      <c r="S90" s="18">
        <v>191800</v>
      </c>
      <c r="T90" s="58"/>
    </row>
    <row r="91" spans="1:20" ht="12.75" customHeight="1" x14ac:dyDescent="0.2">
      <c r="A91" s="100" t="s">
        <v>117</v>
      </c>
      <c r="B91" s="18"/>
      <c r="C91" s="28" t="s">
        <v>77</v>
      </c>
      <c r="D91" s="4" t="s">
        <v>117</v>
      </c>
      <c r="E91" s="29">
        <f>VLOOKUP(A91,'DEK Jun 2015'!$A$1:$I$252,9,FALSE)</f>
        <v>-820861</v>
      </c>
      <c r="F91" s="30">
        <v>0</v>
      </c>
      <c r="G91" s="30">
        <v>0</v>
      </c>
      <c r="H91" s="33">
        <v>0</v>
      </c>
      <c r="I91" s="115">
        <f t="shared" si="13"/>
        <v>-820861</v>
      </c>
      <c r="J91" s="30">
        <v>0</v>
      </c>
      <c r="K91" s="115">
        <f t="shared" si="14"/>
        <v>-820861</v>
      </c>
      <c r="M91" s="20"/>
      <c r="N91" s="42"/>
      <c r="O91" s="42"/>
      <c r="S91" s="18">
        <v>242995</v>
      </c>
      <c r="T91" s="58"/>
    </row>
    <row r="92" spans="1:20" x14ac:dyDescent="0.2">
      <c r="A92" s="100" t="s">
        <v>119</v>
      </c>
      <c r="B92" s="18"/>
      <c r="C92" s="28" t="s">
        <v>118</v>
      </c>
      <c r="D92" s="4" t="s">
        <v>119</v>
      </c>
      <c r="E92" s="29">
        <f>VLOOKUP(A92,'DEK Jun 2015'!$A$1:$I$252,9,FALSE)</f>
        <v>-3850381.6400000006</v>
      </c>
      <c r="F92" s="30">
        <v>0</v>
      </c>
      <c r="G92" s="30">
        <v>364242.11</v>
      </c>
      <c r="H92" s="33">
        <v>0</v>
      </c>
      <c r="I92" s="115">
        <f t="shared" si="13"/>
        <v>-3486139.5300000007</v>
      </c>
      <c r="J92" s="30">
        <v>0</v>
      </c>
      <c r="K92" s="115">
        <f t="shared" si="14"/>
        <v>-3486139.5300000007</v>
      </c>
      <c r="M92" s="20"/>
      <c r="N92" s="42"/>
      <c r="O92" s="42"/>
      <c r="S92" s="18">
        <v>242997</v>
      </c>
      <c r="T92" s="58"/>
    </row>
    <row r="93" spans="1:20" x14ac:dyDescent="0.2">
      <c r="A93" s="100" t="s">
        <v>120</v>
      </c>
      <c r="B93" s="18"/>
      <c r="C93" s="28" t="s">
        <v>54</v>
      </c>
      <c r="D93" s="4" t="s">
        <v>120</v>
      </c>
      <c r="E93" s="29">
        <f>VLOOKUP(A93,'DEK Jun 2015'!$A$1:$I$252,9,FALSE)</f>
        <v>-408103.01999999996</v>
      </c>
      <c r="F93" s="33">
        <v>0</v>
      </c>
      <c r="G93" s="33">
        <v>0</v>
      </c>
      <c r="H93" s="33">
        <v>5161.88</v>
      </c>
      <c r="I93" s="115">
        <f t="shared" si="13"/>
        <v>-402941.13999999996</v>
      </c>
      <c r="J93" s="33">
        <v>0</v>
      </c>
      <c r="K93" s="115">
        <f t="shared" si="14"/>
        <v>-402941.13999999996</v>
      </c>
      <c r="L93" s="4" t="s">
        <v>22</v>
      </c>
      <c r="M93" s="42"/>
      <c r="N93" s="42"/>
      <c r="O93" s="42"/>
      <c r="S93" s="18">
        <v>253130</v>
      </c>
      <c r="T93" s="58"/>
    </row>
    <row r="94" spans="1:20" x14ac:dyDescent="0.2">
      <c r="A94" s="100" t="s">
        <v>156</v>
      </c>
      <c r="B94" s="18"/>
      <c r="C94" s="28" t="s">
        <v>116</v>
      </c>
      <c r="D94" s="4" t="s">
        <v>211</v>
      </c>
      <c r="E94" s="29">
        <f>VLOOKUP(A94,'DEK Jun 2015'!$A$1:$I$252,9,FALSE)</f>
        <v>-101883.44000000006</v>
      </c>
      <c r="F94" s="33"/>
      <c r="G94" s="30">
        <v>669950.29</v>
      </c>
      <c r="H94" s="33">
        <v>0</v>
      </c>
      <c r="I94" s="115">
        <f t="shared" si="13"/>
        <v>568066.85</v>
      </c>
      <c r="J94" s="30">
        <v>0</v>
      </c>
      <c r="K94" s="115">
        <f t="shared" si="14"/>
        <v>568066.85</v>
      </c>
      <c r="M94" s="42"/>
      <c r="N94" s="42"/>
      <c r="O94" s="42"/>
      <c r="S94" s="18"/>
      <c r="T94" s="58"/>
    </row>
    <row r="95" spans="1:20" x14ac:dyDescent="0.2">
      <c r="B95" s="18"/>
      <c r="C95" s="28"/>
      <c r="E95" s="36"/>
      <c r="F95" s="36"/>
      <c r="G95" s="150"/>
      <c r="H95" s="36"/>
      <c r="I95" s="116"/>
      <c r="J95" s="36"/>
      <c r="K95" s="116"/>
      <c r="M95" s="42"/>
      <c r="N95" s="42"/>
      <c r="O95" s="42"/>
      <c r="S95" s="18"/>
      <c r="T95" s="58"/>
    </row>
    <row r="96" spans="1:20" x14ac:dyDescent="0.2">
      <c r="B96" s="18"/>
      <c r="C96" s="61"/>
      <c r="D96" s="34"/>
      <c r="E96" s="33">
        <f t="shared" ref="E96:K96" si="15">SUM(E89:E95)</f>
        <v>-6499452.5100000007</v>
      </c>
      <c r="F96" s="33">
        <f t="shared" si="15"/>
        <v>0</v>
      </c>
      <c r="G96" s="33">
        <f t="shared" si="15"/>
        <v>1388532.9100000001</v>
      </c>
      <c r="H96" s="33">
        <f t="shared" si="15"/>
        <v>-19386.989999999998</v>
      </c>
      <c r="I96" s="122">
        <f t="shared" si="15"/>
        <v>-5130306.5900000008</v>
      </c>
      <c r="J96" s="33">
        <f t="shared" si="15"/>
        <v>0</v>
      </c>
      <c r="K96" s="122">
        <f t="shared" si="15"/>
        <v>-5130306.5900000008</v>
      </c>
      <c r="M96" s="42"/>
      <c r="N96" s="42"/>
      <c r="O96" s="42"/>
      <c r="S96" s="18"/>
      <c r="T96" s="58"/>
    </row>
    <row r="97" spans="1:23" hidden="1" x14ac:dyDescent="0.2">
      <c r="B97" s="21" t="s">
        <v>188</v>
      </c>
      <c r="C97" s="61"/>
      <c r="D97" s="34"/>
      <c r="E97" s="33"/>
      <c r="F97" s="33"/>
      <c r="G97" s="144"/>
      <c r="H97" s="33"/>
      <c r="I97" s="115"/>
      <c r="J97" s="33"/>
      <c r="K97" s="115"/>
      <c r="M97" s="42"/>
      <c r="N97" s="42"/>
      <c r="O97" s="42"/>
      <c r="S97" s="18"/>
      <c r="T97" s="58"/>
    </row>
    <row r="98" spans="1:23" hidden="1" x14ac:dyDescent="0.2">
      <c r="A98" s="100" t="s">
        <v>185</v>
      </c>
      <c r="B98" s="18"/>
      <c r="C98" s="28" t="s">
        <v>186</v>
      </c>
      <c r="D98" s="4" t="s">
        <v>213</v>
      </c>
      <c r="E98" s="29">
        <v>0</v>
      </c>
      <c r="F98" s="33">
        <v>0</v>
      </c>
      <c r="G98" s="144">
        <v>0</v>
      </c>
      <c r="H98" s="33">
        <v>0</v>
      </c>
      <c r="I98" s="115">
        <f>E98+F98+G98+H98</f>
        <v>0</v>
      </c>
      <c r="J98" s="33">
        <v>0</v>
      </c>
      <c r="K98" s="115">
        <f>I98+J98</f>
        <v>0</v>
      </c>
      <c r="M98" s="42"/>
      <c r="N98" s="42"/>
      <c r="O98" s="42"/>
      <c r="S98" s="18"/>
      <c r="T98" s="58"/>
    </row>
    <row r="99" spans="1:23" ht="12.75" hidden="1" customHeight="1" x14ac:dyDescent="0.2">
      <c r="A99" s="100" t="s">
        <v>181</v>
      </c>
      <c r="B99" s="18"/>
      <c r="C99" s="28" t="s">
        <v>182</v>
      </c>
      <c r="D99" s="4" t="s">
        <v>213</v>
      </c>
      <c r="E99" s="29">
        <f>VLOOKUP(A99,'[23]DEK Jun 2013'!$A$1:$I$252,9,FALSE)</f>
        <v>0</v>
      </c>
      <c r="F99" s="33">
        <v>0</v>
      </c>
      <c r="G99" s="144">
        <v>0</v>
      </c>
      <c r="H99" s="33">
        <v>0</v>
      </c>
      <c r="I99" s="115">
        <f>E99+F99+G99+H99</f>
        <v>0</v>
      </c>
      <c r="J99" s="30">
        <v>0</v>
      </c>
      <c r="K99" s="115">
        <f>I99+J99</f>
        <v>0</v>
      </c>
      <c r="L99" s="4" t="s">
        <v>22</v>
      </c>
      <c r="M99" s="42"/>
      <c r="N99" s="42"/>
      <c r="O99" s="42"/>
      <c r="S99" s="18">
        <v>253130</v>
      </c>
      <c r="T99" s="58"/>
    </row>
    <row r="100" spans="1:23" hidden="1" x14ac:dyDescent="0.2">
      <c r="B100" s="18"/>
      <c r="C100" s="28"/>
      <c r="E100" s="36"/>
      <c r="F100" s="36"/>
      <c r="G100" s="150"/>
      <c r="H100" s="36"/>
      <c r="I100" s="116"/>
      <c r="J100" s="36"/>
      <c r="K100" s="116"/>
      <c r="M100" s="42"/>
      <c r="N100" s="42"/>
      <c r="O100" s="42"/>
      <c r="S100" s="18"/>
      <c r="T100" s="58"/>
    </row>
    <row r="101" spans="1:23" hidden="1" x14ac:dyDescent="0.2">
      <c r="B101" s="18"/>
      <c r="C101" s="28"/>
      <c r="E101" s="33">
        <f>SUM(E98:E99)</f>
        <v>0</v>
      </c>
      <c r="F101" s="33">
        <f t="shared" ref="F101:L101" si="16">SUM(F98:F99)</f>
        <v>0</v>
      </c>
      <c r="G101" s="144">
        <f t="shared" si="16"/>
        <v>0</v>
      </c>
      <c r="H101" s="33">
        <f t="shared" si="16"/>
        <v>0</v>
      </c>
      <c r="I101" s="128">
        <f>SUM(I98:I99)</f>
        <v>0</v>
      </c>
      <c r="J101" s="33">
        <f t="shared" si="16"/>
        <v>0</v>
      </c>
      <c r="K101" s="128">
        <f t="shared" si="16"/>
        <v>0</v>
      </c>
      <c r="L101" s="33">
        <f t="shared" si="16"/>
        <v>0</v>
      </c>
      <c r="M101" s="42"/>
      <c r="N101" s="42"/>
      <c r="O101" s="42"/>
      <c r="S101" s="18"/>
      <c r="T101" s="58"/>
    </row>
    <row r="102" spans="1:23" x14ac:dyDescent="0.2">
      <c r="B102" s="18"/>
      <c r="C102" s="61"/>
      <c r="D102" s="34"/>
      <c r="E102" s="33"/>
      <c r="F102" s="33"/>
      <c r="G102" s="144"/>
      <c r="H102" s="33"/>
      <c r="I102" s="115"/>
      <c r="J102" s="33"/>
      <c r="K102" s="115"/>
      <c r="M102" s="42"/>
      <c r="N102" s="42"/>
      <c r="O102" s="42"/>
      <c r="S102" s="18"/>
      <c r="T102" s="58"/>
    </row>
    <row r="103" spans="1:23" s="22" customFormat="1" x14ac:dyDescent="0.2">
      <c r="A103" s="101"/>
      <c r="B103" s="21" t="s">
        <v>214</v>
      </c>
      <c r="C103" s="63"/>
      <c r="D103" s="64"/>
      <c r="E103" s="33"/>
      <c r="F103" s="30"/>
      <c r="G103" s="152" t="s">
        <v>187</v>
      </c>
      <c r="H103" s="30"/>
      <c r="I103" s="113"/>
      <c r="J103" s="19"/>
      <c r="K103" s="113"/>
      <c r="M103" s="19"/>
      <c r="N103" s="42"/>
      <c r="O103" s="48"/>
      <c r="T103" s="46"/>
      <c r="U103" s="46"/>
    </row>
    <row r="104" spans="1:23" x14ac:dyDescent="0.2">
      <c r="A104" s="100" t="s">
        <v>162</v>
      </c>
      <c r="B104" s="18"/>
      <c r="C104" s="28" t="s">
        <v>76</v>
      </c>
      <c r="D104" s="4" t="s">
        <v>194</v>
      </c>
      <c r="E104" s="29">
        <f>VLOOKUP(A104,'DEK Jun 2015'!$A$1:$I$252,9,FALSE)</f>
        <v>-3636910.63</v>
      </c>
      <c r="F104" s="30">
        <v>0</v>
      </c>
      <c r="G104" s="130">
        <v>33028</v>
      </c>
      <c r="H104" s="130">
        <v>0</v>
      </c>
      <c r="I104" s="186">
        <f>E104+G104+H104+F104</f>
        <v>-3603882.63</v>
      </c>
      <c r="J104" s="91">
        <v>0</v>
      </c>
      <c r="K104" s="122">
        <f>I104+J104</f>
        <v>-3603882.63</v>
      </c>
      <c r="L104" s="66"/>
      <c r="M104" s="67"/>
      <c r="P104" s="51"/>
      <c r="Q104" s="18"/>
      <c r="R104" s="58"/>
      <c r="S104" s="18"/>
    </row>
    <row r="105" spans="1:23" ht="15" x14ac:dyDescent="0.25">
      <c r="B105" s="18"/>
      <c r="C105" s="28"/>
      <c r="D105" s="65"/>
      <c r="E105" s="30"/>
      <c r="F105" s="30"/>
      <c r="G105" s="144"/>
      <c r="H105" s="33"/>
      <c r="I105" s="126"/>
      <c r="J105" s="1"/>
      <c r="K105" s="126"/>
      <c r="L105" s="66"/>
      <c r="M105" s="67"/>
      <c r="P105" s="51"/>
      <c r="Q105" s="18"/>
      <c r="R105" s="58"/>
      <c r="S105" s="18"/>
    </row>
    <row r="106" spans="1:23" x14ac:dyDescent="0.2">
      <c r="B106" s="21" t="s">
        <v>227</v>
      </c>
      <c r="C106" s="28"/>
      <c r="E106" s="30"/>
      <c r="F106" s="30"/>
      <c r="G106" s="152"/>
      <c r="H106" s="30"/>
      <c r="I106" s="115"/>
      <c r="J106" s="30"/>
      <c r="K106" s="115"/>
      <c r="M106" s="20"/>
      <c r="N106" s="42"/>
      <c r="O106" s="42"/>
      <c r="R106" s="58"/>
      <c r="S106" s="18"/>
      <c r="T106" s="58"/>
    </row>
    <row r="107" spans="1:23" x14ac:dyDescent="0.2">
      <c r="A107" s="100" t="s">
        <v>163</v>
      </c>
      <c r="B107" s="18"/>
      <c r="C107" s="28" t="s">
        <v>48</v>
      </c>
      <c r="D107" s="4" t="s">
        <v>195</v>
      </c>
      <c r="E107" s="29">
        <f>VLOOKUP(A107,'DEK Jun 2015'!$A$1:$I$252,9,FALSE)</f>
        <v>0</v>
      </c>
      <c r="F107" s="30">
        <v>0</v>
      </c>
      <c r="G107" s="130">
        <v>0</v>
      </c>
      <c r="H107" s="130">
        <v>0</v>
      </c>
      <c r="I107" s="115">
        <f>E107+F107+G107+H107</f>
        <v>0</v>
      </c>
      <c r="J107" s="30">
        <v>0</v>
      </c>
      <c r="K107" s="115">
        <f t="shared" ref="K107:K109" si="17">I107+J107</f>
        <v>0</v>
      </c>
      <c r="M107" s="62"/>
      <c r="P107" s="51"/>
      <c r="Q107" s="18"/>
      <c r="R107" s="58"/>
      <c r="S107" s="18">
        <v>254998</v>
      </c>
    </row>
    <row r="108" spans="1:23" x14ac:dyDescent="0.2">
      <c r="A108" s="100" t="s">
        <v>179</v>
      </c>
      <c r="B108" s="18"/>
      <c r="C108" s="28" t="s">
        <v>47</v>
      </c>
      <c r="D108" s="4" t="s">
        <v>196</v>
      </c>
      <c r="E108" s="29">
        <f>VLOOKUP(A108,'DEK Jun 2015'!$A$1:$I$252,9,FALSE)</f>
        <v>0</v>
      </c>
      <c r="F108" s="30">
        <v>0</v>
      </c>
      <c r="G108" s="129">
        <v>0</v>
      </c>
      <c r="H108" s="130">
        <v>0</v>
      </c>
      <c r="I108" s="115">
        <f>E108+F108+G108+H108</f>
        <v>0</v>
      </c>
      <c r="J108" s="30">
        <v>0</v>
      </c>
      <c r="K108" s="115">
        <f t="shared" si="17"/>
        <v>0</v>
      </c>
      <c r="M108" s="62"/>
      <c r="P108" s="51"/>
      <c r="Q108" s="18"/>
      <c r="R108" s="58"/>
      <c r="S108" s="18">
        <v>254998</v>
      </c>
      <c r="W108" s="47"/>
    </row>
    <row r="109" spans="1:23" x14ac:dyDescent="0.2">
      <c r="A109" s="100" t="s">
        <v>164</v>
      </c>
      <c r="B109" s="18"/>
      <c r="C109" s="28" t="s">
        <v>75</v>
      </c>
      <c r="D109" s="4" t="s">
        <v>215</v>
      </c>
      <c r="E109" s="29">
        <f>VLOOKUP(A109,'DEK Jun 2015'!$A$1:$I$252,9,FALSE)</f>
        <v>-16487.040000000005</v>
      </c>
      <c r="F109" s="30">
        <v>0</v>
      </c>
      <c r="G109" s="130">
        <v>50.49</v>
      </c>
      <c r="H109" s="130">
        <v>0</v>
      </c>
      <c r="I109" s="122">
        <f>E109+F109+G109+H109</f>
        <v>-16436.550000000003</v>
      </c>
      <c r="J109" s="30">
        <v>0</v>
      </c>
      <c r="K109" s="122">
        <f t="shared" si="17"/>
        <v>-16436.550000000003</v>
      </c>
      <c r="M109" s="62"/>
      <c r="P109" s="51"/>
      <c r="Q109" s="18"/>
      <c r="R109" s="58"/>
      <c r="S109" s="18">
        <v>254210</v>
      </c>
    </row>
    <row r="110" spans="1:23" x14ac:dyDescent="0.2">
      <c r="B110" s="18"/>
      <c r="C110" s="28"/>
      <c r="D110" s="65"/>
      <c r="E110" s="36"/>
      <c r="F110" s="36"/>
      <c r="G110" s="150"/>
      <c r="H110" s="36"/>
      <c r="I110" s="116"/>
      <c r="J110" s="36"/>
      <c r="K110" s="116"/>
      <c r="M110" s="62"/>
      <c r="P110" s="51"/>
      <c r="Q110" s="18"/>
      <c r="R110" s="58"/>
      <c r="S110" s="18"/>
    </row>
    <row r="111" spans="1:23" x14ac:dyDescent="0.2">
      <c r="B111" s="18"/>
      <c r="C111" s="28"/>
      <c r="E111" s="30">
        <f t="shared" ref="E111" si="18">SUM(E107:E110)</f>
        <v>-16487.040000000005</v>
      </c>
      <c r="F111" s="30">
        <f t="shared" ref="F111:K111" si="19">SUM(F107:F110)</f>
        <v>0</v>
      </c>
      <c r="G111" s="30">
        <f t="shared" si="19"/>
        <v>50.49</v>
      </c>
      <c r="H111" s="30">
        <f t="shared" si="19"/>
        <v>0</v>
      </c>
      <c r="I111" s="115">
        <f t="shared" si="19"/>
        <v>-16436.550000000003</v>
      </c>
      <c r="J111" s="30">
        <f t="shared" si="19"/>
        <v>0</v>
      </c>
      <c r="K111" s="115">
        <f t="shared" si="19"/>
        <v>-16436.550000000003</v>
      </c>
      <c r="M111" s="20"/>
      <c r="N111" s="42"/>
      <c r="O111" s="42"/>
      <c r="R111" s="58"/>
      <c r="S111" s="18"/>
      <c r="T111" s="58"/>
    </row>
    <row r="112" spans="1:23" x14ac:dyDescent="0.2">
      <c r="B112" s="21" t="s">
        <v>216</v>
      </c>
      <c r="C112" s="28"/>
      <c r="E112" s="30"/>
      <c r="F112" s="30"/>
      <c r="G112" s="152"/>
      <c r="H112" s="30"/>
      <c r="I112" s="115"/>
      <c r="J112" s="30"/>
      <c r="K112" s="115"/>
      <c r="M112" s="20"/>
      <c r="N112" s="42"/>
      <c r="O112" s="42"/>
      <c r="R112" s="58"/>
      <c r="S112" s="18"/>
      <c r="T112" s="58"/>
    </row>
    <row r="113" spans="1:22" x14ac:dyDescent="0.2">
      <c r="A113" s="100" t="s">
        <v>165</v>
      </c>
      <c r="B113" s="18"/>
      <c r="C113" s="28" t="s">
        <v>45</v>
      </c>
      <c r="D113" s="4" t="s">
        <v>197</v>
      </c>
      <c r="E113" s="29">
        <f>VLOOKUP(A113,'DEK Jun 2015'!$A$1:$I$252,9,FALSE)</f>
        <v>-17207646.300000001</v>
      </c>
      <c r="F113" s="30">
        <v>0</v>
      </c>
      <c r="G113" s="129">
        <v>-56916.91</v>
      </c>
      <c r="H113" s="129">
        <v>0</v>
      </c>
      <c r="I113" s="115">
        <f t="shared" ref="I113:I118" si="20">E113+F113+G113+H113</f>
        <v>-17264563.210000001</v>
      </c>
      <c r="J113" s="30">
        <v>0</v>
      </c>
      <c r="K113" s="115">
        <f t="shared" ref="K113:K118" si="21">I113+J113</f>
        <v>-17264563.210000001</v>
      </c>
      <c r="L113" s="4" t="s">
        <v>43</v>
      </c>
      <c r="M113" s="20"/>
      <c r="N113" s="42"/>
      <c r="O113" s="42"/>
      <c r="Q113" s="184">
        <v>75086</v>
      </c>
      <c r="R113" s="58" t="s">
        <v>44</v>
      </c>
      <c r="S113" s="18">
        <v>108201</v>
      </c>
      <c r="T113" s="58"/>
    </row>
    <row r="114" spans="1:22" x14ac:dyDescent="0.2">
      <c r="A114" s="100" t="s">
        <v>166</v>
      </c>
      <c r="B114" s="18"/>
      <c r="C114" s="28" t="s">
        <v>45</v>
      </c>
      <c r="D114" s="4" t="s">
        <v>198</v>
      </c>
      <c r="E114" s="29">
        <f>VLOOKUP(A114,'DEK Jun 2015'!$A$1:$I$252,9,FALSE)</f>
        <v>-46310550.770000003</v>
      </c>
      <c r="F114" s="30">
        <v>0</v>
      </c>
      <c r="G114" s="129">
        <f>-200286.23+-32777.06+-166484.54+11140.12</f>
        <v>-388407.71</v>
      </c>
      <c r="H114" s="129">
        <v>0</v>
      </c>
      <c r="I114" s="115">
        <f t="shared" si="20"/>
        <v>-46698958.480000004</v>
      </c>
      <c r="J114" s="30">
        <v>0</v>
      </c>
      <c r="K114" s="115">
        <f t="shared" si="21"/>
        <v>-46698958.480000004</v>
      </c>
      <c r="L114" s="4" t="s">
        <v>43</v>
      </c>
      <c r="M114" s="20"/>
      <c r="N114" s="42"/>
      <c r="O114" s="42"/>
      <c r="R114" s="58" t="s">
        <v>44</v>
      </c>
      <c r="S114" s="18">
        <v>108301</v>
      </c>
      <c r="T114" s="58"/>
    </row>
    <row r="115" spans="1:22" x14ac:dyDescent="0.2">
      <c r="A115" s="100" t="s">
        <v>167</v>
      </c>
      <c r="B115" s="18"/>
      <c r="C115" s="28" t="s">
        <v>46</v>
      </c>
      <c r="D115" s="4" t="s">
        <v>199</v>
      </c>
      <c r="E115" s="29">
        <f>VLOOKUP(A115,'DEK Jun 2015'!$A$1:$I$252,9,FALSE)</f>
        <v>10052104.339999998</v>
      </c>
      <c r="F115" s="30">
        <v>0</v>
      </c>
      <c r="G115" s="129">
        <v>210452.39</v>
      </c>
      <c r="H115" s="129">
        <v>0</v>
      </c>
      <c r="I115" s="115">
        <f t="shared" si="20"/>
        <v>10262556.729999999</v>
      </c>
      <c r="J115" s="30">
        <v>0</v>
      </c>
      <c r="K115" s="115">
        <f>I115+J115</f>
        <v>10262556.729999999</v>
      </c>
      <c r="L115" s="4" t="s">
        <v>43</v>
      </c>
      <c r="M115" s="20"/>
      <c r="N115" s="42"/>
      <c r="O115" s="42"/>
      <c r="S115" s="18">
        <v>108410</v>
      </c>
      <c r="T115" s="58"/>
    </row>
    <row r="116" spans="1:22" x14ac:dyDescent="0.2">
      <c r="A116" s="100" t="s">
        <v>168</v>
      </c>
      <c r="B116" s="18"/>
      <c r="C116" s="28" t="s">
        <v>74</v>
      </c>
      <c r="D116" s="4" t="s">
        <v>217</v>
      </c>
      <c r="E116" s="29">
        <f>VLOOKUP(A116,'DEK Jun 2015'!$A$1:$I$252,9,FALSE)</f>
        <v>2145931.19</v>
      </c>
      <c r="F116" s="30">
        <v>0</v>
      </c>
      <c r="G116" s="129">
        <v>20750.509999999998</v>
      </c>
      <c r="H116" s="129">
        <v>0</v>
      </c>
      <c r="I116" s="115">
        <f t="shared" si="20"/>
        <v>2166681.6999999997</v>
      </c>
      <c r="J116" s="30">
        <v>0</v>
      </c>
      <c r="K116" s="115">
        <f>I116+J116</f>
        <v>2166681.6999999997</v>
      </c>
      <c r="M116" s="20"/>
      <c r="N116" s="42"/>
      <c r="O116" s="42"/>
      <c r="Q116" s="4" t="s">
        <v>50</v>
      </c>
      <c r="R116" s="4" t="s">
        <v>51</v>
      </c>
      <c r="S116" s="18">
        <v>182303</v>
      </c>
      <c r="T116" s="58"/>
    </row>
    <row r="117" spans="1:22" x14ac:dyDescent="0.2">
      <c r="A117" s="100" t="s">
        <v>169</v>
      </c>
      <c r="B117" s="18"/>
      <c r="C117" s="28" t="s">
        <v>49</v>
      </c>
      <c r="D117" s="4" t="s">
        <v>218</v>
      </c>
      <c r="E117" s="29">
        <f>VLOOKUP(A117,'DEK Jun 2015'!$A$1:$I$252,9,FALSE)</f>
        <v>4180066.1100000013</v>
      </c>
      <c r="F117" s="30">
        <v>0</v>
      </c>
      <c r="G117" s="129">
        <v>21613.59</v>
      </c>
      <c r="H117" s="129">
        <v>0</v>
      </c>
      <c r="I117" s="115">
        <f t="shared" si="20"/>
        <v>4201679.7000000011</v>
      </c>
      <c r="J117" s="30">
        <v>0</v>
      </c>
      <c r="K117" s="115">
        <f t="shared" si="21"/>
        <v>4201679.7000000011</v>
      </c>
      <c r="M117" s="20"/>
      <c r="N117" s="42"/>
      <c r="O117" s="42"/>
      <c r="Q117" s="4" t="s">
        <v>50</v>
      </c>
      <c r="S117" s="18">
        <v>182304</v>
      </c>
      <c r="T117" s="58"/>
    </row>
    <row r="118" spans="1:22" x14ac:dyDescent="0.2">
      <c r="A118" s="100" t="s">
        <v>170</v>
      </c>
      <c r="B118" s="18"/>
      <c r="C118" s="28" t="s">
        <v>42</v>
      </c>
      <c r="D118" s="4" t="s">
        <v>200</v>
      </c>
      <c r="E118" s="29">
        <f>VLOOKUP(A118,'DEK Jun 2015'!$A$1:$I$252,9,FALSE)</f>
        <v>-112389.09000000001</v>
      </c>
      <c r="F118" s="30">
        <v>0</v>
      </c>
      <c r="G118" s="129">
        <v>-5932.49</v>
      </c>
      <c r="H118" s="129">
        <v>0</v>
      </c>
      <c r="I118" s="115">
        <f t="shared" si="20"/>
        <v>-118321.58000000002</v>
      </c>
      <c r="J118" s="30">
        <v>0</v>
      </c>
      <c r="K118" s="115">
        <f t="shared" si="21"/>
        <v>-118321.58000000002</v>
      </c>
      <c r="L118" s="4" t="s">
        <v>43</v>
      </c>
      <c r="M118" s="20"/>
      <c r="N118" s="42"/>
      <c r="O118" s="42"/>
      <c r="R118" s="58" t="s">
        <v>44</v>
      </c>
      <c r="S118" s="18">
        <v>108101</v>
      </c>
      <c r="T118" s="58"/>
    </row>
    <row r="119" spans="1:22" x14ac:dyDescent="0.2">
      <c r="B119" s="18"/>
      <c r="C119" s="28"/>
      <c r="E119" s="36"/>
      <c r="F119" s="36"/>
      <c r="G119" s="150"/>
      <c r="H119" s="36"/>
      <c r="I119" s="127"/>
      <c r="J119" s="68"/>
      <c r="K119" s="127"/>
      <c r="M119" s="62"/>
      <c r="P119" s="51"/>
      <c r="Q119" s="18"/>
      <c r="R119" s="58"/>
      <c r="S119" s="18">
        <v>254401</v>
      </c>
    </row>
    <row r="120" spans="1:22" x14ac:dyDescent="0.2">
      <c r="B120" s="18"/>
      <c r="C120" s="28"/>
      <c r="E120" s="33">
        <f t="shared" ref="E120:K120" si="22">SUM(E113:E119)</f>
        <v>-47252484.520000018</v>
      </c>
      <c r="F120" s="33">
        <f t="shared" si="22"/>
        <v>0</v>
      </c>
      <c r="G120" s="33">
        <f t="shared" si="22"/>
        <v>-198440.61999999997</v>
      </c>
      <c r="H120" s="33">
        <f t="shared" si="22"/>
        <v>0</v>
      </c>
      <c r="I120" s="122">
        <f t="shared" si="22"/>
        <v>-47450925.140000001</v>
      </c>
      <c r="J120" s="33">
        <f t="shared" si="22"/>
        <v>0</v>
      </c>
      <c r="K120" s="122">
        <f t="shared" si="22"/>
        <v>-47450925.140000001</v>
      </c>
      <c r="M120" s="62"/>
      <c r="P120" s="51"/>
      <c r="Q120" s="18"/>
      <c r="R120" s="58"/>
      <c r="S120" s="18"/>
    </row>
    <row r="121" spans="1:22" ht="15" x14ac:dyDescent="0.25">
      <c r="B121" s="18"/>
      <c r="C121" s="28"/>
      <c r="D121" s="65"/>
      <c r="E121" s="30"/>
      <c r="F121" s="30"/>
      <c r="G121" s="144"/>
      <c r="H121" s="33"/>
      <c r="I121" s="126"/>
      <c r="J121" s="1"/>
      <c r="K121" s="126"/>
      <c r="L121" s="66"/>
      <c r="M121" s="67"/>
      <c r="P121" s="51"/>
      <c r="Q121" s="18"/>
      <c r="R121" s="58"/>
      <c r="S121" s="18"/>
    </row>
    <row r="122" spans="1:22" x14ac:dyDescent="0.2">
      <c r="A122" s="105" t="s">
        <v>55</v>
      </c>
      <c r="B122" s="18"/>
      <c r="C122" s="131" t="s">
        <v>55</v>
      </c>
      <c r="D122" s="132"/>
      <c r="E122" s="133">
        <f>+E96+E104+E111+E120+E101</f>
        <v>-57405334.700000018</v>
      </c>
      <c r="F122" s="133">
        <f t="shared" ref="F122:H122" si="23">+F96+F104+F111+F120+F101</f>
        <v>0</v>
      </c>
      <c r="G122" s="133">
        <f t="shared" si="23"/>
        <v>1223170.7800000003</v>
      </c>
      <c r="H122" s="133">
        <f t="shared" si="23"/>
        <v>-19386.989999999998</v>
      </c>
      <c r="I122" s="134">
        <f>+I96+I104+I111+I120+I101</f>
        <v>-56201550.910000004</v>
      </c>
      <c r="J122" s="133">
        <f>+J96+J104+J111+J120+J101</f>
        <v>0</v>
      </c>
      <c r="K122" s="134">
        <f>+K96+K104+K111+K120+K101</f>
        <v>-56201550.910000004</v>
      </c>
      <c r="M122" s="20"/>
      <c r="N122" s="69"/>
      <c r="R122" s="58"/>
      <c r="S122" s="18"/>
    </row>
    <row r="123" spans="1:22" x14ac:dyDescent="0.2">
      <c r="A123" s="105"/>
      <c r="B123" s="18"/>
      <c r="C123" s="18"/>
      <c r="D123" s="12"/>
      <c r="E123" s="49"/>
      <c r="F123" s="50"/>
      <c r="G123" s="145"/>
      <c r="H123" s="50"/>
      <c r="I123" s="122"/>
      <c r="J123" s="50"/>
      <c r="K123" s="122"/>
      <c r="M123" s="45"/>
      <c r="S123" s="18"/>
    </row>
    <row r="124" spans="1:22" x14ac:dyDescent="0.2">
      <c r="A124" s="105" t="s">
        <v>56</v>
      </c>
      <c r="B124" s="18"/>
      <c r="C124" s="18"/>
      <c r="D124" s="136" t="s">
        <v>219</v>
      </c>
      <c r="E124" s="137">
        <f>E122+E86</f>
        <v>-1868750.3000000119</v>
      </c>
      <c r="F124" s="137">
        <f>F122+F86</f>
        <v>0</v>
      </c>
      <c r="G124" s="137">
        <f>G122+G86</f>
        <v>1779130.4800000002</v>
      </c>
      <c r="H124" s="137">
        <f>H122+H86</f>
        <v>-41593.159999999996</v>
      </c>
      <c r="I124" s="138">
        <f>I86+I122</f>
        <v>-131212.97999999672</v>
      </c>
      <c r="J124" s="137">
        <f>J122+J86</f>
        <v>0</v>
      </c>
      <c r="K124" s="138">
        <f>K86+K122</f>
        <v>-131212.98000000417</v>
      </c>
      <c r="L124" s="50">
        <v>0</v>
      </c>
      <c r="M124" s="70"/>
      <c r="N124" s="70"/>
      <c r="O124" s="70"/>
      <c r="P124" s="50"/>
      <c r="Q124" s="50"/>
      <c r="R124" s="50"/>
      <c r="S124" s="18"/>
      <c r="T124" s="29">
        <f>+G124+H124+F124</f>
        <v>1737537.3200000003</v>
      </c>
      <c r="U124" s="19">
        <v>13111056.41</v>
      </c>
      <c r="V124" s="29">
        <f>+T124-U124</f>
        <v>-11373519.09</v>
      </c>
    </row>
    <row r="125" spans="1:22" hidden="1" x14ac:dyDescent="0.2">
      <c r="A125" s="105"/>
      <c r="B125" s="18"/>
      <c r="C125" s="18"/>
      <c r="D125" s="12"/>
      <c r="E125" s="49"/>
      <c r="F125" s="50"/>
      <c r="G125" s="145"/>
      <c r="H125" s="50"/>
      <c r="I125" s="50"/>
      <c r="J125" s="50"/>
      <c r="K125" s="50"/>
      <c r="M125" s="45"/>
      <c r="S125" s="18"/>
    </row>
    <row r="126" spans="1:22" s="75" customFormat="1" ht="12.75" hidden="1" customHeight="1" x14ac:dyDescent="0.2">
      <c r="A126" s="107" t="s">
        <v>57</v>
      </c>
      <c r="B126" s="71"/>
      <c r="C126" s="18"/>
      <c r="D126" s="140" t="s">
        <v>57</v>
      </c>
      <c r="E126" s="141"/>
      <c r="F126" s="142"/>
      <c r="G126" s="163">
        <f>-G118-G113-G114-G115-G116-G117-G76-G16-G107-G30-G22-G53-G109-G77-G78-G104-G108-G52</f>
        <v>441291.88</v>
      </c>
      <c r="H126" s="139">
        <f>-H118-H113-H114-H115-H116-H117-H76-H16-H107-H30-H22-H53-H109-H77-H78-H104-H108-H52</f>
        <v>22206.17</v>
      </c>
      <c r="I126" s="74"/>
      <c r="J126" s="74"/>
      <c r="K126" s="74"/>
      <c r="M126" s="76"/>
      <c r="N126" s="77"/>
      <c r="O126" s="77"/>
      <c r="S126" s="18"/>
    </row>
    <row r="127" spans="1:22" ht="12.75" customHeight="1" x14ac:dyDescent="0.2">
      <c r="A127" s="107"/>
      <c r="B127" s="18"/>
      <c r="C127" s="18"/>
      <c r="D127" s="72"/>
      <c r="E127" s="73"/>
      <c r="F127" s="50"/>
      <c r="G127" s="185">
        <f>G124+H124</f>
        <v>1737537.3200000003</v>
      </c>
      <c r="H127" s="50"/>
      <c r="I127" s="50"/>
      <c r="J127" s="50"/>
      <c r="K127" s="50"/>
      <c r="M127" s="20"/>
      <c r="S127" s="18"/>
    </row>
    <row r="128" spans="1:22" ht="12.75" hidden="1" customHeight="1" x14ac:dyDescent="0.2">
      <c r="A128" s="107" t="s">
        <v>58</v>
      </c>
      <c r="B128" s="18"/>
      <c r="C128" s="71"/>
      <c r="D128" s="72" t="s">
        <v>58</v>
      </c>
      <c r="E128" s="73"/>
      <c r="F128" s="50"/>
      <c r="G128" s="145">
        <f>G124+G126</f>
        <v>2220422.3600000003</v>
      </c>
      <c r="H128" s="50">
        <f>H124+H126</f>
        <v>-19386.989999999998</v>
      </c>
      <c r="I128" s="50"/>
      <c r="J128" s="50"/>
      <c r="K128" s="50"/>
      <c r="M128" s="20"/>
      <c r="S128" s="71"/>
    </row>
    <row r="129" spans="1:19" ht="12.75" hidden="1" customHeight="1" x14ac:dyDescent="0.2">
      <c r="A129" s="107"/>
      <c r="B129" s="18"/>
      <c r="C129" s="18"/>
      <c r="D129" s="72"/>
      <c r="E129" s="73"/>
      <c r="F129" s="50"/>
      <c r="G129" s="145"/>
      <c r="H129" s="50"/>
      <c r="I129" s="50"/>
      <c r="J129" s="50"/>
      <c r="K129" s="50"/>
      <c r="M129" s="20"/>
      <c r="S129" s="18"/>
    </row>
    <row r="130" spans="1:19" ht="12.75" hidden="1" customHeight="1" x14ac:dyDescent="0.2">
      <c r="A130" s="107" t="s">
        <v>59</v>
      </c>
      <c r="B130" s="18"/>
      <c r="C130" s="18"/>
      <c r="D130" s="72" t="s">
        <v>59</v>
      </c>
      <c r="E130" s="73"/>
      <c r="F130" s="50"/>
      <c r="G130" s="145">
        <f>+G124+H124+G126+H126</f>
        <v>2201035.37</v>
      </c>
      <c r="H130" s="50"/>
      <c r="I130" s="50"/>
      <c r="J130" s="50"/>
      <c r="K130" s="50"/>
      <c r="M130" s="20"/>
      <c r="S130" s="18"/>
    </row>
    <row r="131" spans="1:19" hidden="1" x14ac:dyDescent="0.2">
      <c r="B131" s="18"/>
      <c r="C131" s="18"/>
      <c r="E131" s="29"/>
      <c r="F131" s="19"/>
      <c r="G131" s="148"/>
      <c r="H131" s="19"/>
      <c r="I131" s="19"/>
      <c r="J131" s="19"/>
      <c r="K131" s="19"/>
      <c r="M131" s="20"/>
      <c r="S131" s="18"/>
    </row>
    <row r="132" spans="1:19" hidden="1" x14ac:dyDescent="0.2">
      <c r="A132" s="109" t="s">
        <v>60</v>
      </c>
      <c r="B132" s="18"/>
      <c r="C132" s="18"/>
      <c r="D132" s="78" t="s">
        <v>60</v>
      </c>
      <c r="E132" s="79"/>
      <c r="F132" s="80"/>
      <c r="G132" s="164"/>
      <c r="H132" s="80"/>
      <c r="I132" s="81"/>
      <c r="J132" s="81"/>
      <c r="K132" s="81"/>
      <c r="M132" s="20"/>
      <c r="S132" s="18"/>
    </row>
    <row r="133" spans="1:19" hidden="1" x14ac:dyDescent="0.2">
      <c r="A133" s="109" t="s">
        <v>138</v>
      </c>
      <c r="B133" s="18"/>
      <c r="C133" s="18"/>
      <c r="D133" s="82" t="s">
        <v>138</v>
      </c>
      <c r="E133" s="32">
        <v>0</v>
      </c>
      <c r="F133" s="32">
        <f>+F82+F83</f>
        <v>0</v>
      </c>
      <c r="G133" s="157"/>
      <c r="H133" s="32">
        <f>+H82+H83</f>
        <v>0</v>
      </c>
      <c r="I133" s="84">
        <f>+I82+I83</f>
        <v>0</v>
      </c>
      <c r="J133" s="84">
        <f>+J82+J83</f>
        <v>0</v>
      </c>
      <c r="K133" s="84">
        <f>+K82+K83</f>
        <v>0</v>
      </c>
      <c r="M133" s="20"/>
      <c r="S133" s="18"/>
    </row>
    <row r="134" spans="1:19" hidden="1" x14ac:dyDescent="0.2">
      <c r="A134" s="109" t="s">
        <v>140</v>
      </c>
      <c r="B134" s="18"/>
      <c r="C134" s="18"/>
      <c r="D134" s="82" t="s">
        <v>140</v>
      </c>
      <c r="E134" s="83">
        <f>+E12</f>
        <v>-1.1641532182693481E-9</v>
      </c>
      <c r="F134" s="32">
        <f>+F83+F84</f>
        <v>0</v>
      </c>
      <c r="G134" s="165"/>
      <c r="H134" s="83"/>
      <c r="I134" s="84">
        <f>+I12</f>
        <v>-1.1641532182693481E-9</v>
      </c>
      <c r="J134" s="84">
        <f>+J12</f>
        <v>0</v>
      </c>
      <c r="K134" s="84">
        <f>+K12</f>
        <v>-1.1641532182693481E-9</v>
      </c>
      <c r="M134" s="20"/>
      <c r="S134" s="18"/>
    </row>
    <row r="135" spans="1:19" hidden="1" x14ac:dyDescent="0.2">
      <c r="A135" s="109" t="s">
        <v>142</v>
      </c>
      <c r="B135" s="18"/>
      <c r="C135" s="18"/>
      <c r="D135" s="82" t="s">
        <v>142</v>
      </c>
      <c r="E135" s="83">
        <f>+E19</f>
        <v>1830943.81</v>
      </c>
      <c r="F135" s="32">
        <f t="shared" ref="F135:F140" si="24">+F84+F85</f>
        <v>0</v>
      </c>
      <c r="G135" s="165"/>
      <c r="H135" s="83"/>
      <c r="I135" s="84">
        <f>+I19</f>
        <v>1830943.81</v>
      </c>
      <c r="J135" s="84">
        <f>+J19</f>
        <v>3978956.04</v>
      </c>
      <c r="K135" s="84">
        <f>+K19</f>
        <v>5809899.8499999996</v>
      </c>
      <c r="M135" s="20"/>
      <c r="S135" s="18"/>
    </row>
    <row r="136" spans="1:19" hidden="1" x14ac:dyDescent="0.2">
      <c r="A136" s="109" t="s">
        <v>141</v>
      </c>
      <c r="B136" s="18"/>
      <c r="C136" s="18"/>
      <c r="D136" s="82" t="s">
        <v>141</v>
      </c>
      <c r="E136" s="83">
        <f>+E24</f>
        <v>1854616.8400000008</v>
      </c>
      <c r="F136" s="32">
        <f t="shared" si="24"/>
        <v>0</v>
      </c>
      <c r="G136" s="165"/>
      <c r="H136" s="83"/>
      <c r="I136" s="84">
        <f>+I24</f>
        <v>1832410.6700000009</v>
      </c>
      <c r="J136" s="84">
        <f>+J24</f>
        <v>-266474.03999999998</v>
      </c>
      <c r="K136" s="84">
        <f>+K24</f>
        <v>1565936.6300000008</v>
      </c>
      <c r="M136" s="20"/>
      <c r="S136" s="18"/>
    </row>
    <row r="137" spans="1:19" hidden="1" x14ac:dyDescent="0.2">
      <c r="A137" s="109" t="s">
        <v>61</v>
      </c>
      <c r="B137" s="18"/>
      <c r="C137" s="18"/>
      <c r="D137" s="82" t="s">
        <v>61</v>
      </c>
      <c r="E137" s="32">
        <f>+E30</f>
        <v>1040663.2</v>
      </c>
      <c r="F137" s="32">
        <f t="shared" si="24"/>
        <v>0</v>
      </c>
      <c r="G137" s="157"/>
      <c r="H137" s="32"/>
      <c r="I137" s="84">
        <f>+I30</f>
        <v>1055499.2</v>
      </c>
      <c r="J137" s="84">
        <f>+J30</f>
        <v>0</v>
      </c>
      <c r="K137" s="84">
        <f>+K30</f>
        <v>1055499.2</v>
      </c>
      <c r="M137" s="20"/>
      <c r="S137" s="18"/>
    </row>
    <row r="138" spans="1:19" hidden="1" x14ac:dyDescent="0.2">
      <c r="A138" s="109" t="s">
        <v>143</v>
      </c>
      <c r="B138" s="18"/>
      <c r="C138" s="18"/>
      <c r="D138" s="82" t="s">
        <v>143</v>
      </c>
      <c r="E138" s="32">
        <f>+E72</f>
        <v>25153735.510000002</v>
      </c>
      <c r="F138" s="32">
        <f t="shared" si="24"/>
        <v>0</v>
      </c>
      <c r="G138" s="157"/>
      <c r="H138" s="32"/>
      <c r="I138" s="84">
        <f>+I72</f>
        <v>25907688.210000001</v>
      </c>
      <c r="J138" s="84">
        <f>+J72</f>
        <v>-3712482</v>
      </c>
      <c r="K138" s="84">
        <f>+K72</f>
        <v>22195206.210000001</v>
      </c>
      <c r="M138" s="20"/>
      <c r="S138" s="18"/>
    </row>
    <row r="139" spans="1:19" hidden="1" x14ac:dyDescent="0.2">
      <c r="A139" s="109" t="s">
        <v>151</v>
      </c>
      <c r="B139" s="18"/>
      <c r="C139" s="18"/>
      <c r="D139" s="82" t="s">
        <v>151</v>
      </c>
      <c r="E139" s="32">
        <f>+E80</f>
        <v>25656625.040000003</v>
      </c>
      <c r="F139" s="32">
        <f t="shared" si="24"/>
        <v>0</v>
      </c>
      <c r="G139" s="157"/>
      <c r="H139" s="32"/>
      <c r="I139" s="84">
        <f>+I80</f>
        <v>25443796.040000003</v>
      </c>
      <c r="J139" s="84">
        <f>+J80</f>
        <v>0</v>
      </c>
      <c r="K139" s="84">
        <f>+K80</f>
        <v>25443796.040000003</v>
      </c>
      <c r="M139" s="20"/>
      <c r="S139" s="18"/>
    </row>
    <row r="140" spans="1:19" hidden="1" x14ac:dyDescent="0.2">
      <c r="A140" s="109" t="s">
        <v>62</v>
      </c>
      <c r="B140" s="18"/>
      <c r="C140" s="18"/>
      <c r="D140" s="82" t="s">
        <v>62</v>
      </c>
      <c r="E140" s="32">
        <v>0</v>
      </c>
      <c r="F140" s="32">
        <f t="shared" si="24"/>
        <v>0</v>
      </c>
      <c r="G140" s="157"/>
      <c r="H140" s="32"/>
      <c r="I140" s="84">
        <v>0</v>
      </c>
      <c r="J140" s="84">
        <v>0</v>
      </c>
      <c r="K140" s="84">
        <v>0</v>
      </c>
      <c r="M140" s="20"/>
      <c r="S140" s="18"/>
    </row>
    <row r="141" spans="1:19" hidden="1" x14ac:dyDescent="0.2">
      <c r="A141" s="109" t="s">
        <v>152</v>
      </c>
      <c r="B141" s="18"/>
      <c r="C141" s="18"/>
      <c r="D141" s="82" t="s">
        <v>152</v>
      </c>
      <c r="E141" s="32">
        <f>+E96</f>
        <v>-6499452.5100000007</v>
      </c>
      <c r="F141" s="32" t="e">
        <f>+F90+#REF!</f>
        <v>#REF!</v>
      </c>
      <c r="G141" s="157"/>
      <c r="H141" s="32"/>
      <c r="I141" s="84">
        <f>+I96</f>
        <v>-5130306.5900000008</v>
      </c>
      <c r="J141" s="84">
        <f>+J96</f>
        <v>0</v>
      </c>
      <c r="K141" s="84">
        <f>+K96</f>
        <v>-5130306.5900000008</v>
      </c>
      <c r="M141" s="20"/>
      <c r="S141" s="18"/>
    </row>
    <row r="142" spans="1:19" hidden="1" x14ac:dyDescent="0.2">
      <c r="A142" s="109"/>
      <c r="B142" s="18"/>
      <c r="C142" s="18"/>
      <c r="D142" s="82" t="s">
        <v>189</v>
      </c>
      <c r="E142" s="32">
        <f>E101</f>
        <v>0</v>
      </c>
      <c r="F142" s="32"/>
      <c r="G142" s="157"/>
      <c r="H142" s="32"/>
      <c r="I142" s="84">
        <f>I101</f>
        <v>0</v>
      </c>
      <c r="J142" s="84">
        <f>J101</f>
        <v>0</v>
      </c>
      <c r="K142" s="84">
        <f>K101</f>
        <v>0</v>
      </c>
      <c r="M142" s="20"/>
      <c r="S142" s="18"/>
    </row>
    <row r="143" spans="1:19" hidden="1" x14ac:dyDescent="0.2">
      <c r="A143" s="109" t="s">
        <v>154</v>
      </c>
      <c r="B143" s="18"/>
      <c r="C143" s="18"/>
      <c r="D143" s="82" t="s">
        <v>154</v>
      </c>
      <c r="E143" s="32">
        <f>+E104</f>
        <v>-3636910.63</v>
      </c>
      <c r="F143" s="32" t="e">
        <f>+#REF!+#REF!</f>
        <v>#REF!</v>
      </c>
      <c r="G143" s="157"/>
      <c r="H143" s="32"/>
      <c r="I143" s="84">
        <f>+I104</f>
        <v>-3603882.63</v>
      </c>
      <c r="J143" s="84">
        <f>+J104</f>
        <v>0</v>
      </c>
      <c r="K143" s="84">
        <f>+K104</f>
        <v>-3603882.63</v>
      </c>
      <c r="M143" s="20"/>
      <c r="S143" s="18"/>
    </row>
    <row r="144" spans="1:19" hidden="1" x14ac:dyDescent="0.2">
      <c r="A144" s="109" t="s">
        <v>153</v>
      </c>
      <c r="B144" s="18"/>
      <c r="C144" s="18"/>
      <c r="D144" s="82" t="s">
        <v>153</v>
      </c>
      <c r="E144" s="32">
        <f>+E111</f>
        <v>-16487.040000000005</v>
      </c>
      <c r="F144" s="32" t="e">
        <f>+#REF!+F91</f>
        <v>#REF!</v>
      </c>
      <c r="G144" s="157"/>
      <c r="H144" s="32"/>
      <c r="I144" s="84">
        <f>+I111</f>
        <v>-16436.550000000003</v>
      </c>
      <c r="J144" s="84">
        <f>+J111</f>
        <v>0</v>
      </c>
      <c r="K144" s="84">
        <f>+K111</f>
        <v>-16436.550000000003</v>
      </c>
      <c r="M144" s="20"/>
      <c r="S144" s="18"/>
    </row>
    <row r="145" spans="1:19" hidden="1" x14ac:dyDescent="0.2">
      <c r="A145" s="109" t="s">
        <v>155</v>
      </c>
      <c r="B145" s="18"/>
      <c r="C145" s="18"/>
      <c r="D145" s="82" t="s">
        <v>155</v>
      </c>
      <c r="E145" s="32">
        <f>+E120</f>
        <v>-47252484.520000018</v>
      </c>
      <c r="F145" s="32">
        <f t="shared" ref="F145" si="25">+F91+F92</f>
        <v>0</v>
      </c>
      <c r="G145" s="157"/>
      <c r="H145" s="32"/>
      <c r="I145" s="84">
        <f>+I120</f>
        <v>-47450925.140000001</v>
      </c>
      <c r="J145" s="84">
        <f>+J120</f>
        <v>0</v>
      </c>
      <c r="K145" s="84">
        <f>+K120</f>
        <v>-47450925.140000001</v>
      </c>
      <c r="M145" s="20"/>
      <c r="S145" s="18"/>
    </row>
    <row r="146" spans="1:19" hidden="1" x14ac:dyDescent="0.2">
      <c r="A146" s="109"/>
      <c r="B146" s="18"/>
      <c r="C146" s="18"/>
      <c r="D146" s="85"/>
      <c r="E146" s="83"/>
      <c r="F146" s="83"/>
      <c r="G146" s="165"/>
      <c r="H146" s="83"/>
      <c r="I146" s="86"/>
      <c r="J146" s="86"/>
      <c r="K146" s="86"/>
      <c r="M146" s="20"/>
      <c r="S146" s="18"/>
    </row>
    <row r="147" spans="1:19" hidden="1" x14ac:dyDescent="0.2">
      <c r="A147" s="109" t="s">
        <v>121</v>
      </c>
      <c r="B147" s="18"/>
      <c r="C147" s="18"/>
      <c r="D147" s="87" t="s">
        <v>121</v>
      </c>
      <c r="E147" s="88">
        <f>SUM(E133:E146)</f>
        <v>-1868750.3000000119</v>
      </c>
      <c r="F147" s="88" t="e">
        <f>SUM(F137:F146)</f>
        <v>#REF!</v>
      </c>
      <c r="G147" s="166"/>
      <c r="H147" s="88"/>
      <c r="I147" s="89">
        <f>SUM(I133:I146)</f>
        <v>-131212.97999999672</v>
      </c>
      <c r="J147" s="89">
        <f>SUM(J133:J146)</f>
        <v>0</v>
      </c>
      <c r="K147" s="89">
        <f>SUM(K133:K146)</f>
        <v>-131212.97999999672</v>
      </c>
      <c r="M147" s="20"/>
      <c r="S147" s="18"/>
    </row>
    <row r="148" spans="1:19" hidden="1" x14ac:dyDescent="0.2">
      <c r="B148" s="18"/>
      <c r="C148" s="18"/>
      <c r="F148" s="19"/>
      <c r="G148" s="148"/>
      <c r="H148" s="19"/>
      <c r="I148" s="19"/>
      <c r="J148" s="19"/>
      <c r="K148" s="19"/>
      <c r="M148" s="20"/>
      <c r="S148" s="18"/>
    </row>
    <row r="149" spans="1:19" hidden="1" x14ac:dyDescent="0.2">
      <c r="B149" s="18"/>
      <c r="C149" s="18"/>
      <c r="E149" s="19">
        <f>+E147-E124</f>
        <v>0</v>
      </c>
      <c r="F149" s="19"/>
      <c r="G149" s="148"/>
      <c r="H149" s="19"/>
      <c r="I149" s="19">
        <f>+I147-I124</f>
        <v>0</v>
      </c>
      <c r="J149" s="19">
        <f>+J147-J124</f>
        <v>0</v>
      </c>
      <c r="K149" s="19">
        <f>+K147-K124</f>
        <v>7.4505805969238281E-9</v>
      </c>
      <c r="M149" s="20"/>
      <c r="S149" s="18"/>
    </row>
    <row r="150" spans="1:19" hidden="1" x14ac:dyDescent="0.2">
      <c r="B150" s="18"/>
      <c r="C150" s="18"/>
      <c r="F150" s="19"/>
      <c r="G150" s="148"/>
      <c r="H150" s="19"/>
      <c r="I150" s="19"/>
      <c r="J150" s="19"/>
      <c r="K150" s="19"/>
      <c r="M150" s="20"/>
      <c r="S150" s="18"/>
    </row>
    <row r="151" spans="1:19" hidden="1" x14ac:dyDescent="0.2">
      <c r="B151" s="18"/>
      <c r="C151" s="18"/>
      <c r="F151" s="19"/>
      <c r="G151" s="148"/>
      <c r="H151" s="19"/>
      <c r="I151" s="19"/>
      <c r="J151" s="19"/>
      <c r="K151" s="19"/>
      <c r="M151" s="20"/>
      <c r="S151" s="18"/>
    </row>
    <row r="152" spans="1:19" hidden="1" x14ac:dyDescent="0.2">
      <c r="B152" s="18"/>
      <c r="C152" s="18"/>
      <c r="F152" s="19"/>
      <c r="G152" s="148"/>
      <c r="H152" s="19"/>
      <c r="I152" s="19"/>
      <c r="J152" s="19"/>
      <c r="K152" s="19"/>
      <c r="M152" s="20"/>
      <c r="S152" s="18"/>
    </row>
    <row r="153" spans="1:19" hidden="1" x14ac:dyDescent="0.2">
      <c r="A153" s="100" t="s">
        <v>63</v>
      </c>
      <c r="B153" s="18"/>
      <c r="C153" s="18"/>
      <c r="D153" s="4" t="s">
        <v>63</v>
      </c>
      <c r="F153" s="19"/>
      <c r="G153" s="148">
        <f>+G34+G42+G44+G46+G48+G75+G57+G59+G15+G50+G66+G55+G65</f>
        <v>0</v>
      </c>
      <c r="H153" s="19">
        <f>+H34+H52+H42+H44+H46+H48+H75+H57+H59+H15+H50+H66+H55</f>
        <v>0</v>
      </c>
      <c r="I153" s="19"/>
      <c r="J153" s="19"/>
      <c r="K153" s="19"/>
      <c r="M153" s="20"/>
      <c r="S153" s="18"/>
    </row>
    <row r="154" spans="1:19" hidden="1" x14ac:dyDescent="0.2">
      <c r="A154" s="100" t="s">
        <v>64</v>
      </c>
      <c r="B154" s="18"/>
      <c r="C154" s="18"/>
      <c r="D154" s="34" t="s">
        <v>64</v>
      </c>
      <c r="F154" s="19"/>
      <c r="G154" s="148">
        <f>+G9+G82+G10</f>
        <v>0</v>
      </c>
      <c r="H154" s="19">
        <f>+H9+H82+H10</f>
        <v>0</v>
      </c>
      <c r="I154" s="19"/>
      <c r="J154" s="19"/>
      <c r="K154" s="19"/>
      <c r="M154" s="20"/>
      <c r="S154" s="18"/>
    </row>
    <row r="155" spans="1:19" hidden="1" x14ac:dyDescent="0.2">
      <c r="A155" s="100" t="s">
        <v>65</v>
      </c>
      <c r="B155" s="18"/>
      <c r="C155" s="18"/>
      <c r="D155" s="34" t="s">
        <v>65</v>
      </c>
      <c r="F155" s="19"/>
      <c r="G155" s="148">
        <f>+G90+G91+G92+G93+G89+G94</f>
        <v>1388532.9100000001</v>
      </c>
      <c r="H155" s="19">
        <f>+H90+H91+H92+H93+H89</f>
        <v>-19386.989999999998</v>
      </c>
      <c r="I155" s="19"/>
      <c r="J155" s="19"/>
      <c r="K155" s="19"/>
      <c r="M155" s="20"/>
      <c r="S155" s="18"/>
    </row>
    <row r="156" spans="1:19" hidden="1" x14ac:dyDescent="0.2">
      <c r="B156" s="18"/>
      <c r="C156" s="18"/>
      <c r="F156" s="19"/>
      <c r="G156" s="148"/>
      <c r="H156" s="19"/>
      <c r="I156" s="19"/>
      <c r="J156" s="19"/>
      <c r="K156" s="19"/>
      <c r="M156" s="20"/>
      <c r="S156" s="18"/>
    </row>
    <row r="157" spans="1:19" hidden="1" x14ac:dyDescent="0.2">
      <c r="B157" s="18"/>
      <c r="C157" s="18"/>
      <c r="F157" s="19"/>
      <c r="G157" s="167">
        <f>+G153+G154+G155-G128</f>
        <v>-831889.45000000019</v>
      </c>
      <c r="H157" s="110">
        <f>+H153+H154+H155-H128</f>
        <v>0</v>
      </c>
      <c r="I157" s="19"/>
      <c r="J157" s="19"/>
      <c r="K157" s="19"/>
      <c r="M157" s="20"/>
      <c r="S157" s="18"/>
    </row>
    <row r="158" spans="1:19" hidden="1" x14ac:dyDescent="0.2">
      <c r="B158" s="18"/>
      <c r="C158" s="18"/>
      <c r="F158" s="19"/>
      <c r="H158" s="29">
        <f>+H154+H155+H153+G153+G154+G155</f>
        <v>1369145.9200000002</v>
      </c>
      <c r="I158" s="19"/>
      <c r="J158" s="19"/>
      <c r="K158" s="19"/>
      <c r="M158" s="20"/>
      <c r="S158" s="18"/>
    </row>
    <row r="159" spans="1:19" hidden="1" x14ac:dyDescent="0.2">
      <c r="B159" s="18"/>
      <c r="C159" s="18"/>
      <c r="F159" s="19"/>
      <c r="G159" s="148"/>
      <c r="H159" s="29">
        <f>+H158-G128-H128</f>
        <v>-831889.45000000019</v>
      </c>
      <c r="I159" s="19"/>
      <c r="J159" s="19"/>
      <c r="K159" s="19"/>
      <c r="M159" s="20"/>
      <c r="S159" s="18"/>
    </row>
    <row r="160" spans="1:19" x14ac:dyDescent="0.2">
      <c r="B160" s="18"/>
      <c r="C160" s="18"/>
      <c r="F160" s="19"/>
      <c r="G160" s="148"/>
      <c r="H160" s="19"/>
      <c r="I160" s="19"/>
      <c r="J160" s="19"/>
      <c r="K160" s="19"/>
      <c r="M160" s="20"/>
      <c r="S160" s="18"/>
    </row>
    <row r="161" spans="1:19" ht="12.75" hidden="1" customHeight="1" x14ac:dyDescent="0.2">
      <c r="B161" s="18"/>
      <c r="C161" s="18"/>
      <c r="F161" s="19"/>
      <c r="G161" s="148"/>
      <c r="H161" s="19"/>
      <c r="I161" s="19"/>
      <c r="J161" s="19"/>
      <c r="K161" s="19"/>
      <c r="M161" s="20"/>
      <c r="S161" s="18"/>
    </row>
    <row r="162" spans="1:19" ht="12.75" hidden="1" customHeight="1" x14ac:dyDescent="0.2">
      <c r="A162" s="101" t="s">
        <v>144</v>
      </c>
      <c r="B162" s="18"/>
      <c r="C162" s="18"/>
      <c r="D162" s="22" t="s">
        <v>144</v>
      </c>
      <c r="E162" s="4" t="s">
        <v>121</v>
      </c>
      <c r="F162" s="19" t="s">
        <v>147</v>
      </c>
      <c r="G162" s="148" t="s">
        <v>148</v>
      </c>
      <c r="H162" s="19"/>
      <c r="I162" s="19"/>
      <c r="J162" s="19"/>
      <c r="K162" s="19"/>
      <c r="M162" s="20"/>
      <c r="S162" s="18"/>
    </row>
    <row r="163" spans="1:19" ht="12.75" hidden="1" customHeight="1" x14ac:dyDescent="0.2">
      <c r="A163" s="101" t="s">
        <v>145</v>
      </c>
      <c r="B163" s="18"/>
      <c r="C163" s="18"/>
      <c r="D163" s="22" t="s">
        <v>145</v>
      </c>
      <c r="E163" s="19">
        <v>19066028.010000002</v>
      </c>
      <c r="F163" s="19">
        <v>62319564.710000008</v>
      </c>
      <c r="G163" s="148">
        <v>-43253536.700000003</v>
      </c>
      <c r="H163" s="19"/>
      <c r="I163" s="19"/>
      <c r="J163" s="19"/>
      <c r="K163" s="19"/>
      <c r="M163" s="20"/>
      <c r="S163" s="18"/>
    </row>
    <row r="164" spans="1:19" ht="12.75" hidden="1" customHeight="1" x14ac:dyDescent="0.2">
      <c r="A164" s="101" t="s">
        <v>146</v>
      </c>
      <c r="B164" s="18"/>
      <c r="C164" s="18"/>
      <c r="D164" s="22" t="s">
        <v>146</v>
      </c>
      <c r="F164" s="19"/>
      <c r="G164" s="148"/>
      <c r="H164" s="19"/>
      <c r="I164" s="19"/>
      <c r="J164" s="19"/>
      <c r="K164" s="19"/>
      <c r="M164" s="20"/>
      <c r="S164" s="18"/>
    </row>
    <row r="165" spans="1:19" ht="12.75" hidden="1" customHeight="1" x14ac:dyDescent="0.2">
      <c r="A165" s="100" t="s">
        <v>149</v>
      </c>
      <c r="B165" s="18"/>
      <c r="C165" s="18"/>
      <c r="D165" s="4" t="s">
        <v>149</v>
      </c>
      <c r="E165" s="29">
        <f>SUM(F165:G165)</f>
        <v>905563</v>
      </c>
      <c r="F165" s="19">
        <v>905563</v>
      </c>
      <c r="G165" s="148"/>
      <c r="H165" s="19"/>
      <c r="I165" s="19"/>
      <c r="J165" s="19"/>
      <c r="K165" s="19"/>
      <c r="M165" s="20"/>
      <c r="S165" s="18"/>
    </row>
    <row r="166" spans="1:19" ht="12.75" hidden="1" customHeight="1" x14ac:dyDescent="0.2">
      <c r="A166" s="100" t="s">
        <v>150</v>
      </c>
      <c r="B166" s="18"/>
      <c r="C166" s="18"/>
      <c r="D166" s="4" t="s">
        <v>150</v>
      </c>
      <c r="E166" s="29">
        <f>SUM(F166:G166)</f>
        <v>-905563</v>
      </c>
      <c r="G166" s="148">
        <v>-905563</v>
      </c>
      <c r="H166" s="19"/>
      <c r="I166" s="19"/>
      <c r="J166" s="19"/>
      <c r="K166" s="19"/>
      <c r="M166" s="20"/>
      <c r="S166" s="18"/>
    </row>
    <row r="167" spans="1:19" ht="12.75" hidden="1" customHeight="1" x14ac:dyDescent="0.2">
      <c r="B167" s="18"/>
      <c r="C167" s="18"/>
      <c r="F167" s="19"/>
      <c r="G167" s="148"/>
      <c r="H167" s="19"/>
      <c r="I167" s="19"/>
      <c r="J167" s="19"/>
      <c r="K167" s="19"/>
      <c r="M167" s="20"/>
      <c r="S167" s="18"/>
    </row>
    <row r="168" spans="1:19" ht="12.75" hidden="1" customHeight="1" x14ac:dyDescent="0.2">
      <c r="B168" s="18"/>
      <c r="C168" s="18"/>
      <c r="E168" s="94"/>
      <c r="F168" s="95"/>
      <c r="G168" s="169"/>
      <c r="H168" s="19"/>
      <c r="I168" s="19"/>
      <c r="J168" s="19"/>
      <c r="K168" s="19"/>
      <c r="M168" s="20"/>
      <c r="S168" s="18"/>
    </row>
    <row r="169" spans="1:19" ht="12.75" hidden="1" customHeight="1" x14ac:dyDescent="0.2">
      <c r="B169" s="18"/>
      <c r="C169" s="18"/>
      <c r="E169" s="29">
        <f>SUM(E163:E168)</f>
        <v>19066028.010000002</v>
      </c>
      <c r="F169" s="29">
        <f>SUM(F163:F168)</f>
        <v>63225127.710000008</v>
      </c>
      <c r="G169" s="151">
        <f>SUM(G163:G168)</f>
        <v>-44159099.700000003</v>
      </c>
      <c r="H169" s="19"/>
      <c r="I169" s="19"/>
      <c r="J169" s="19"/>
      <c r="K169" s="19"/>
      <c r="M169" s="20"/>
      <c r="S169" s="18"/>
    </row>
    <row r="170" spans="1:19" x14ac:dyDescent="0.2">
      <c r="B170" s="18"/>
      <c r="C170" s="18"/>
      <c r="F170" s="19"/>
      <c r="G170" s="148"/>
      <c r="H170" s="19"/>
      <c r="I170" s="19"/>
      <c r="J170" s="19"/>
      <c r="K170" s="19"/>
      <c r="M170" s="20"/>
      <c r="S170" s="18"/>
    </row>
    <row r="171" spans="1:19" x14ac:dyDescent="0.2">
      <c r="B171" s="18"/>
      <c r="C171" s="18"/>
      <c r="F171" s="19"/>
      <c r="G171" s="148"/>
      <c r="H171" s="19"/>
      <c r="I171" s="19"/>
      <c r="J171" s="19"/>
      <c r="K171" s="19"/>
      <c r="M171" s="20"/>
      <c r="S171" s="18"/>
    </row>
    <row r="172" spans="1:19" x14ac:dyDescent="0.2">
      <c r="B172" s="18"/>
      <c r="C172" s="18"/>
      <c r="F172" s="19"/>
      <c r="G172" s="148"/>
      <c r="H172" s="19"/>
      <c r="I172" s="19"/>
      <c r="J172" s="19"/>
      <c r="K172" s="19"/>
      <c r="M172" s="20"/>
      <c r="S172" s="18"/>
    </row>
    <row r="173" spans="1:19" x14ac:dyDescent="0.2">
      <c r="B173" s="18"/>
      <c r="C173" s="18"/>
      <c r="F173" s="19"/>
      <c r="G173" s="148"/>
      <c r="H173" s="19"/>
      <c r="I173" s="19"/>
      <c r="J173" s="19"/>
      <c r="K173" s="19"/>
      <c r="M173" s="20"/>
      <c r="S173" s="18"/>
    </row>
    <row r="174" spans="1:19" x14ac:dyDescent="0.2">
      <c r="B174" s="18"/>
      <c r="C174" s="18"/>
      <c r="F174" s="19"/>
      <c r="G174" s="148"/>
      <c r="H174" s="19"/>
      <c r="I174" s="19"/>
      <c r="J174" s="19"/>
      <c r="K174" s="19"/>
      <c r="M174" s="20"/>
      <c r="S174" s="18"/>
    </row>
    <row r="175" spans="1:19" x14ac:dyDescent="0.2">
      <c r="B175" s="18"/>
      <c r="C175" s="18"/>
      <c r="F175" s="19"/>
      <c r="G175" s="148"/>
      <c r="H175" s="19"/>
      <c r="I175" s="19"/>
      <c r="J175" s="19"/>
      <c r="K175" s="19"/>
      <c r="M175" s="20"/>
      <c r="S175" s="18"/>
    </row>
    <row r="176" spans="1:19" x14ac:dyDescent="0.2">
      <c r="B176" s="18"/>
      <c r="C176" s="18"/>
      <c r="F176" s="19"/>
      <c r="G176" s="148"/>
      <c r="H176" s="19"/>
      <c r="I176" s="19"/>
      <c r="J176" s="19"/>
      <c r="K176" s="19"/>
      <c r="M176" s="20"/>
      <c r="S176" s="18"/>
    </row>
    <row r="177" spans="1:19" x14ac:dyDescent="0.2">
      <c r="B177" s="18"/>
      <c r="C177" s="18"/>
      <c r="F177" s="19"/>
      <c r="G177" s="148"/>
      <c r="H177" s="19"/>
      <c r="I177" s="19"/>
      <c r="J177" s="19"/>
      <c r="K177" s="19"/>
      <c r="M177" s="20"/>
      <c r="S177" s="18"/>
    </row>
    <row r="178" spans="1:19" x14ac:dyDescent="0.2">
      <c r="B178" s="18"/>
      <c r="C178" s="18"/>
      <c r="F178" s="19"/>
      <c r="G178" s="148"/>
      <c r="H178" s="19"/>
      <c r="I178" s="19"/>
      <c r="J178" s="19"/>
      <c r="K178" s="19"/>
      <c r="M178" s="20"/>
      <c r="S178" s="18"/>
    </row>
    <row r="179" spans="1:19" x14ac:dyDescent="0.2">
      <c r="B179" s="18"/>
      <c r="C179" s="18"/>
      <c r="F179" s="19"/>
      <c r="G179" s="148"/>
      <c r="H179" s="19"/>
      <c r="I179" s="19"/>
      <c r="J179" s="19"/>
      <c r="K179" s="19"/>
      <c r="M179" s="20"/>
      <c r="S179" s="18"/>
    </row>
    <row r="180" spans="1:19" x14ac:dyDescent="0.2">
      <c r="B180" s="18"/>
      <c r="C180" s="18"/>
      <c r="F180" s="19"/>
      <c r="G180" s="148"/>
      <c r="H180" s="19"/>
      <c r="I180" s="19"/>
      <c r="J180" s="19"/>
      <c r="K180" s="19"/>
      <c r="M180" s="20"/>
      <c r="S180" s="18"/>
    </row>
    <row r="181" spans="1:19" x14ac:dyDescent="0.2">
      <c r="B181" s="18"/>
      <c r="C181" s="18"/>
      <c r="F181" s="19"/>
      <c r="G181" s="148"/>
      <c r="H181" s="19"/>
      <c r="I181" s="19"/>
      <c r="J181" s="19"/>
      <c r="K181" s="19"/>
      <c r="M181" s="20"/>
      <c r="S181" s="18"/>
    </row>
    <row r="182" spans="1:19" x14ac:dyDescent="0.2">
      <c r="A182" s="4"/>
      <c r="B182" s="18"/>
      <c r="C182" s="18"/>
      <c r="F182" s="19"/>
      <c r="G182" s="148"/>
      <c r="H182" s="19"/>
      <c r="I182" s="19"/>
      <c r="J182" s="19"/>
      <c r="K182" s="19"/>
      <c r="M182" s="20"/>
      <c r="S182" s="18"/>
    </row>
    <row r="183" spans="1:19" x14ac:dyDescent="0.2">
      <c r="A183" s="4"/>
      <c r="B183" s="18"/>
      <c r="C183" s="18"/>
      <c r="F183" s="19"/>
      <c r="G183" s="148"/>
      <c r="H183" s="19"/>
      <c r="I183" s="19"/>
      <c r="J183" s="19"/>
      <c r="K183" s="19"/>
      <c r="M183" s="20"/>
      <c r="S183" s="18"/>
    </row>
    <row r="184" spans="1:19" x14ac:dyDescent="0.2">
      <c r="A184" s="4"/>
      <c r="B184" s="18"/>
      <c r="C184" s="18"/>
      <c r="F184" s="19"/>
      <c r="G184" s="148"/>
      <c r="H184" s="19"/>
      <c r="I184" s="19"/>
      <c r="J184" s="19"/>
      <c r="K184" s="19"/>
      <c r="M184" s="20"/>
      <c r="S184" s="18"/>
    </row>
    <row r="185" spans="1:19" x14ac:dyDescent="0.2">
      <c r="A185" s="4"/>
      <c r="B185" s="18"/>
      <c r="C185" s="18"/>
      <c r="F185" s="19"/>
      <c r="G185" s="148"/>
      <c r="H185" s="19"/>
      <c r="I185" s="19"/>
      <c r="J185" s="19"/>
      <c r="K185" s="19"/>
      <c r="M185" s="20"/>
      <c r="S185" s="18"/>
    </row>
    <row r="186" spans="1:19" x14ac:dyDescent="0.2">
      <c r="A186" s="4"/>
      <c r="B186" s="18"/>
      <c r="C186" s="18"/>
      <c r="F186" s="19"/>
      <c r="G186" s="148"/>
      <c r="H186" s="19"/>
      <c r="I186" s="19"/>
      <c r="J186" s="19"/>
      <c r="K186" s="19"/>
      <c r="M186" s="20"/>
      <c r="S186" s="18"/>
    </row>
    <row r="187" spans="1:19" x14ac:dyDescent="0.2">
      <c r="A187" s="4"/>
      <c r="B187" s="18"/>
      <c r="C187" s="18"/>
      <c r="F187" s="19"/>
      <c r="G187" s="148"/>
      <c r="H187" s="19"/>
      <c r="I187" s="19"/>
      <c r="J187" s="19"/>
      <c r="K187" s="19"/>
      <c r="M187" s="20"/>
      <c r="S187" s="18"/>
    </row>
    <row r="188" spans="1:19" x14ac:dyDescent="0.2">
      <c r="A188" s="4"/>
      <c r="B188" s="18"/>
      <c r="C188" s="18"/>
      <c r="F188" s="19"/>
      <c r="G188" s="148"/>
      <c r="H188" s="19"/>
      <c r="I188" s="19"/>
      <c r="J188" s="19"/>
      <c r="K188" s="19"/>
      <c r="M188" s="20"/>
      <c r="S188" s="18"/>
    </row>
    <row r="189" spans="1:19" x14ac:dyDescent="0.2">
      <c r="A189" s="4"/>
      <c r="B189" s="18"/>
      <c r="C189" s="18"/>
      <c r="F189" s="19"/>
      <c r="G189" s="148"/>
      <c r="H189" s="19"/>
      <c r="I189" s="19"/>
      <c r="J189" s="19"/>
      <c r="K189" s="19"/>
      <c r="M189" s="20"/>
      <c r="S189" s="18"/>
    </row>
    <row r="190" spans="1:19" x14ac:dyDescent="0.2">
      <c r="A190" s="4"/>
      <c r="B190" s="18"/>
      <c r="C190" s="18"/>
      <c r="F190" s="19"/>
      <c r="G190" s="148"/>
      <c r="H190" s="19"/>
      <c r="I190" s="19"/>
      <c r="J190" s="19"/>
      <c r="K190" s="19"/>
      <c r="M190" s="20"/>
      <c r="S190" s="18"/>
    </row>
    <row r="191" spans="1:19" x14ac:dyDescent="0.2">
      <c r="A191" s="4"/>
      <c r="B191" s="18"/>
      <c r="C191" s="18"/>
      <c r="F191" s="19"/>
      <c r="G191" s="148"/>
      <c r="H191" s="19"/>
      <c r="I191" s="19"/>
      <c r="J191" s="19"/>
      <c r="K191" s="19"/>
      <c r="M191" s="20"/>
      <c r="S191" s="18"/>
    </row>
    <row r="192" spans="1:19" x14ac:dyDescent="0.2">
      <c r="A192" s="4"/>
      <c r="B192" s="18"/>
      <c r="C192" s="18"/>
      <c r="F192" s="19"/>
      <c r="G192" s="148"/>
      <c r="H192" s="19"/>
      <c r="I192" s="19"/>
      <c r="J192" s="19"/>
      <c r="K192" s="19"/>
      <c r="M192" s="20"/>
      <c r="S192" s="18"/>
    </row>
    <row r="193" spans="1:19" x14ac:dyDescent="0.2">
      <c r="A193" s="4"/>
      <c r="B193" s="18"/>
      <c r="C193" s="18"/>
      <c r="F193" s="19"/>
      <c r="G193" s="148"/>
      <c r="H193" s="19"/>
      <c r="I193" s="19"/>
      <c r="J193" s="19"/>
      <c r="K193" s="19"/>
      <c r="M193" s="20"/>
      <c r="S193" s="18"/>
    </row>
    <row r="194" spans="1:19" x14ac:dyDescent="0.2">
      <c r="A194" s="4"/>
      <c r="B194" s="18"/>
      <c r="C194" s="18"/>
      <c r="F194" s="19"/>
      <c r="G194" s="148"/>
      <c r="H194" s="19"/>
      <c r="I194" s="19"/>
      <c r="J194" s="19"/>
      <c r="K194" s="19"/>
      <c r="M194" s="20"/>
      <c r="S194" s="18"/>
    </row>
    <row r="195" spans="1:19" x14ac:dyDescent="0.2">
      <c r="A195" s="4"/>
      <c r="B195" s="18"/>
      <c r="C195" s="18"/>
      <c r="F195" s="19"/>
      <c r="G195" s="148"/>
      <c r="H195" s="19"/>
      <c r="I195" s="19"/>
      <c r="J195" s="19"/>
      <c r="K195" s="19"/>
      <c r="M195" s="20"/>
      <c r="S195" s="18"/>
    </row>
    <row r="196" spans="1:19" x14ac:dyDescent="0.2">
      <c r="A196" s="4"/>
      <c r="B196" s="18"/>
      <c r="C196" s="18"/>
      <c r="F196" s="19"/>
      <c r="G196" s="148"/>
      <c r="H196" s="19"/>
      <c r="I196" s="19"/>
      <c r="J196" s="19"/>
      <c r="K196" s="19"/>
      <c r="M196" s="20"/>
      <c r="S196" s="18"/>
    </row>
    <row r="197" spans="1:19" x14ac:dyDescent="0.2">
      <c r="A197" s="4"/>
      <c r="B197" s="18"/>
      <c r="C197" s="18"/>
      <c r="F197" s="19"/>
      <c r="G197" s="148"/>
      <c r="H197" s="19"/>
      <c r="I197" s="19"/>
      <c r="J197" s="19"/>
      <c r="K197" s="19"/>
      <c r="M197" s="20"/>
      <c r="S197" s="18"/>
    </row>
    <row r="198" spans="1:19" x14ac:dyDescent="0.2">
      <c r="A198" s="4"/>
      <c r="B198" s="18"/>
      <c r="C198" s="18"/>
      <c r="F198" s="19"/>
      <c r="G198" s="148"/>
      <c r="H198" s="19"/>
      <c r="I198" s="19"/>
      <c r="J198" s="19"/>
      <c r="K198" s="19"/>
      <c r="M198" s="20"/>
      <c r="S198" s="18"/>
    </row>
    <row r="199" spans="1:19" x14ac:dyDescent="0.2">
      <c r="A199" s="4"/>
      <c r="B199" s="18"/>
      <c r="C199" s="18"/>
      <c r="F199" s="19"/>
      <c r="G199" s="148"/>
      <c r="H199" s="19"/>
      <c r="I199" s="19"/>
      <c r="J199" s="19"/>
      <c r="K199" s="19"/>
      <c r="M199" s="20"/>
      <c r="S199" s="18"/>
    </row>
    <row r="200" spans="1:19" x14ac:dyDescent="0.2">
      <c r="A200" s="4"/>
      <c r="B200" s="18"/>
      <c r="C200" s="18"/>
      <c r="F200" s="19"/>
      <c r="G200" s="148"/>
      <c r="H200" s="19"/>
      <c r="I200" s="19"/>
      <c r="J200" s="19"/>
      <c r="K200" s="19"/>
      <c r="M200" s="20"/>
      <c r="S200" s="18"/>
    </row>
    <row r="201" spans="1:19" x14ac:dyDescent="0.2">
      <c r="A201" s="4"/>
      <c r="B201" s="18"/>
      <c r="C201" s="18"/>
      <c r="F201" s="19"/>
      <c r="G201" s="148"/>
      <c r="H201" s="19"/>
      <c r="I201" s="19"/>
      <c r="J201" s="19"/>
      <c r="K201" s="19"/>
      <c r="M201" s="20"/>
      <c r="S201" s="18"/>
    </row>
    <row r="202" spans="1:19" x14ac:dyDescent="0.2">
      <c r="A202" s="4"/>
      <c r="B202" s="18"/>
      <c r="C202" s="18"/>
      <c r="F202" s="19"/>
      <c r="G202" s="148"/>
      <c r="H202" s="19"/>
      <c r="I202" s="19"/>
      <c r="J202" s="19"/>
      <c r="K202" s="19"/>
      <c r="M202" s="20"/>
      <c r="S202" s="18"/>
    </row>
    <row r="203" spans="1:19" x14ac:dyDescent="0.2">
      <c r="A203" s="4"/>
      <c r="B203" s="18"/>
      <c r="C203" s="18"/>
      <c r="F203" s="19"/>
      <c r="G203" s="148"/>
      <c r="H203" s="19"/>
      <c r="I203" s="19"/>
      <c r="J203" s="19"/>
      <c r="K203" s="19"/>
      <c r="M203" s="20"/>
      <c r="S203" s="18"/>
    </row>
    <row r="204" spans="1:19" x14ac:dyDescent="0.2">
      <c r="A204" s="4"/>
      <c r="B204" s="18"/>
      <c r="C204" s="18"/>
      <c r="F204" s="19"/>
      <c r="G204" s="148"/>
      <c r="H204" s="19"/>
      <c r="I204" s="19"/>
      <c r="J204" s="19"/>
      <c r="K204" s="19"/>
      <c r="M204" s="20"/>
      <c r="S204" s="18"/>
    </row>
    <row r="205" spans="1:19" x14ac:dyDescent="0.2">
      <c r="A205" s="4"/>
      <c r="B205" s="18"/>
      <c r="C205" s="18"/>
      <c r="F205" s="19"/>
      <c r="G205" s="148"/>
      <c r="H205" s="19"/>
      <c r="I205" s="19"/>
      <c r="J205" s="19"/>
      <c r="K205" s="19"/>
      <c r="M205" s="20"/>
      <c r="S205" s="18"/>
    </row>
    <row r="206" spans="1:19" x14ac:dyDescent="0.2">
      <c r="A206" s="4"/>
      <c r="B206" s="18"/>
      <c r="C206" s="18"/>
      <c r="F206" s="19"/>
      <c r="G206" s="148"/>
      <c r="H206" s="19"/>
      <c r="I206" s="19"/>
      <c r="J206" s="19"/>
      <c r="K206" s="19"/>
      <c r="M206" s="20"/>
      <c r="S206" s="18"/>
    </row>
    <row r="207" spans="1:19" x14ac:dyDescent="0.2">
      <c r="A207" s="4"/>
      <c r="B207" s="18"/>
      <c r="C207" s="18"/>
      <c r="F207" s="19"/>
      <c r="G207" s="148"/>
      <c r="H207" s="19"/>
      <c r="I207" s="19"/>
      <c r="J207" s="19"/>
      <c r="K207" s="19"/>
      <c r="M207" s="20"/>
      <c r="S207" s="18"/>
    </row>
    <row r="208" spans="1:19" x14ac:dyDescent="0.2">
      <c r="A208" s="4"/>
      <c r="B208" s="18"/>
      <c r="C208" s="18"/>
      <c r="F208" s="19"/>
      <c r="G208" s="148"/>
      <c r="H208" s="19"/>
      <c r="I208" s="19"/>
      <c r="J208" s="19"/>
      <c r="K208" s="19"/>
      <c r="M208" s="20"/>
      <c r="S208" s="18"/>
    </row>
    <row r="209" spans="1:19" x14ac:dyDescent="0.2">
      <c r="A209" s="4"/>
      <c r="B209" s="18"/>
      <c r="C209" s="18"/>
      <c r="F209" s="19"/>
      <c r="G209" s="148"/>
      <c r="H209" s="19"/>
      <c r="I209" s="19"/>
      <c r="J209" s="19"/>
      <c r="K209" s="19"/>
      <c r="M209" s="20"/>
      <c r="S209" s="18"/>
    </row>
    <row r="210" spans="1:19" x14ac:dyDescent="0.2">
      <c r="A210" s="4"/>
      <c r="B210" s="18"/>
      <c r="C210" s="18"/>
      <c r="F210" s="19"/>
      <c r="G210" s="148"/>
      <c r="H210" s="19"/>
      <c r="I210" s="19"/>
      <c r="J210" s="19"/>
      <c r="K210" s="19"/>
      <c r="M210" s="20"/>
      <c r="S210" s="18"/>
    </row>
    <row r="211" spans="1:19" x14ac:dyDescent="0.2">
      <c r="A211" s="4"/>
      <c r="B211" s="18"/>
      <c r="C211" s="18"/>
      <c r="F211" s="19"/>
      <c r="G211" s="148"/>
      <c r="H211" s="19"/>
      <c r="I211" s="19"/>
      <c r="J211" s="19"/>
      <c r="K211" s="19"/>
      <c r="M211" s="20"/>
      <c r="S211" s="18"/>
    </row>
    <row r="212" spans="1:19" x14ac:dyDescent="0.2">
      <c r="A212" s="4"/>
      <c r="B212" s="18"/>
      <c r="C212" s="18"/>
      <c r="F212" s="19"/>
      <c r="G212" s="148"/>
      <c r="H212" s="19"/>
      <c r="I212" s="19"/>
      <c r="J212" s="19"/>
      <c r="K212" s="19"/>
      <c r="M212" s="20"/>
      <c r="S212" s="18"/>
    </row>
    <row r="213" spans="1:19" x14ac:dyDescent="0.2">
      <c r="A213" s="4"/>
      <c r="B213" s="18"/>
      <c r="C213" s="18"/>
      <c r="F213" s="19"/>
      <c r="G213" s="148"/>
      <c r="H213" s="19"/>
      <c r="I213" s="19"/>
      <c r="J213" s="19"/>
      <c r="K213" s="19"/>
      <c r="M213" s="20"/>
      <c r="S213" s="18"/>
    </row>
    <row r="214" spans="1:19" x14ac:dyDescent="0.2">
      <c r="A214" s="4"/>
      <c r="B214" s="18"/>
      <c r="C214" s="18"/>
      <c r="F214" s="19"/>
      <c r="G214" s="148"/>
      <c r="H214" s="19"/>
      <c r="I214" s="19"/>
      <c r="J214" s="19"/>
      <c r="K214" s="19"/>
      <c r="M214" s="20"/>
      <c r="S214" s="18"/>
    </row>
    <row r="215" spans="1:19" x14ac:dyDescent="0.2">
      <c r="A215" s="4"/>
      <c r="B215" s="18"/>
      <c r="C215" s="18"/>
      <c r="F215" s="19"/>
      <c r="G215" s="148"/>
      <c r="H215" s="19"/>
      <c r="I215" s="19"/>
      <c r="J215" s="19"/>
      <c r="K215" s="19"/>
      <c r="M215" s="20"/>
      <c r="S215" s="18"/>
    </row>
    <row r="216" spans="1:19" x14ac:dyDescent="0.2">
      <c r="A216" s="4"/>
      <c r="B216" s="18"/>
      <c r="C216" s="18"/>
      <c r="F216" s="19"/>
      <c r="G216" s="148"/>
      <c r="H216" s="19"/>
      <c r="I216" s="19"/>
      <c r="J216" s="19"/>
      <c r="K216" s="19"/>
      <c r="M216" s="20"/>
      <c r="S216" s="18"/>
    </row>
    <row r="217" spans="1:19" x14ac:dyDescent="0.2">
      <c r="A217" s="4"/>
      <c r="B217" s="18"/>
      <c r="C217" s="18"/>
      <c r="F217" s="19"/>
      <c r="G217" s="148"/>
      <c r="H217" s="19"/>
      <c r="I217" s="19"/>
      <c r="J217" s="19"/>
      <c r="K217" s="19"/>
      <c r="M217" s="20"/>
      <c r="S217" s="18"/>
    </row>
    <row r="218" spans="1:19" x14ac:dyDescent="0.2">
      <c r="A218" s="4"/>
      <c r="B218" s="18"/>
      <c r="C218" s="18"/>
      <c r="F218" s="19"/>
      <c r="G218" s="148"/>
      <c r="H218" s="19"/>
      <c r="I218" s="19"/>
      <c r="J218" s="19"/>
      <c r="K218" s="19"/>
      <c r="M218" s="20"/>
      <c r="S218" s="18"/>
    </row>
    <row r="219" spans="1:19" x14ac:dyDescent="0.2">
      <c r="A219" s="4"/>
      <c r="B219" s="18"/>
      <c r="C219" s="18"/>
      <c r="F219" s="19"/>
      <c r="G219" s="148"/>
      <c r="H219" s="19"/>
      <c r="I219" s="19"/>
      <c r="J219" s="19"/>
      <c r="K219" s="19"/>
      <c r="M219" s="20"/>
      <c r="S219" s="18"/>
    </row>
    <row r="220" spans="1:19" x14ac:dyDescent="0.2">
      <c r="A220" s="4"/>
      <c r="B220" s="18"/>
      <c r="C220" s="18"/>
      <c r="F220" s="19"/>
      <c r="G220" s="148"/>
      <c r="H220" s="19"/>
      <c r="I220" s="19"/>
      <c r="J220" s="19"/>
      <c r="K220" s="19"/>
      <c r="M220" s="20"/>
      <c r="S220" s="18"/>
    </row>
    <row r="221" spans="1:19" x14ac:dyDescent="0.2">
      <c r="A221" s="4"/>
      <c r="B221" s="18"/>
      <c r="C221" s="18"/>
      <c r="F221" s="19"/>
      <c r="G221" s="148"/>
      <c r="H221" s="19"/>
      <c r="I221" s="19"/>
      <c r="J221" s="19"/>
      <c r="K221" s="19"/>
      <c r="M221" s="20"/>
      <c r="S221" s="18"/>
    </row>
    <row r="222" spans="1:19" x14ac:dyDescent="0.2">
      <c r="A222" s="4"/>
      <c r="B222" s="18"/>
      <c r="C222" s="18"/>
      <c r="F222" s="19"/>
      <c r="G222" s="148"/>
      <c r="H222" s="19"/>
      <c r="I222" s="19"/>
      <c r="J222" s="19"/>
      <c r="K222" s="19"/>
      <c r="M222" s="20"/>
      <c r="S222" s="18"/>
    </row>
    <row r="223" spans="1:19" x14ac:dyDescent="0.2">
      <c r="A223" s="4"/>
      <c r="B223" s="18"/>
      <c r="C223" s="18"/>
      <c r="F223" s="19"/>
      <c r="G223" s="148"/>
      <c r="H223" s="19"/>
      <c r="I223" s="19"/>
      <c r="J223" s="19"/>
      <c r="K223" s="19"/>
      <c r="M223" s="20"/>
      <c r="S223" s="18"/>
    </row>
    <row r="224" spans="1:19" x14ac:dyDescent="0.2">
      <c r="A224" s="4"/>
      <c r="B224" s="18"/>
      <c r="C224" s="18"/>
      <c r="F224" s="19"/>
      <c r="G224" s="148"/>
      <c r="H224" s="19"/>
      <c r="I224" s="19"/>
      <c r="J224" s="19"/>
      <c r="K224" s="19"/>
      <c r="M224" s="20"/>
      <c r="S224" s="18"/>
    </row>
    <row r="225" spans="1:19" x14ac:dyDescent="0.2">
      <c r="A225" s="4"/>
      <c r="B225" s="18"/>
      <c r="C225" s="18"/>
      <c r="F225" s="19"/>
      <c r="G225" s="148"/>
      <c r="H225" s="19"/>
      <c r="I225" s="19"/>
      <c r="J225" s="19"/>
      <c r="K225" s="19"/>
      <c r="M225" s="20"/>
      <c r="S225" s="18"/>
    </row>
    <row r="226" spans="1:19" x14ac:dyDescent="0.2">
      <c r="A226" s="4"/>
      <c r="B226" s="18"/>
      <c r="C226" s="18"/>
      <c r="F226" s="19"/>
      <c r="G226" s="148"/>
      <c r="H226" s="19"/>
      <c r="I226" s="19"/>
      <c r="J226" s="19"/>
      <c r="K226" s="19"/>
      <c r="M226" s="20"/>
      <c r="S226" s="18"/>
    </row>
    <row r="227" spans="1:19" x14ac:dyDescent="0.2">
      <c r="A227" s="4"/>
      <c r="B227" s="18"/>
      <c r="C227" s="18"/>
      <c r="F227" s="19"/>
      <c r="G227" s="148"/>
      <c r="H227" s="19"/>
      <c r="I227" s="19"/>
      <c r="J227" s="19"/>
      <c r="K227" s="19"/>
      <c r="M227" s="20"/>
      <c r="S227" s="18"/>
    </row>
    <row r="228" spans="1:19" x14ac:dyDescent="0.2">
      <c r="A228" s="4"/>
      <c r="B228" s="18"/>
      <c r="C228" s="18"/>
      <c r="F228" s="19"/>
      <c r="G228" s="148"/>
      <c r="H228" s="19"/>
      <c r="I228" s="19"/>
      <c r="J228" s="19"/>
      <c r="K228" s="19"/>
      <c r="M228" s="20"/>
      <c r="S228" s="18"/>
    </row>
    <row r="229" spans="1:19" x14ac:dyDescent="0.2">
      <c r="A229" s="4"/>
      <c r="B229" s="18"/>
      <c r="C229" s="18"/>
      <c r="F229" s="19"/>
      <c r="G229" s="148"/>
      <c r="H229" s="19"/>
      <c r="I229" s="19"/>
      <c r="J229" s="19"/>
      <c r="K229" s="19"/>
      <c r="M229" s="20"/>
      <c r="S229" s="18"/>
    </row>
    <row r="230" spans="1:19" x14ac:dyDescent="0.2">
      <c r="B230" s="18"/>
      <c r="C230" s="18"/>
      <c r="F230" s="19"/>
      <c r="G230" s="148"/>
      <c r="H230" s="19"/>
      <c r="I230" s="19"/>
      <c r="J230" s="19"/>
      <c r="K230" s="19"/>
      <c r="M230" s="20"/>
      <c r="S230" s="18"/>
    </row>
    <row r="231" spans="1:19" x14ac:dyDescent="0.2">
      <c r="B231" s="18"/>
      <c r="C231" s="18"/>
      <c r="F231" s="19"/>
      <c r="G231" s="148"/>
      <c r="H231" s="19"/>
      <c r="I231" s="19"/>
      <c r="J231" s="19"/>
      <c r="K231" s="19"/>
      <c r="M231" s="20"/>
      <c r="S231" s="18"/>
    </row>
    <row r="232" spans="1:19" x14ac:dyDescent="0.2">
      <c r="B232" s="18"/>
      <c r="C232" s="18"/>
      <c r="F232" s="19"/>
      <c r="G232" s="148"/>
      <c r="H232" s="19"/>
      <c r="I232" s="19"/>
      <c r="J232" s="19"/>
      <c r="K232" s="19"/>
      <c r="M232" s="20"/>
      <c r="S232" s="18"/>
    </row>
    <row r="233" spans="1:19" x14ac:dyDescent="0.2">
      <c r="B233" s="18"/>
      <c r="C233" s="18"/>
      <c r="F233" s="19"/>
      <c r="G233" s="148"/>
      <c r="H233" s="19"/>
      <c r="I233" s="19"/>
      <c r="J233" s="19"/>
      <c r="K233" s="19"/>
      <c r="M233" s="20"/>
      <c r="S233" s="18"/>
    </row>
    <row r="234" spans="1:19" x14ac:dyDescent="0.2">
      <c r="B234" s="18"/>
      <c r="C234" s="18"/>
      <c r="F234" s="19"/>
      <c r="G234" s="148"/>
      <c r="H234" s="19"/>
      <c r="I234" s="19"/>
      <c r="J234" s="19"/>
      <c r="K234" s="19"/>
      <c r="M234" s="20"/>
      <c r="S234" s="18"/>
    </row>
    <row r="235" spans="1:19" x14ac:dyDescent="0.2">
      <c r="B235" s="18"/>
      <c r="C235" s="18"/>
      <c r="F235" s="19"/>
      <c r="G235" s="148"/>
      <c r="H235" s="19"/>
      <c r="I235" s="19"/>
      <c r="J235" s="19"/>
      <c r="K235" s="19"/>
      <c r="M235" s="20"/>
      <c r="S235" s="18"/>
    </row>
    <row r="236" spans="1:19" x14ac:dyDescent="0.2">
      <c r="B236" s="18"/>
      <c r="C236" s="18"/>
      <c r="F236" s="19"/>
      <c r="G236" s="148"/>
      <c r="H236" s="19"/>
      <c r="I236" s="19"/>
      <c r="J236" s="19"/>
      <c r="K236" s="19"/>
      <c r="M236" s="20"/>
      <c r="S236" s="18"/>
    </row>
    <row r="237" spans="1:19" x14ac:dyDescent="0.2">
      <c r="B237" s="18"/>
      <c r="C237" s="18"/>
      <c r="F237" s="19"/>
      <c r="G237" s="148"/>
      <c r="H237" s="19"/>
      <c r="I237" s="19"/>
      <c r="J237" s="19"/>
      <c r="K237" s="19"/>
      <c r="M237" s="20"/>
      <c r="S237" s="18"/>
    </row>
    <row r="238" spans="1:19" x14ac:dyDescent="0.2">
      <c r="B238" s="18"/>
      <c r="C238" s="18"/>
      <c r="F238" s="19"/>
      <c r="G238" s="148"/>
      <c r="H238" s="19"/>
      <c r="I238" s="19"/>
      <c r="J238" s="19"/>
      <c r="K238" s="19"/>
      <c r="M238" s="20"/>
      <c r="S238" s="18"/>
    </row>
    <row r="239" spans="1:19" x14ac:dyDescent="0.2">
      <c r="B239" s="18"/>
      <c r="C239" s="18"/>
      <c r="F239" s="19"/>
      <c r="G239" s="148"/>
      <c r="H239" s="19"/>
      <c r="I239" s="19"/>
      <c r="J239" s="19"/>
      <c r="K239" s="19"/>
      <c r="M239" s="20"/>
      <c r="S239" s="18"/>
    </row>
    <row r="240" spans="1:19" x14ac:dyDescent="0.2">
      <c r="C240" s="18"/>
      <c r="F240" s="19"/>
      <c r="G240" s="148"/>
      <c r="H240" s="19"/>
      <c r="I240" s="19"/>
      <c r="J240" s="19"/>
      <c r="K240" s="19"/>
      <c r="M240" s="20"/>
      <c r="S240" s="18"/>
    </row>
    <row r="241" spans="1:22" x14ac:dyDescent="0.2">
      <c r="C241" s="18"/>
      <c r="F241" s="19"/>
      <c r="G241" s="148"/>
      <c r="H241" s="19"/>
      <c r="I241" s="19"/>
      <c r="J241" s="19"/>
      <c r="K241" s="19"/>
      <c r="M241" s="20"/>
      <c r="S241" s="18"/>
    </row>
    <row r="242" spans="1:22" s="6" customFormat="1" x14ac:dyDescent="0.2">
      <c r="A242" s="100"/>
      <c r="B242" s="4"/>
      <c r="C242" s="4"/>
      <c r="D242" s="4"/>
      <c r="E242" s="4"/>
      <c r="F242" s="19"/>
      <c r="G242" s="148"/>
      <c r="H242" s="19"/>
      <c r="I242" s="19"/>
      <c r="J242" s="19"/>
      <c r="K242" s="19"/>
      <c r="L242" s="4"/>
      <c r="M242" s="20"/>
      <c r="P242" s="4"/>
      <c r="Q242" s="4"/>
      <c r="R242" s="4"/>
      <c r="S242" s="4"/>
      <c r="T242" s="4"/>
      <c r="U242" s="4"/>
      <c r="V242" s="4"/>
    </row>
    <row r="243" spans="1:22" s="6" customFormat="1" x14ac:dyDescent="0.2">
      <c r="A243" s="100"/>
      <c r="B243" s="4"/>
      <c r="C243" s="4"/>
      <c r="D243" s="4"/>
      <c r="E243" s="4"/>
      <c r="F243" s="19"/>
      <c r="G243" s="148"/>
      <c r="H243" s="19"/>
      <c r="I243" s="19"/>
      <c r="J243" s="19"/>
      <c r="K243" s="19"/>
      <c r="L243" s="4"/>
      <c r="M243" s="20"/>
      <c r="P243" s="4"/>
      <c r="Q243" s="4"/>
      <c r="R243" s="4"/>
      <c r="S243" s="4"/>
      <c r="T243" s="4"/>
      <c r="U243" s="4"/>
      <c r="V243" s="4"/>
    </row>
    <row r="244" spans="1:22" s="6" customFormat="1" x14ac:dyDescent="0.2">
      <c r="A244" s="100"/>
      <c r="B244" s="4"/>
      <c r="C244" s="4"/>
      <c r="D244" s="4"/>
      <c r="E244" s="4"/>
      <c r="F244" s="19"/>
      <c r="G244" s="148"/>
      <c r="H244" s="19"/>
      <c r="I244" s="19"/>
      <c r="J244" s="19"/>
      <c r="K244" s="19"/>
      <c r="L244" s="4"/>
      <c r="M244" s="20"/>
      <c r="P244" s="4"/>
      <c r="Q244" s="4"/>
      <c r="R244" s="4"/>
      <c r="S244" s="4"/>
      <c r="T244" s="4"/>
      <c r="U244" s="4"/>
      <c r="V244" s="4"/>
    </row>
    <row r="245" spans="1:22" s="6" customFormat="1" x14ac:dyDescent="0.2">
      <c r="A245" s="100"/>
      <c r="B245" s="4"/>
      <c r="C245" s="4"/>
      <c r="D245" s="4"/>
      <c r="E245" s="4"/>
      <c r="F245" s="19"/>
      <c r="G245" s="148"/>
      <c r="H245" s="19"/>
      <c r="I245" s="19"/>
      <c r="J245" s="19"/>
      <c r="K245" s="19"/>
      <c r="L245" s="4"/>
      <c r="M245" s="20"/>
      <c r="P245" s="4"/>
      <c r="Q245" s="4"/>
      <c r="R245" s="4"/>
      <c r="S245" s="4"/>
      <c r="T245" s="4"/>
      <c r="U245" s="4"/>
      <c r="V245" s="4"/>
    </row>
    <row r="246" spans="1:22" s="6" customFormat="1" x14ac:dyDescent="0.2">
      <c r="A246" s="100"/>
      <c r="B246" s="4"/>
      <c r="C246" s="4"/>
      <c r="D246" s="4"/>
      <c r="E246" s="4"/>
      <c r="F246" s="19"/>
      <c r="G246" s="148"/>
      <c r="H246" s="19"/>
      <c r="I246" s="19"/>
      <c r="J246" s="19"/>
      <c r="K246" s="19"/>
      <c r="L246" s="4"/>
      <c r="M246" s="20"/>
      <c r="P246" s="4"/>
      <c r="Q246" s="4"/>
      <c r="R246" s="4"/>
      <c r="S246" s="4"/>
      <c r="T246" s="4"/>
      <c r="U246" s="4"/>
      <c r="V246" s="4"/>
    </row>
    <row r="247" spans="1:22" s="6" customFormat="1" x14ac:dyDescent="0.2">
      <c r="A247" s="100"/>
      <c r="B247" s="4"/>
      <c r="C247" s="4"/>
      <c r="D247" s="4"/>
      <c r="E247" s="4"/>
      <c r="F247" s="19"/>
      <c r="G247" s="148"/>
      <c r="H247" s="19"/>
      <c r="I247" s="19"/>
      <c r="J247" s="19"/>
      <c r="K247" s="19"/>
      <c r="L247" s="4"/>
      <c r="M247" s="20"/>
      <c r="P247" s="4"/>
      <c r="Q247" s="4"/>
      <c r="R247" s="4"/>
      <c r="S247" s="4"/>
      <c r="T247" s="4"/>
      <c r="U247" s="4"/>
      <c r="V247" s="4"/>
    </row>
    <row r="248" spans="1:22" s="6" customFormat="1" x14ac:dyDescent="0.2">
      <c r="A248" s="100"/>
      <c r="B248" s="4"/>
      <c r="C248" s="4"/>
      <c r="D248" s="4"/>
      <c r="E248" s="4"/>
      <c r="F248" s="19"/>
      <c r="G248" s="148"/>
      <c r="H248" s="19"/>
      <c r="I248" s="19"/>
      <c r="J248" s="19"/>
      <c r="K248" s="19"/>
      <c r="L248" s="4"/>
      <c r="M248" s="20"/>
      <c r="P248" s="4"/>
      <c r="Q248" s="4"/>
      <c r="R248" s="4"/>
      <c r="S248" s="4"/>
      <c r="T248" s="4"/>
      <c r="U248" s="4"/>
      <c r="V248" s="4"/>
    </row>
    <row r="249" spans="1:22" s="6" customFormat="1" x14ac:dyDescent="0.2">
      <c r="A249" s="100"/>
      <c r="B249" s="4"/>
      <c r="C249" s="4"/>
      <c r="D249" s="4"/>
      <c r="E249" s="4"/>
      <c r="F249" s="19"/>
      <c r="G249" s="148"/>
      <c r="H249" s="19"/>
      <c r="I249" s="19"/>
      <c r="J249" s="19"/>
      <c r="K249" s="19"/>
      <c r="L249" s="4"/>
      <c r="M249" s="20"/>
      <c r="P249" s="4"/>
      <c r="Q249" s="4"/>
      <c r="R249" s="4"/>
      <c r="S249" s="4"/>
      <c r="T249" s="4"/>
      <c r="U249" s="4"/>
      <c r="V249" s="4"/>
    </row>
    <row r="250" spans="1:22" s="6" customFormat="1" x14ac:dyDescent="0.2">
      <c r="A250" s="100"/>
      <c r="B250" s="4"/>
      <c r="C250" s="4"/>
      <c r="D250" s="4"/>
      <c r="E250" s="4"/>
      <c r="F250" s="19"/>
      <c r="G250" s="148"/>
      <c r="H250" s="19"/>
      <c r="I250" s="19"/>
      <c r="J250" s="19"/>
      <c r="K250" s="19"/>
      <c r="L250" s="4"/>
      <c r="M250" s="20"/>
      <c r="P250" s="4"/>
      <c r="Q250" s="4"/>
      <c r="R250" s="4"/>
      <c r="S250" s="4"/>
      <c r="T250" s="4"/>
      <c r="U250" s="4"/>
      <c r="V250" s="4"/>
    </row>
    <row r="251" spans="1:22" s="6" customFormat="1" x14ac:dyDescent="0.2">
      <c r="A251" s="100"/>
      <c r="B251" s="4"/>
      <c r="C251" s="4"/>
      <c r="D251" s="4"/>
      <c r="E251" s="4"/>
      <c r="F251" s="19"/>
      <c r="G251" s="148"/>
      <c r="H251" s="19"/>
      <c r="I251" s="19"/>
      <c r="J251" s="19"/>
      <c r="K251" s="19"/>
      <c r="L251" s="4"/>
      <c r="M251" s="20"/>
      <c r="P251" s="4"/>
      <c r="Q251" s="4"/>
      <c r="R251" s="4"/>
      <c r="S251" s="4"/>
      <c r="T251" s="4"/>
      <c r="U251" s="4"/>
      <c r="V251" s="4"/>
    </row>
    <row r="252" spans="1:22" s="6" customFormat="1" x14ac:dyDescent="0.2">
      <c r="A252" s="100"/>
      <c r="B252" s="4"/>
      <c r="C252" s="4"/>
      <c r="D252" s="4"/>
      <c r="E252" s="4"/>
      <c r="F252" s="19"/>
      <c r="G252" s="148"/>
      <c r="H252" s="19"/>
      <c r="I252" s="19"/>
      <c r="J252" s="19"/>
      <c r="K252" s="19"/>
      <c r="L252" s="4"/>
      <c r="M252" s="20"/>
      <c r="P252" s="4"/>
      <c r="Q252" s="4"/>
      <c r="R252" s="4"/>
      <c r="S252" s="4"/>
      <c r="T252" s="4"/>
      <c r="U252" s="4"/>
      <c r="V252" s="4"/>
    </row>
    <row r="253" spans="1:22" s="6" customFormat="1" x14ac:dyDescent="0.2">
      <c r="A253" s="100"/>
      <c r="B253" s="4"/>
      <c r="C253" s="4"/>
      <c r="D253" s="4"/>
      <c r="E253" s="4"/>
      <c r="F253" s="19"/>
      <c r="G253" s="148"/>
      <c r="H253" s="19"/>
      <c r="I253" s="19"/>
      <c r="J253" s="19"/>
      <c r="K253" s="19"/>
      <c r="L253" s="4"/>
      <c r="M253" s="20"/>
      <c r="P253" s="4"/>
      <c r="Q253" s="4"/>
      <c r="R253" s="4"/>
      <c r="S253" s="4"/>
      <c r="T253" s="4"/>
      <c r="U253" s="4"/>
      <c r="V253" s="4"/>
    </row>
    <row r="254" spans="1:22" s="6" customFormat="1" x14ac:dyDescent="0.2">
      <c r="A254" s="100"/>
      <c r="B254" s="4"/>
      <c r="C254" s="4"/>
      <c r="D254" s="4"/>
      <c r="E254" s="4"/>
      <c r="F254" s="19"/>
      <c r="G254" s="148"/>
      <c r="H254" s="19"/>
      <c r="I254" s="19"/>
      <c r="J254" s="19"/>
      <c r="K254" s="19"/>
      <c r="L254" s="4"/>
      <c r="M254" s="20"/>
      <c r="P254" s="4"/>
      <c r="Q254" s="4"/>
      <c r="R254" s="4"/>
      <c r="S254" s="4"/>
      <c r="T254" s="4"/>
      <c r="U254" s="4"/>
      <c r="V254" s="4"/>
    </row>
    <row r="255" spans="1:22" s="6" customFormat="1" x14ac:dyDescent="0.2">
      <c r="A255" s="100"/>
      <c r="B255" s="4"/>
      <c r="C255" s="4"/>
      <c r="D255" s="4"/>
      <c r="E255" s="4"/>
      <c r="F255" s="19"/>
      <c r="G255" s="148"/>
      <c r="H255" s="19"/>
      <c r="I255" s="19"/>
      <c r="J255" s="19"/>
      <c r="K255" s="19"/>
      <c r="L255" s="4"/>
      <c r="M255" s="20"/>
      <c r="P255" s="4"/>
      <c r="Q255" s="4"/>
      <c r="R255" s="4"/>
      <c r="S255" s="4"/>
      <c r="T255" s="4"/>
      <c r="U255" s="4"/>
      <c r="V255" s="4"/>
    </row>
    <row r="256" spans="1:22" s="6" customFormat="1" x14ac:dyDescent="0.2">
      <c r="A256" s="100"/>
      <c r="B256" s="4"/>
      <c r="C256" s="4"/>
      <c r="D256" s="4"/>
      <c r="E256" s="4"/>
      <c r="F256" s="19"/>
      <c r="G256" s="148"/>
      <c r="H256" s="19"/>
      <c r="I256" s="19"/>
      <c r="J256" s="19"/>
      <c r="K256" s="19"/>
      <c r="L256" s="4"/>
      <c r="M256" s="20"/>
      <c r="P256" s="4"/>
      <c r="Q256" s="4"/>
      <c r="R256" s="4"/>
      <c r="S256" s="4"/>
      <c r="T256" s="4"/>
      <c r="U256" s="4"/>
      <c r="V256" s="4"/>
    </row>
    <row r="257" spans="1:22" s="6" customFormat="1" x14ac:dyDescent="0.2">
      <c r="A257" s="100"/>
      <c r="B257" s="4"/>
      <c r="C257" s="4"/>
      <c r="D257" s="4"/>
      <c r="E257" s="4"/>
      <c r="F257" s="19"/>
      <c r="G257" s="148"/>
      <c r="H257" s="19"/>
      <c r="I257" s="19"/>
      <c r="J257" s="19"/>
      <c r="K257" s="19"/>
      <c r="L257" s="4"/>
      <c r="M257" s="20"/>
      <c r="P257" s="4"/>
      <c r="Q257" s="4"/>
      <c r="R257" s="4"/>
      <c r="S257" s="4"/>
      <c r="T257" s="4"/>
      <c r="U257" s="4"/>
      <c r="V257" s="4"/>
    </row>
    <row r="258" spans="1:22" s="6" customFormat="1" x14ac:dyDescent="0.2">
      <c r="A258" s="100"/>
      <c r="B258" s="4"/>
      <c r="C258" s="4"/>
      <c r="D258" s="4"/>
      <c r="E258" s="4"/>
      <c r="F258" s="19"/>
      <c r="G258" s="148"/>
      <c r="H258" s="19"/>
      <c r="I258" s="19"/>
      <c r="J258" s="19"/>
      <c r="K258" s="19"/>
      <c r="L258" s="4"/>
      <c r="M258" s="20"/>
      <c r="P258" s="4"/>
      <c r="Q258" s="4"/>
      <c r="R258" s="4"/>
      <c r="S258" s="4"/>
      <c r="T258" s="4"/>
      <c r="U258" s="4"/>
      <c r="V258" s="4"/>
    </row>
    <row r="259" spans="1:22" s="6" customFormat="1" x14ac:dyDescent="0.2">
      <c r="A259" s="100"/>
      <c r="B259" s="4"/>
      <c r="C259" s="4"/>
      <c r="D259" s="4"/>
      <c r="E259" s="4"/>
      <c r="F259" s="19"/>
      <c r="G259" s="148"/>
      <c r="H259" s="19"/>
      <c r="I259" s="19"/>
      <c r="J259" s="19"/>
      <c r="K259" s="19"/>
      <c r="L259" s="4"/>
      <c r="M259" s="20"/>
      <c r="P259" s="4"/>
      <c r="Q259" s="4"/>
      <c r="R259" s="4"/>
      <c r="S259" s="4"/>
      <c r="T259" s="4"/>
      <c r="U259" s="4"/>
      <c r="V259" s="4"/>
    </row>
    <row r="260" spans="1:22" s="6" customFormat="1" x14ac:dyDescent="0.2">
      <c r="A260" s="100"/>
      <c r="B260" s="4"/>
      <c r="C260" s="4"/>
      <c r="D260" s="4"/>
      <c r="E260" s="4"/>
      <c r="F260" s="19"/>
      <c r="G260" s="148"/>
      <c r="H260" s="19"/>
      <c r="I260" s="19"/>
      <c r="J260" s="19"/>
      <c r="K260" s="19"/>
      <c r="L260" s="4"/>
      <c r="M260" s="20"/>
      <c r="P260" s="4"/>
      <c r="Q260" s="4"/>
      <c r="R260" s="4"/>
      <c r="S260" s="4"/>
      <c r="T260" s="4"/>
      <c r="U260" s="4"/>
      <c r="V260" s="4"/>
    </row>
    <row r="261" spans="1:22" s="6" customFormat="1" x14ac:dyDescent="0.2">
      <c r="A261" s="100"/>
      <c r="B261" s="4"/>
      <c r="C261" s="4"/>
      <c r="D261" s="4"/>
      <c r="E261" s="4"/>
      <c r="F261" s="19"/>
      <c r="G261" s="148"/>
      <c r="H261" s="19"/>
      <c r="I261" s="19"/>
      <c r="J261" s="19"/>
      <c r="K261" s="19"/>
      <c r="L261" s="4"/>
      <c r="M261" s="20"/>
      <c r="P261" s="4"/>
      <c r="Q261" s="4"/>
      <c r="R261" s="4"/>
      <c r="S261" s="4"/>
      <c r="T261" s="4"/>
      <c r="U261" s="4"/>
      <c r="V261" s="4"/>
    </row>
    <row r="262" spans="1:22" s="6" customFormat="1" x14ac:dyDescent="0.2">
      <c r="A262" s="100"/>
      <c r="B262" s="4"/>
      <c r="C262" s="4"/>
      <c r="D262" s="4"/>
      <c r="E262" s="4"/>
      <c r="F262" s="19"/>
      <c r="G262" s="148"/>
      <c r="H262" s="19"/>
      <c r="I262" s="19"/>
      <c r="J262" s="19"/>
      <c r="K262" s="19"/>
      <c r="L262" s="4"/>
      <c r="M262" s="20"/>
      <c r="P262" s="4"/>
      <c r="Q262" s="4"/>
      <c r="R262" s="4"/>
      <c r="S262" s="4"/>
      <c r="T262" s="4"/>
      <c r="U262" s="4"/>
      <c r="V262" s="4"/>
    </row>
    <row r="263" spans="1:22" s="6" customFormat="1" x14ac:dyDescent="0.2">
      <c r="A263" s="100"/>
      <c r="B263" s="4"/>
      <c r="C263" s="4"/>
      <c r="D263" s="4"/>
      <c r="E263" s="4"/>
      <c r="F263" s="19"/>
      <c r="G263" s="148"/>
      <c r="H263" s="19"/>
      <c r="I263" s="19"/>
      <c r="J263" s="19"/>
      <c r="K263" s="19"/>
      <c r="L263" s="4"/>
      <c r="M263" s="20"/>
      <c r="P263" s="4"/>
      <c r="Q263" s="4"/>
      <c r="R263" s="4"/>
      <c r="S263" s="4"/>
      <c r="T263" s="4"/>
      <c r="U263" s="4"/>
      <c r="V263" s="4"/>
    </row>
    <row r="264" spans="1:22" s="6" customFormat="1" x14ac:dyDescent="0.2">
      <c r="A264" s="100"/>
      <c r="B264" s="4"/>
      <c r="C264" s="4"/>
      <c r="D264" s="4"/>
      <c r="E264" s="4"/>
      <c r="F264" s="19"/>
      <c r="G264" s="148"/>
      <c r="H264" s="19"/>
      <c r="I264" s="19"/>
      <c r="J264" s="19"/>
      <c r="K264" s="19"/>
      <c r="L264" s="4"/>
      <c r="M264" s="20"/>
      <c r="P264" s="4"/>
      <c r="Q264" s="4"/>
      <c r="R264" s="4"/>
      <c r="S264" s="4"/>
      <c r="T264" s="4"/>
      <c r="U264" s="4"/>
      <c r="V264" s="4"/>
    </row>
    <row r="265" spans="1:22" s="6" customFormat="1" x14ac:dyDescent="0.2">
      <c r="A265" s="100"/>
      <c r="B265" s="4"/>
      <c r="C265" s="4"/>
      <c r="D265" s="4"/>
      <c r="E265" s="4"/>
      <c r="F265" s="19"/>
      <c r="G265" s="148"/>
      <c r="H265" s="19"/>
      <c r="I265" s="19"/>
      <c r="J265" s="19"/>
      <c r="K265" s="19"/>
      <c r="L265" s="4"/>
      <c r="M265" s="20"/>
      <c r="P265" s="4"/>
      <c r="Q265" s="4"/>
      <c r="R265" s="4"/>
      <c r="S265" s="4"/>
      <c r="T265" s="4"/>
      <c r="U265" s="4"/>
      <c r="V265" s="4"/>
    </row>
    <row r="266" spans="1:22" s="6" customFormat="1" x14ac:dyDescent="0.2">
      <c r="A266" s="100"/>
      <c r="B266" s="4"/>
      <c r="C266" s="4"/>
      <c r="D266" s="4"/>
      <c r="E266" s="4"/>
      <c r="F266" s="19"/>
      <c r="G266" s="148"/>
      <c r="H266" s="19"/>
      <c r="I266" s="19"/>
      <c r="J266" s="19"/>
      <c r="K266" s="19"/>
      <c r="L266" s="4"/>
      <c r="M266" s="20"/>
      <c r="P266" s="4"/>
      <c r="Q266" s="4"/>
      <c r="R266" s="4"/>
      <c r="S266" s="4"/>
      <c r="T266" s="4"/>
      <c r="U266" s="4"/>
      <c r="V266" s="4"/>
    </row>
    <row r="267" spans="1:22" s="6" customFormat="1" x14ac:dyDescent="0.2">
      <c r="A267" s="100"/>
      <c r="B267" s="4"/>
      <c r="C267" s="4"/>
      <c r="D267" s="4"/>
      <c r="E267" s="4"/>
      <c r="F267" s="19"/>
      <c r="G267" s="148"/>
      <c r="H267" s="19"/>
      <c r="I267" s="19"/>
      <c r="J267" s="19"/>
      <c r="K267" s="19"/>
      <c r="L267" s="4"/>
      <c r="M267" s="20"/>
      <c r="P267" s="4"/>
      <c r="Q267" s="4"/>
      <c r="R267" s="4"/>
      <c r="S267" s="4"/>
      <c r="T267" s="4"/>
      <c r="U267" s="4"/>
      <c r="V267" s="4"/>
    </row>
    <row r="268" spans="1:22" s="6" customFormat="1" x14ac:dyDescent="0.2">
      <c r="A268" s="100"/>
      <c r="B268" s="4"/>
      <c r="C268" s="4"/>
      <c r="D268" s="4"/>
      <c r="E268" s="4"/>
      <c r="F268" s="19"/>
      <c r="G268" s="148"/>
      <c r="H268" s="19"/>
      <c r="I268" s="19"/>
      <c r="J268" s="19"/>
      <c r="K268" s="19"/>
      <c r="L268" s="4"/>
      <c r="M268" s="20"/>
      <c r="P268" s="4"/>
      <c r="Q268" s="4"/>
      <c r="R268" s="4"/>
      <c r="S268" s="4"/>
      <c r="T268" s="4"/>
      <c r="U268" s="4"/>
      <c r="V268" s="4"/>
    </row>
    <row r="269" spans="1:22" s="6" customFormat="1" x14ac:dyDescent="0.2">
      <c r="A269" s="100"/>
      <c r="B269" s="4"/>
      <c r="C269" s="4"/>
      <c r="D269" s="4"/>
      <c r="E269" s="4"/>
      <c r="F269" s="19"/>
      <c r="G269" s="148"/>
      <c r="H269" s="19"/>
      <c r="I269" s="19"/>
      <c r="J269" s="19"/>
      <c r="K269" s="19"/>
      <c r="L269" s="4"/>
      <c r="M269" s="20"/>
      <c r="P269" s="4"/>
      <c r="Q269" s="4"/>
      <c r="R269" s="4"/>
      <c r="S269" s="4"/>
      <c r="T269" s="4"/>
      <c r="U269" s="4"/>
      <c r="V269" s="4"/>
    </row>
    <row r="270" spans="1:22" s="6" customFormat="1" x14ac:dyDescent="0.2">
      <c r="A270" s="100"/>
      <c r="B270" s="4"/>
      <c r="C270" s="4"/>
      <c r="D270" s="4"/>
      <c r="E270" s="4"/>
      <c r="F270" s="19"/>
      <c r="G270" s="148"/>
      <c r="H270" s="19"/>
      <c r="I270" s="19"/>
      <c r="J270" s="19"/>
      <c r="K270" s="19"/>
      <c r="L270" s="4"/>
      <c r="M270" s="20"/>
      <c r="P270" s="4"/>
      <c r="Q270" s="4"/>
      <c r="R270" s="4"/>
      <c r="S270" s="4"/>
      <c r="T270" s="4"/>
      <c r="U270" s="4"/>
      <c r="V270" s="4"/>
    </row>
    <row r="271" spans="1:22" s="6" customFormat="1" x14ac:dyDescent="0.2">
      <c r="A271" s="100"/>
      <c r="B271" s="4"/>
      <c r="C271" s="4"/>
      <c r="D271" s="4"/>
      <c r="E271" s="4"/>
      <c r="F271" s="19"/>
      <c r="G271" s="148"/>
      <c r="H271" s="19"/>
      <c r="I271" s="19"/>
      <c r="J271" s="19"/>
      <c r="K271" s="19"/>
      <c r="L271" s="4"/>
      <c r="M271" s="20"/>
      <c r="P271" s="4"/>
      <c r="Q271" s="4"/>
      <c r="R271" s="4"/>
      <c r="S271" s="4"/>
      <c r="T271" s="4"/>
      <c r="U271" s="4"/>
      <c r="V271" s="4"/>
    </row>
    <row r="272" spans="1:22" s="6" customFormat="1" x14ac:dyDescent="0.2">
      <c r="A272" s="100"/>
      <c r="B272" s="4"/>
      <c r="C272" s="4"/>
      <c r="D272" s="4"/>
      <c r="E272" s="4"/>
      <c r="F272" s="19"/>
      <c r="G272" s="148"/>
      <c r="H272" s="19"/>
      <c r="I272" s="19"/>
      <c r="J272" s="19"/>
      <c r="K272" s="19"/>
      <c r="L272" s="4"/>
      <c r="M272" s="20"/>
      <c r="P272" s="4"/>
      <c r="Q272" s="4"/>
      <c r="R272" s="4"/>
      <c r="S272" s="4"/>
      <c r="T272" s="4"/>
      <c r="U272" s="4"/>
      <c r="V272" s="4"/>
    </row>
    <row r="273" spans="1:22" s="6" customFormat="1" x14ac:dyDescent="0.2">
      <c r="A273" s="100"/>
      <c r="B273" s="4"/>
      <c r="C273" s="4"/>
      <c r="D273" s="4"/>
      <c r="E273" s="4"/>
      <c r="F273" s="19"/>
      <c r="G273" s="148"/>
      <c r="H273" s="19"/>
      <c r="I273" s="19"/>
      <c r="J273" s="19"/>
      <c r="K273" s="19"/>
      <c r="L273" s="4"/>
      <c r="M273" s="20"/>
      <c r="P273" s="4"/>
      <c r="Q273" s="4"/>
      <c r="R273" s="4"/>
      <c r="S273" s="4"/>
      <c r="T273" s="4"/>
      <c r="U273" s="4"/>
      <c r="V273" s="4"/>
    </row>
    <row r="274" spans="1:22" s="6" customFormat="1" x14ac:dyDescent="0.2">
      <c r="A274" s="100"/>
      <c r="B274" s="4"/>
      <c r="C274" s="4"/>
      <c r="D274" s="4"/>
      <c r="E274" s="4"/>
      <c r="F274" s="19"/>
      <c r="G274" s="148"/>
      <c r="H274" s="19"/>
      <c r="I274" s="19"/>
      <c r="J274" s="19"/>
      <c r="K274" s="19"/>
      <c r="L274" s="4"/>
      <c r="M274" s="20"/>
      <c r="P274" s="4"/>
      <c r="Q274" s="4"/>
      <c r="R274" s="4"/>
      <c r="S274" s="4"/>
      <c r="T274" s="4"/>
      <c r="U274" s="4"/>
      <c r="V274" s="4"/>
    </row>
    <row r="275" spans="1:22" s="6" customFormat="1" x14ac:dyDescent="0.2">
      <c r="A275" s="100"/>
      <c r="B275" s="4"/>
      <c r="C275" s="4"/>
      <c r="D275" s="4"/>
      <c r="E275" s="4"/>
      <c r="F275" s="19"/>
      <c r="G275" s="148"/>
      <c r="H275" s="19"/>
      <c r="I275" s="19"/>
      <c r="J275" s="19"/>
      <c r="K275" s="19"/>
      <c r="L275" s="4"/>
      <c r="M275" s="20"/>
      <c r="P275" s="4"/>
      <c r="Q275" s="4"/>
      <c r="R275" s="4"/>
      <c r="S275" s="4"/>
      <c r="T275" s="4"/>
      <c r="U275" s="4"/>
      <c r="V275" s="4"/>
    </row>
    <row r="276" spans="1:22" s="6" customFormat="1" x14ac:dyDescent="0.2">
      <c r="A276" s="100"/>
      <c r="B276" s="4"/>
      <c r="C276" s="4"/>
      <c r="D276" s="4"/>
      <c r="E276" s="4"/>
      <c r="F276" s="19"/>
      <c r="G276" s="148"/>
      <c r="H276" s="19"/>
      <c r="I276" s="19"/>
      <c r="J276" s="19"/>
      <c r="K276" s="19"/>
      <c r="L276" s="4"/>
      <c r="M276" s="20"/>
      <c r="P276" s="4"/>
      <c r="Q276" s="4"/>
      <c r="R276" s="4"/>
      <c r="S276" s="4"/>
      <c r="T276" s="4"/>
      <c r="U276" s="4"/>
      <c r="V276" s="4"/>
    </row>
    <row r="277" spans="1:22" s="6" customFormat="1" x14ac:dyDescent="0.2">
      <c r="A277" s="100"/>
      <c r="B277" s="4"/>
      <c r="C277" s="4"/>
      <c r="D277" s="4"/>
      <c r="E277" s="4"/>
      <c r="F277" s="19"/>
      <c r="G277" s="148"/>
      <c r="H277" s="19"/>
      <c r="I277" s="19"/>
      <c r="J277" s="19"/>
      <c r="K277" s="19"/>
      <c r="L277" s="4"/>
      <c r="M277" s="20"/>
      <c r="P277" s="4"/>
      <c r="Q277" s="4"/>
      <c r="R277" s="4"/>
      <c r="S277" s="4"/>
      <c r="T277" s="4"/>
      <c r="U277" s="4"/>
      <c r="V277" s="4"/>
    </row>
    <row r="278" spans="1:22" s="6" customFormat="1" x14ac:dyDescent="0.2">
      <c r="A278" s="100"/>
      <c r="B278" s="4"/>
      <c r="C278" s="4"/>
      <c r="D278" s="4"/>
      <c r="E278" s="4"/>
      <c r="F278" s="19"/>
      <c r="G278" s="148"/>
      <c r="H278" s="19"/>
      <c r="I278" s="19"/>
      <c r="J278" s="19"/>
      <c r="K278" s="19"/>
      <c r="L278" s="4"/>
      <c r="M278" s="20"/>
      <c r="P278" s="4"/>
      <c r="Q278" s="4"/>
      <c r="R278" s="4"/>
      <c r="S278" s="4"/>
      <c r="T278" s="4"/>
      <c r="U278" s="4"/>
      <c r="V278" s="4"/>
    </row>
    <row r="279" spans="1:22" s="6" customFormat="1" x14ac:dyDescent="0.2">
      <c r="A279" s="100"/>
      <c r="B279" s="4"/>
      <c r="C279" s="4"/>
      <c r="D279" s="4"/>
      <c r="E279" s="4"/>
      <c r="F279" s="19"/>
      <c r="G279" s="148"/>
      <c r="H279" s="19"/>
      <c r="I279" s="19"/>
      <c r="J279" s="19"/>
      <c r="K279" s="19"/>
      <c r="L279" s="4"/>
      <c r="M279" s="20"/>
      <c r="P279" s="4"/>
      <c r="Q279" s="4"/>
      <c r="R279" s="4"/>
      <c r="S279" s="4"/>
      <c r="T279" s="4"/>
      <c r="U279" s="4"/>
      <c r="V279" s="4"/>
    </row>
    <row r="280" spans="1:22" s="6" customFormat="1" x14ac:dyDescent="0.2">
      <c r="A280" s="100"/>
      <c r="B280" s="4"/>
      <c r="C280" s="4"/>
      <c r="D280" s="4"/>
      <c r="E280" s="4"/>
      <c r="F280" s="19"/>
      <c r="G280" s="148"/>
      <c r="H280" s="19"/>
      <c r="I280" s="19"/>
      <c r="J280" s="19"/>
      <c r="K280" s="19"/>
      <c r="L280" s="4"/>
      <c r="M280" s="20"/>
      <c r="P280" s="4"/>
      <c r="Q280" s="4"/>
      <c r="R280" s="4"/>
      <c r="S280" s="4"/>
      <c r="T280" s="4"/>
      <c r="U280" s="4"/>
      <c r="V280" s="4"/>
    </row>
    <row r="281" spans="1:22" s="6" customFormat="1" x14ac:dyDescent="0.2">
      <c r="A281" s="100"/>
      <c r="B281" s="4"/>
      <c r="C281" s="4"/>
      <c r="D281" s="4"/>
      <c r="E281" s="4"/>
      <c r="F281" s="19"/>
      <c r="G281" s="148"/>
      <c r="H281" s="19"/>
      <c r="I281" s="19"/>
      <c r="J281" s="19"/>
      <c r="K281" s="19"/>
      <c r="L281" s="4"/>
      <c r="M281" s="20"/>
      <c r="P281" s="4"/>
      <c r="Q281" s="4"/>
      <c r="R281" s="4"/>
      <c r="S281" s="4"/>
      <c r="T281" s="4"/>
      <c r="U281" s="4"/>
      <c r="V281" s="4"/>
    </row>
    <row r="282" spans="1:22" s="6" customFormat="1" x14ac:dyDescent="0.2">
      <c r="A282" s="100"/>
      <c r="B282" s="4"/>
      <c r="C282" s="4"/>
      <c r="D282" s="4"/>
      <c r="E282" s="4"/>
      <c r="F282" s="19"/>
      <c r="G282" s="148"/>
      <c r="H282" s="19"/>
      <c r="I282" s="19"/>
      <c r="J282" s="19"/>
      <c r="K282" s="19"/>
      <c r="L282" s="4"/>
      <c r="M282" s="20"/>
      <c r="P282" s="4"/>
      <c r="Q282" s="4"/>
      <c r="R282" s="4"/>
      <c r="S282" s="4"/>
      <c r="T282" s="4"/>
      <c r="U282" s="4"/>
      <c r="V282" s="4"/>
    </row>
    <row r="283" spans="1:22" s="6" customFormat="1" x14ac:dyDescent="0.2">
      <c r="A283" s="100"/>
      <c r="B283" s="4"/>
      <c r="C283" s="4"/>
      <c r="D283" s="4"/>
      <c r="E283" s="4"/>
      <c r="F283" s="19"/>
      <c r="G283" s="148"/>
      <c r="H283" s="19"/>
      <c r="I283" s="19"/>
      <c r="J283" s="19"/>
      <c r="K283" s="19"/>
      <c r="L283" s="4"/>
      <c r="M283" s="20"/>
      <c r="P283" s="4"/>
      <c r="Q283" s="4"/>
      <c r="R283" s="4"/>
      <c r="S283" s="4"/>
      <c r="T283" s="4"/>
      <c r="U283" s="4"/>
      <c r="V283" s="4"/>
    </row>
    <row r="284" spans="1:22" s="6" customFormat="1" x14ac:dyDescent="0.2">
      <c r="A284" s="100"/>
      <c r="B284" s="4"/>
      <c r="C284" s="4"/>
      <c r="D284" s="4"/>
      <c r="E284" s="4"/>
      <c r="F284" s="19"/>
      <c r="G284" s="148"/>
      <c r="H284" s="19"/>
      <c r="I284" s="19"/>
      <c r="J284" s="19"/>
      <c r="K284" s="19"/>
      <c r="L284" s="4"/>
      <c r="M284" s="20"/>
      <c r="P284" s="4"/>
      <c r="Q284" s="4"/>
      <c r="R284" s="4"/>
      <c r="S284" s="4"/>
      <c r="T284" s="4"/>
      <c r="U284" s="4"/>
      <c r="V284" s="4"/>
    </row>
    <row r="285" spans="1:22" s="6" customFormat="1" x14ac:dyDescent="0.2">
      <c r="A285" s="100"/>
      <c r="B285" s="4"/>
      <c r="C285" s="4"/>
      <c r="D285" s="4"/>
      <c r="E285" s="4"/>
      <c r="F285" s="19"/>
      <c r="G285" s="148"/>
      <c r="H285" s="19"/>
      <c r="I285" s="19"/>
      <c r="J285" s="19"/>
      <c r="K285" s="19"/>
      <c r="L285" s="4"/>
      <c r="M285" s="20"/>
      <c r="P285" s="4"/>
      <c r="Q285" s="4"/>
      <c r="R285" s="4"/>
      <c r="S285" s="4"/>
      <c r="T285" s="4"/>
      <c r="U285" s="4"/>
      <c r="V285" s="4"/>
    </row>
    <row r="286" spans="1:22" s="6" customFormat="1" x14ac:dyDescent="0.2">
      <c r="A286" s="100"/>
      <c r="B286" s="4"/>
      <c r="C286" s="4"/>
      <c r="D286" s="4"/>
      <c r="E286" s="4"/>
      <c r="F286" s="19"/>
      <c r="G286" s="148"/>
      <c r="H286" s="19"/>
      <c r="I286" s="19"/>
      <c r="J286" s="19"/>
      <c r="K286" s="19"/>
      <c r="L286" s="4"/>
      <c r="M286" s="20"/>
      <c r="P286" s="4"/>
      <c r="Q286" s="4"/>
      <c r="R286" s="4"/>
      <c r="S286" s="4"/>
      <c r="T286" s="4"/>
      <c r="U286" s="4"/>
      <c r="V286" s="4"/>
    </row>
    <row r="287" spans="1:22" s="6" customFormat="1" x14ac:dyDescent="0.2">
      <c r="A287" s="100"/>
      <c r="B287" s="4"/>
      <c r="C287" s="4"/>
      <c r="D287" s="4"/>
      <c r="E287" s="4"/>
      <c r="F287" s="19"/>
      <c r="G287" s="148"/>
      <c r="H287" s="19"/>
      <c r="I287" s="19"/>
      <c r="J287" s="19"/>
      <c r="K287" s="19"/>
      <c r="L287" s="4"/>
      <c r="M287" s="20"/>
      <c r="P287" s="4"/>
      <c r="Q287" s="4"/>
      <c r="R287" s="4"/>
      <c r="S287" s="4"/>
      <c r="T287" s="4"/>
      <c r="U287" s="4"/>
      <c r="V287" s="4"/>
    </row>
    <row r="288" spans="1:22" s="6" customFormat="1" x14ac:dyDescent="0.2">
      <c r="A288" s="100"/>
      <c r="B288" s="4"/>
      <c r="C288" s="4"/>
      <c r="D288" s="4"/>
      <c r="E288" s="4"/>
      <c r="F288" s="19"/>
      <c r="G288" s="148"/>
      <c r="H288" s="19"/>
      <c r="I288" s="19"/>
      <c r="J288" s="19"/>
      <c r="K288" s="19"/>
      <c r="L288" s="4"/>
      <c r="M288" s="20"/>
      <c r="P288" s="4"/>
      <c r="Q288" s="4"/>
      <c r="R288" s="4"/>
      <c r="S288" s="4"/>
      <c r="T288" s="4"/>
      <c r="U288" s="4"/>
      <c r="V288" s="4"/>
    </row>
    <row r="289" spans="1:22" s="6" customFormat="1" x14ac:dyDescent="0.2">
      <c r="A289" s="100"/>
      <c r="B289" s="4"/>
      <c r="C289" s="4"/>
      <c r="D289" s="4"/>
      <c r="E289" s="4"/>
      <c r="F289" s="19"/>
      <c r="G289" s="148"/>
      <c r="H289" s="19"/>
      <c r="I289" s="19"/>
      <c r="J289" s="19"/>
      <c r="K289" s="19"/>
      <c r="L289" s="4"/>
      <c r="M289" s="20"/>
      <c r="P289" s="4"/>
      <c r="Q289" s="4"/>
      <c r="R289" s="4"/>
      <c r="S289" s="4"/>
      <c r="T289" s="4"/>
      <c r="U289" s="4"/>
      <c r="V289" s="4"/>
    </row>
    <row r="290" spans="1:22" x14ac:dyDescent="0.2">
      <c r="H290" s="19"/>
    </row>
  </sheetData>
  <mergeCells count="1">
    <mergeCell ref="Q5:R5"/>
  </mergeCells>
  <conditionalFormatting sqref="H157 G159">
    <cfRule type="cellIs" dxfId="31"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itness xmlns="fb86b3f3-0c45-4486-810b-39aa0a1cbbd7">Weatherston</Witnes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E323CE4F42204A9B662899E3EA5D1A" ma:contentTypeVersion="3" ma:contentTypeDescription="Create a new document." ma:contentTypeScope="" ma:versionID="88e3c40d1116f382a416ebedd269c2c0">
  <xsd:schema xmlns:xsd="http://www.w3.org/2001/XMLSchema" xmlns:xs="http://www.w3.org/2001/XMLSchema" xmlns:p="http://schemas.microsoft.com/office/2006/metadata/properties" xmlns:ns2="a1b08b4f-a83f-4c03-90bd-2a79b6ed54d4" xmlns:ns3="fb86b3f3-0c45-4486-810b-39aa0a1cbbd7" targetNamespace="http://schemas.microsoft.com/office/2006/metadata/properties" ma:root="true" ma:fieldsID="3d7e87bf224e8acbba5e13f42ed33f78" ns2:_="" ns3:_="">
    <xsd:import namespace="a1b08b4f-a83f-4c03-90bd-2a79b6ed54d4"/>
    <xsd:import namespace="fb86b3f3-0c45-4486-810b-39aa0a1cbbd7"/>
    <xsd:element name="properties">
      <xsd:complexType>
        <xsd:sequence>
          <xsd:element name="documentManagement">
            <xsd:complexType>
              <xsd:all>
                <xsd:element ref="ns2:SharedWithUsers" minOccurs="0"/>
                <xsd:element ref="ns3:Witnes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b08b4f-a83f-4c03-90bd-2a79b6ed54d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6b3f3-0c45-4486-810b-39aa0a1cbbd7" elementFormDefault="qualified">
    <xsd:import namespace="http://schemas.microsoft.com/office/2006/documentManagement/types"/>
    <xsd:import namespace="http://schemas.microsoft.com/office/infopath/2007/PartnerControls"/>
    <xsd:element name="Witness" ma:index="10" nillable="true" ma:displayName="Witness" ma:internalName="Witnes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3520B3-034F-4482-A8A2-7951187BF0E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1b08b4f-a83f-4c03-90bd-2a79b6ed54d4"/>
    <ds:schemaRef ds:uri="http://purl.org/dc/terms/"/>
    <ds:schemaRef ds:uri="http://schemas.openxmlformats.org/package/2006/metadata/core-properties"/>
    <ds:schemaRef ds:uri="fb86b3f3-0c45-4486-810b-39aa0a1cbbd7"/>
    <ds:schemaRef ds:uri="http://www.w3.org/XML/1998/namespace"/>
    <ds:schemaRef ds:uri="http://purl.org/dc/dcmitype/"/>
  </ds:schemaRefs>
</ds:datastoreItem>
</file>

<file path=customXml/itemProps2.xml><?xml version="1.0" encoding="utf-8"?>
<ds:datastoreItem xmlns:ds="http://schemas.openxmlformats.org/officeDocument/2006/customXml" ds:itemID="{2590913D-EB6E-433F-8281-2700ACA38A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b08b4f-a83f-4c03-90bd-2a79b6ed54d4"/>
    <ds:schemaRef ds:uri="fb86b3f3-0c45-4486-810b-39aa0a1cbb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BA26BF-F7E3-4394-9AE5-AA20A072CD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85</vt:i4>
      </vt:variant>
    </vt:vector>
  </HeadingPairs>
  <TitlesOfParts>
    <vt:vector size="133" baseType="lpstr">
      <vt:lpstr>DEK Jan 2015</vt:lpstr>
      <vt:lpstr>DEK Feb 2015</vt:lpstr>
      <vt:lpstr>DEK Mar 2015</vt:lpstr>
      <vt:lpstr>DEK Q1 2015</vt:lpstr>
      <vt:lpstr>DEK Apr 2015</vt:lpstr>
      <vt:lpstr>DEK May 2015</vt:lpstr>
      <vt:lpstr>DEK Jun 2015</vt:lpstr>
      <vt:lpstr>DEK Q2 2015</vt:lpstr>
      <vt:lpstr>DEK Jul 2015</vt:lpstr>
      <vt:lpstr>DEK Aug 2015</vt:lpstr>
      <vt:lpstr>DEK Sep 2015</vt:lpstr>
      <vt:lpstr>DEK Q3 2015</vt:lpstr>
      <vt:lpstr>DEK Oct 2015</vt:lpstr>
      <vt:lpstr>DEK Nov 2015</vt:lpstr>
      <vt:lpstr>DEK Dec 2015</vt:lpstr>
      <vt:lpstr>DEK Q4 2015</vt:lpstr>
      <vt:lpstr>YTD 2015</vt:lpstr>
      <vt:lpstr>DEK Jan 2016</vt:lpstr>
      <vt:lpstr>DEK Feb 2016</vt:lpstr>
      <vt:lpstr>DEK Mar 2016</vt:lpstr>
      <vt:lpstr>DEK Q1 2016</vt:lpstr>
      <vt:lpstr>DEK Apr 2016</vt:lpstr>
      <vt:lpstr>DEK May 2016</vt:lpstr>
      <vt:lpstr>DEK Jun 2016</vt:lpstr>
      <vt:lpstr>DEK Q2 2016</vt:lpstr>
      <vt:lpstr>DEK Jul 2016</vt:lpstr>
      <vt:lpstr>DEK Aug 2016</vt:lpstr>
      <vt:lpstr>DEK Q3 2016</vt:lpstr>
      <vt:lpstr>DEK Oct 2016</vt:lpstr>
      <vt:lpstr>DEK Dec 2016</vt:lpstr>
      <vt:lpstr>DEK Jan 2017</vt:lpstr>
      <vt:lpstr>DEK Feb 2017</vt:lpstr>
      <vt:lpstr>DEK Q1 2017</vt:lpstr>
      <vt:lpstr>DEK Apr 2017</vt:lpstr>
      <vt:lpstr>DEK May 2017</vt:lpstr>
      <vt:lpstr>DEK Q2 2017</vt:lpstr>
      <vt:lpstr>DEK Jul 2017</vt:lpstr>
      <vt:lpstr>DEK Aug 2017</vt:lpstr>
      <vt:lpstr>DEK Q3 2017</vt:lpstr>
      <vt:lpstr>DEK Oct 2017 </vt:lpstr>
      <vt:lpstr>Summary</vt:lpstr>
      <vt:lpstr>Amort 0182366</vt:lpstr>
      <vt:lpstr>Amort 0182525</vt:lpstr>
      <vt:lpstr>Amort 0182714</vt:lpstr>
      <vt:lpstr>Amort 0182700</vt:lpstr>
      <vt:lpstr>Amort 0182050</vt:lpstr>
      <vt:lpstr>Amort 0186108</vt:lpstr>
      <vt:lpstr>Amort 0182493</vt:lpstr>
      <vt:lpstr>'Amort 0182050'!Print_Area</vt:lpstr>
      <vt:lpstr>'Amort 0182493'!Print_Area</vt:lpstr>
      <vt:lpstr>'DEK Apr 2015'!Print_Area</vt:lpstr>
      <vt:lpstr>'DEK Apr 2016'!Print_Area</vt:lpstr>
      <vt:lpstr>'DEK Apr 2017'!Print_Area</vt:lpstr>
      <vt:lpstr>'DEK Aug 2015'!Print_Area</vt:lpstr>
      <vt:lpstr>'DEK Aug 2016'!Print_Area</vt:lpstr>
      <vt:lpstr>'DEK Aug 2017'!Print_Area</vt:lpstr>
      <vt:lpstr>'DEK Dec 2015'!Print_Area</vt:lpstr>
      <vt:lpstr>'DEK Dec 2016'!Print_Area</vt:lpstr>
      <vt:lpstr>'DEK Feb 2015'!Print_Area</vt:lpstr>
      <vt:lpstr>'DEK Feb 2016'!Print_Area</vt:lpstr>
      <vt:lpstr>'DEK Feb 2017'!Print_Area</vt:lpstr>
      <vt:lpstr>'DEK Jan 2015'!Print_Area</vt:lpstr>
      <vt:lpstr>'DEK Jan 2016'!Print_Area</vt:lpstr>
      <vt:lpstr>'DEK Jan 2017'!Print_Area</vt:lpstr>
      <vt:lpstr>'DEK Jul 2015'!Print_Area</vt:lpstr>
      <vt:lpstr>'DEK Jul 2016'!Print_Area</vt:lpstr>
      <vt:lpstr>'DEK Jul 2017'!Print_Area</vt:lpstr>
      <vt:lpstr>'DEK Jun 2015'!Print_Area</vt:lpstr>
      <vt:lpstr>'DEK Jun 2016'!Print_Area</vt:lpstr>
      <vt:lpstr>'DEK Mar 2015'!Print_Area</vt:lpstr>
      <vt:lpstr>'DEK Mar 2016'!Print_Area</vt:lpstr>
      <vt:lpstr>'DEK May 2015'!Print_Area</vt:lpstr>
      <vt:lpstr>'DEK May 2016'!Print_Area</vt:lpstr>
      <vt:lpstr>'DEK May 2017'!Print_Area</vt:lpstr>
      <vt:lpstr>'DEK Nov 2015'!Print_Area</vt:lpstr>
      <vt:lpstr>'DEK Oct 2015'!Print_Area</vt:lpstr>
      <vt:lpstr>'DEK Oct 2016'!Print_Area</vt:lpstr>
      <vt:lpstr>'DEK Oct 2017 '!Print_Area</vt:lpstr>
      <vt:lpstr>'DEK Q1 2015'!Print_Area</vt:lpstr>
      <vt:lpstr>'DEK Q1 2016'!Print_Area</vt:lpstr>
      <vt:lpstr>'DEK Q1 2017'!Print_Area</vt:lpstr>
      <vt:lpstr>'DEK Q2 2015'!Print_Area</vt:lpstr>
      <vt:lpstr>'DEK Q2 2016'!Print_Area</vt:lpstr>
      <vt:lpstr>'DEK Q2 2017'!Print_Area</vt:lpstr>
      <vt:lpstr>'DEK Q3 2015'!Print_Area</vt:lpstr>
      <vt:lpstr>'DEK Q3 2016'!Print_Area</vt:lpstr>
      <vt:lpstr>'DEK Q3 2017'!Print_Area</vt:lpstr>
      <vt:lpstr>'DEK Q4 2015'!Print_Area</vt:lpstr>
      <vt:lpstr>'DEK Sep 2015'!Print_Area</vt:lpstr>
      <vt:lpstr>Summary!Print_Area</vt:lpstr>
      <vt:lpstr>'YTD 2015'!Print_Area</vt:lpstr>
      <vt:lpstr>'Amort 0182050'!Print_Titles</vt:lpstr>
      <vt:lpstr>'Amort 0182525'!Print_Titles</vt:lpstr>
      <vt:lpstr>'DEK Apr 2015'!Print_Titles</vt:lpstr>
      <vt:lpstr>'DEK Apr 2016'!Print_Titles</vt:lpstr>
      <vt:lpstr>'DEK Apr 2017'!Print_Titles</vt:lpstr>
      <vt:lpstr>'DEK Aug 2015'!Print_Titles</vt:lpstr>
      <vt:lpstr>'DEK Aug 2016'!Print_Titles</vt:lpstr>
      <vt:lpstr>'DEK Aug 2017'!Print_Titles</vt:lpstr>
      <vt:lpstr>'DEK Dec 2015'!Print_Titles</vt:lpstr>
      <vt:lpstr>'DEK Dec 2016'!Print_Titles</vt:lpstr>
      <vt:lpstr>'DEK Feb 2015'!Print_Titles</vt:lpstr>
      <vt:lpstr>'DEK Feb 2016'!Print_Titles</vt:lpstr>
      <vt:lpstr>'DEK Feb 2017'!Print_Titles</vt:lpstr>
      <vt:lpstr>'DEK Jan 2015'!Print_Titles</vt:lpstr>
      <vt:lpstr>'DEK Jan 2016'!Print_Titles</vt:lpstr>
      <vt:lpstr>'DEK Jan 2017'!Print_Titles</vt:lpstr>
      <vt:lpstr>'DEK Jul 2015'!Print_Titles</vt:lpstr>
      <vt:lpstr>'DEK Jul 2016'!Print_Titles</vt:lpstr>
      <vt:lpstr>'DEK Jul 2017'!Print_Titles</vt:lpstr>
      <vt:lpstr>'DEK Jun 2015'!Print_Titles</vt:lpstr>
      <vt:lpstr>'DEK Jun 2016'!Print_Titles</vt:lpstr>
      <vt:lpstr>'DEK Mar 2015'!Print_Titles</vt:lpstr>
      <vt:lpstr>'DEK Mar 2016'!Print_Titles</vt:lpstr>
      <vt:lpstr>'DEK May 2015'!Print_Titles</vt:lpstr>
      <vt:lpstr>'DEK May 2016'!Print_Titles</vt:lpstr>
      <vt:lpstr>'DEK May 2017'!Print_Titles</vt:lpstr>
      <vt:lpstr>'DEK Nov 2015'!Print_Titles</vt:lpstr>
      <vt:lpstr>'DEK Oct 2015'!Print_Titles</vt:lpstr>
      <vt:lpstr>'DEK Oct 2016'!Print_Titles</vt:lpstr>
      <vt:lpstr>'DEK Oct 2017 '!Print_Titles</vt:lpstr>
      <vt:lpstr>'DEK Q1 2015'!Print_Titles</vt:lpstr>
      <vt:lpstr>'DEK Q1 2016'!Print_Titles</vt:lpstr>
      <vt:lpstr>'DEK Q1 2017'!Print_Titles</vt:lpstr>
      <vt:lpstr>'DEK Q2 2015'!Print_Titles</vt:lpstr>
      <vt:lpstr>'DEK Q2 2016'!Print_Titles</vt:lpstr>
      <vt:lpstr>'DEK Q2 2017'!Print_Titles</vt:lpstr>
      <vt:lpstr>'DEK Q3 2015'!Print_Titles</vt:lpstr>
      <vt:lpstr>'DEK Q3 2016'!Print_Titles</vt:lpstr>
      <vt:lpstr>'DEK Q3 2017'!Print_Titles</vt:lpstr>
      <vt:lpstr>'DEK Q4 2015'!Print_Titles</vt:lpstr>
      <vt:lpstr>'DEK Sep 2015'!Print_Titles</vt:lpstr>
      <vt:lpstr>'YTD 2015'!Print_Titles</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Reg Asset Amortization</dc:subject>
  <dc:creator>t31528</dc:creator>
  <cp:lastModifiedBy>Minna Sunderman</cp:lastModifiedBy>
  <cp:lastPrinted>2019-10-27T14:23:03Z</cp:lastPrinted>
  <dcterms:created xsi:type="dcterms:W3CDTF">2009-01-16T21:45:39Z</dcterms:created>
  <dcterms:modified xsi:type="dcterms:W3CDTF">2019-10-27T14:27:03Z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0x01010009E323CE4F42204A9B662899E3EA5D1A</vt:lpwstr>
  </property>
</Properties>
</file>