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AG 2nd Set Data Request/"/>
    </mc:Choice>
  </mc:AlternateContent>
  <bookViews>
    <workbookView xWindow="-120" yWindow="-120" windowWidth="25440" windowHeight="15396"/>
  </bookViews>
  <sheets>
    <sheet name="Rev Req Summary" sheetId="4" r:id="rId1"/>
    <sheet name="Summary" sheetId="1" r:id="rId2"/>
    <sheet name="13 month average calc" sheetId="2" r:id="rId3"/>
    <sheet name="ADIT" sheetId="3" r:id="rId4"/>
  </sheets>
  <externalReferences>
    <externalReference r:id="rId5"/>
    <externalReference r:id="rId6"/>
    <externalReference r:id="rId7"/>
  </externalReferences>
  <definedNames>
    <definedName name="BASE_D_REV" localSheetId="0">#REF!</definedName>
    <definedName name="BASE_D_REV">[1]Inputs!$C$10</definedName>
    <definedName name="CommResAlloc">[2]INPUT!$D$16</definedName>
    <definedName name="COSSALLOC">'[3]COSS ALLOC'!$A$2:$D$8</definedName>
    <definedName name="PRETAX_ROR" localSheetId="0">#REF!</definedName>
    <definedName name="PRETAX_ROR">[1]Inputs!$C$6</definedName>
    <definedName name="_xlnm.Print_Area" localSheetId="0">'Rev Req Summary'!$A$6:$G$34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4" l="1"/>
  <c r="A15" i="4" l="1"/>
  <c r="A17" i="4" s="1"/>
  <c r="E10" i="3"/>
  <c r="G10" i="3" s="1"/>
  <c r="I10" i="3" s="1"/>
  <c r="K10" i="3" s="1"/>
  <c r="M10" i="3" s="1"/>
  <c r="O10" i="3" s="1"/>
  <c r="C13" i="3"/>
  <c r="E13" i="3" s="1"/>
  <c r="C26" i="3"/>
  <c r="E32" i="3"/>
  <c r="G32" i="3"/>
  <c r="Q32" i="3" s="1"/>
  <c r="U32" i="3"/>
  <c r="A33" i="3"/>
  <c r="E33" i="3"/>
  <c r="G33" i="3"/>
  <c r="I33" i="3"/>
  <c r="Q33" i="3" s="1"/>
  <c r="A34" i="3"/>
  <c r="A35" i="3" s="1"/>
  <c r="A36" i="3" s="1"/>
  <c r="A37" i="3" s="1"/>
  <c r="A38" i="3" s="1"/>
  <c r="E34" i="3"/>
  <c r="G34" i="3"/>
  <c r="Q34" i="3" s="1"/>
  <c r="I34" i="3"/>
  <c r="K34" i="3"/>
  <c r="E35" i="3"/>
  <c r="G35" i="3"/>
  <c r="I35" i="3"/>
  <c r="K35" i="3"/>
  <c r="M35" i="3"/>
  <c r="E36" i="3"/>
  <c r="G36" i="3"/>
  <c r="I36" i="3"/>
  <c r="K36" i="3"/>
  <c r="M36" i="3"/>
  <c r="O36" i="3"/>
  <c r="E37" i="3"/>
  <c r="G37" i="3"/>
  <c r="I37" i="3"/>
  <c r="K37" i="3"/>
  <c r="M37" i="3"/>
  <c r="O37" i="3"/>
  <c r="E38" i="3"/>
  <c r="G38" i="3"/>
  <c r="I38" i="3"/>
  <c r="K38" i="3"/>
  <c r="K39" i="3" s="1"/>
  <c r="M38" i="3"/>
  <c r="O38" i="3"/>
  <c r="C39" i="3"/>
  <c r="I39" i="3"/>
  <c r="M39" i="3"/>
  <c r="E39" i="3" l="1"/>
  <c r="Q38" i="3"/>
  <c r="O39" i="3"/>
  <c r="A19" i="4"/>
  <c r="A21" i="4" s="1"/>
  <c r="A23" i="4" s="1"/>
  <c r="G39" i="3"/>
  <c r="Q37" i="3"/>
  <c r="S33" i="3"/>
  <c r="Q36" i="3"/>
  <c r="Q39" i="3" s="1"/>
  <c r="G13" i="3"/>
  <c r="U33" i="3"/>
  <c r="S34" i="3" s="1"/>
  <c r="G15" i="3" s="1"/>
  <c r="Q35" i="3"/>
  <c r="S32" i="3"/>
  <c r="Y32" i="3" s="1"/>
  <c r="E15" i="3" l="1"/>
  <c r="D18" i="1"/>
  <c r="A25" i="4"/>
  <c r="A26" i="4" s="1"/>
  <c r="A28" i="4" s="1"/>
  <c r="Y33" i="3"/>
  <c r="AA33" i="3" s="1"/>
  <c r="I13" i="3"/>
  <c r="U34" i="3"/>
  <c r="S35" i="3" s="1"/>
  <c r="I15" i="3" s="1"/>
  <c r="W32" i="3"/>
  <c r="C15" i="3"/>
  <c r="F25" i="4" s="1"/>
  <c r="W34" i="3"/>
  <c r="AA32" i="3"/>
  <c r="W33" i="3"/>
  <c r="Y34" i="3"/>
  <c r="AA34" i="3" s="1"/>
  <c r="G19" i="3" s="1"/>
  <c r="E19" i="3" l="1"/>
  <c r="F18" i="1"/>
  <c r="Y35" i="3"/>
  <c r="F16" i="1"/>
  <c r="F12" i="1"/>
  <c r="F8" i="1"/>
  <c r="F15" i="1"/>
  <c r="F11" i="1"/>
  <c r="F7" i="1"/>
  <c r="F14" i="1"/>
  <c r="F10" i="1"/>
  <c r="F6" i="1"/>
  <c r="F17" i="1"/>
  <c r="F13" i="1"/>
  <c r="F9" i="1"/>
  <c r="W35" i="3"/>
  <c r="C17" i="3"/>
  <c r="F14" i="4" s="1"/>
  <c r="E17" i="3"/>
  <c r="G17" i="3"/>
  <c r="I17" i="3"/>
  <c r="C19" i="3"/>
  <c r="F17" i="4" s="1"/>
  <c r="AA35" i="3"/>
  <c r="I19" i="3" s="1"/>
  <c r="U35" i="3"/>
  <c r="S36" i="3" s="1"/>
  <c r="K13" i="3"/>
  <c r="M13" i="3" l="1"/>
  <c r="U36" i="3"/>
  <c r="S37" i="3" s="1"/>
  <c r="K15" i="3"/>
  <c r="Y36" i="3"/>
  <c r="W36" i="3"/>
  <c r="W37" i="3"/>
  <c r="K17" i="3" l="1"/>
  <c r="AA36" i="3"/>
  <c r="K19" i="3" s="1"/>
  <c r="M15" i="3"/>
  <c r="Y37" i="3"/>
  <c r="AA37" i="3" s="1"/>
  <c r="M19" i="3" s="1"/>
  <c r="O13" i="3"/>
  <c r="U38" i="3" s="1"/>
  <c r="U37" i="3"/>
  <c r="S38" i="3" s="1"/>
  <c r="O15" i="3" l="1"/>
  <c r="O17" i="3" s="1"/>
  <c r="Y38" i="3"/>
  <c r="W38" i="3"/>
  <c r="S39" i="3"/>
  <c r="M17" i="3"/>
  <c r="Y39" i="3" l="1"/>
  <c r="AA38" i="3"/>
  <c r="O19" i="3" s="1"/>
  <c r="D40" i="1" l="1"/>
  <c r="D41" i="1"/>
  <c r="D39" i="1"/>
  <c r="D30" i="1"/>
  <c r="D46" i="1" s="1"/>
  <c r="F26" i="4" s="1"/>
  <c r="D31" i="1"/>
  <c r="D32" i="1"/>
  <c r="D33" i="1"/>
  <c r="D34" i="1"/>
  <c r="D35" i="1"/>
  <c r="D36" i="1"/>
  <c r="D37" i="1"/>
  <c r="D38" i="1"/>
  <c r="D10" i="2" l="1"/>
  <c r="E10" i="2" s="1"/>
  <c r="F10" i="2" s="1"/>
  <c r="G10" i="2" s="1"/>
  <c r="H10" i="2" l="1"/>
  <c r="I10" i="2" l="1"/>
  <c r="J10" i="2" s="1"/>
  <c r="K10" i="2" s="1"/>
  <c r="L10" i="2" s="1"/>
  <c r="M10" i="2" s="1"/>
  <c r="N10" i="2" s="1"/>
  <c r="O10" i="2" s="1"/>
  <c r="P10" i="2" s="1"/>
  <c r="D12" i="2" s="1"/>
  <c r="F13" i="4" l="1"/>
  <c r="F15" i="4" s="1"/>
  <c r="F19" i="4" s="1"/>
  <c r="F23" i="4" s="1"/>
  <c r="F28" i="4" s="1"/>
  <c r="D20" i="1"/>
  <c r="D22" i="1" s="1"/>
  <c r="D23" i="1" s="1"/>
  <c r="D17" i="1" l="1"/>
  <c r="D13" i="1"/>
  <c r="D9" i="1"/>
  <c r="D15" i="1"/>
  <c r="D11" i="1"/>
  <c r="D7" i="1"/>
  <c r="D14" i="1"/>
  <c r="D10" i="1"/>
  <c r="D6" i="1"/>
  <c r="E6" i="1" s="1"/>
  <c r="D16" i="1"/>
  <c r="D12" i="1"/>
  <c r="D8" i="1"/>
  <c r="E7" i="1" l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</calcChain>
</file>

<file path=xl/sharedStrings.xml><?xml version="1.0" encoding="utf-8"?>
<sst xmlns="http://schemas.openxmlformats.org/spreadsheetml/2006/main" count="74" uniqueCount="63">
  <si>
    <t>Depreciation Expense</t>
  </si>
  <si>
    <t>Accumulated Depreciation</t>
  </si>
  <si>
    <t>Customer Connect In-service balance</t>
  </si>
  <si>
    <t>Month</t>
  </si>
  <si>
    <t>Duke Energy Kentucky</t>
  </si>
  <si>
    <t>Line</t>
  </si>
  <si>
    <t>Description</t>
  </si>
  <si>
    <t>Test Period</t>
  </si>
  <si>
    <t>Placed in Service</t>
  </si>
  <si>
    <t>Culmative Plant In Service</t>
  </si>
  <si>
    <t xml:space="preserve">13 Month Average (Average of Ln 2): </t>
  </si>
  <si>
    <t>Customer Connect Plant In-Service</t>
  </si>
  <si>
    <t xml:space="preserve">13 Month Average: </t>
  </si>
  <si>
    <t>Depreciation rate:</t>
  </si>
  <si>
    <t>Annual Depreciation Expense</t>
  </si>
  <si>
    <t>1st year is half year</t>
  </si>
  <si>
    <t>Customer Connect property tax estimate</t>
  </si>
  <si>
    <t>In-service balance (hardware only)</t>
  </si>
  <si>
    <t>Property Tax Expense</t>
  </si>
  <si>
    <t>Property Tax Rate - 2020</t>
  </si>
  <si>
    <t>Property Tax Rate - 2021</t>
  </si>
  <si>
    <t>Test Period Expense</t>
  </si>
  <si>
    <t>Note that property tax expense is calculated on prior year tangible plant</t>
  </si>
  <si>
    <t>ADIT</t>
  </si>
  <si>
    <t>Deferred Tax</t>
  </si>
  <si>
    <t>Depreciation</t>
  </si>
  <si>
    <t>Plant</t>
  </si>
  <si>
    <t>Tax Depr</t>
  </si>
  <si>
    <t>2023 Spend</t>
  </si>
  <si>
    <t>2022 Spend</t>
  </si>
  <si>
    <t>2021 Spend</t>
  </si>
  <si>
    <t>2020 Spend</t>
  </si>
  <si>
    <t>2019 Spend</t>
  </si>
  <si>
    <t>Cap Additions</t>
  </si>
  <si>
    <t>5 Yr MACRS</t>
  </si>
  <si>
    <t>Accumulated</t>
  </si>
  <si>
    <t>Gross</t>
  </si>
  <si>
    <t>Book</t>
  </si>
  <si>
    <t>Total</t>
  </si>
  <si>
    <t xml:space="preserve">Tax Deprecation on </t>
  </si>
  <si>
    <t>Tax Life</t>
  </si>
  <si>
    <t>Book Life</t>
  </si>
  <si>
    <t>Accumulated Deferred Income Tax</t>
  </si>
  <si>
    <t xml:space="preserve">  Cumulative Gross Plant</t>
  </si>
  <si>
    <t>CIS Program</t>
  </si>
  <si>
    <t>Project</t>
  </si>
  <si>
    <t>Property, Plant and Equipment (Capital)</t>
  </si>
  <si>
    <t>Customer Connect estimate</t>
  </si>
  <si>
    <t xml:space="preserve">Estimated Revenue Requirement </t>
  </si>
  <si>
    <r>
      <t>Gross Plant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</si>
  <si>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 xml:space="preserve">Accum Depreciation </t>
    </r>
    <r>
      <rPr>
        <vertAlign val="superscript"/>
        <sz val="11"/>
        <color theme="1"/>
        <rFont val="Calibri"/>
        <family val="2"/>
        <scheme val="minor"/>
      </rPr>
      <t>(b)</t>
    </r>
  </si>
  <si>
    <t xml:space="preserve">  Net Plant in Service</t>
  </si>
  <si>
    <r>
      <t xml:space="preserve">Accum Def Income Taxes on Plant </t>
    </r>
    <r>
      <rPr>
        <vertAlign val="superscript"/>
        <sz val="11"/>
        <color theme="1"/>
        <rFont val="Calibri"/>
        <family val="2"/>
        <scheme val="minor"/>
      </rPr>
      <t>(b)</t>
    </r>
  </si>
  <si>
    <t>Rate Base</t>
  </si>
  <si>
    <r>
      <t xml:space="preserve">Return on Rate Base (Pre-Tax %) </t>
    </r>
    <r>
      <rPr>
        <vertAlign val="superscript"/>
        <sz val="11"/>
        <color theme="1"/>
        <rFont val="Calibri"/>
        <family val="2"/>
        <scheme val="minor"/>
      </rPr>
      <t>(c)</t>
    </r>
  </si>
  <si>
    <t>Return on Rate Base (Pre-Tax)</t>
  </si>
  <si>
    <t xml:space="preserve">  Revenue Requirement (Lines 7 - 9)</t>
  </si>
  <si>
    <t xml:space="preserve">Assumptions:  </t>
  </si>
  <si>
    <r>
      <rPr>
        <vertAlign val="superscript"/>
        <sz val="11"/>
        <color theme="1"/>
        <rFont val="Calibri"/>
        <family val="2"/>
        <scheme val="minor"/>
      </rPr>
      <t>(c)</t>
    </r>
    <r>
      <rPr>
        <sz val="11"/>
        <color theme="1"/>
        <rFont val="Calibri"/>
        <family val="2"/>
        <scheme val="minor"/>
      </rPr>
      <t xml:space="preserve">  Weighted-Average Cost of Capital from Schedule A in Case No. 2019-00271, with ROE at 9.8%, grossed up for 21% FIT rate.</t>
    </r>
  </si>
  <si>
    <t>Customer Connect Project</t>
  </si>
  <si>
    <r>
      <rPr>
        <vertAlign val="superscript"/>
        <sz val="11"/>
        <color theme="1"/>
        <rFont val="Calibri"/>
        <family val="2"/>
        <scheme val="minor"/>
      </rPr>
      <t xml:space="preserve">(b) </t>
    </r>
    <r>
      <rPr>
        <sz val="11"/>
        <color theme="1"/>
        <rFont val="Calibri"/>
        <family val="2"/>
        <scheme val="minor"/>
      </rPr>
      <t>Assumes 10.74 year book life; 5 year MACRS</t>
    </r>
  </si>
  <si>
    <r>
      <rPr>
        <vertAlign val="superscript"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13 month average based on project costs and estimated in-service dates</t>
    </r>
  </si>
  <si>
    <t>Annualized Property Tax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</si>
</sst>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$&quot;#,##0;[Red]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Border="1"/>
    <xf numFmtId="17" fontId="0" fillId="0" borderId="1" xfId="0" applyNumberFormat="1" applyBorder="1"/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0" xfId="0" applyAlignment="1">
      <alignment horizontal="right"/>
    </xf>
    <xf numFmtId="0" fontId="2" fillId="0" borderId="0" xfId="0" applyFont="1"/>
    <xf numFmtId="10" fontId="0" fillId="0" borderId="2" xfId="2" applyNumberFormat="1" applyFont="1" applyBorder="1"/>
    <xf numFmtId="164" fontId="0" fillId="0" borderId="0" xfId="0" applyNumberFormat="1"/>
    <xf numFmtId="0" fontId="3" fillId="0" borderId="0" xfId="0" applyFont="1" applyAlignment="1"/>
    <xf numFmtId="0" fontId="3" fillId="0" borderId="0" xfId="0" applyFont="1"/>
    <xf numFmtId="0" fontId="3" fillId="0" borderId="0" xfId="0" applyFont="1" applyBorder="1"/>
    <xf numFmtId="0" fontId="0" fillId="0" borderId="2" xfId="0" applyBorder="1"/>
    <xf numFmtId="0" fontId="4" fillId="0" borderId="2" xfId="0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0" fontId="5" fillId="0" borderId="2" xfId="0" applyFont="1" applyFill="1" applyBorder="1"/>
    <xf numFmtId="0" fontId="0" fillId="0" borderId="0" xfId="0" applyBorder="1"/>
    <xf numFmtId="0" fontId="5" fillId="0" borderId="0" xfId="0" applyFont="1" applyFill="1"/>
    <xf numFmtId="0" fontId="5" fillId="0" borderId="0" xfId="0" applyFont="1" applyFill="1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quotePrefix="1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17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5" xfId="1" applyNumberFormat="1" applyFont="1" applyFill="1" applyBorder="1"/>
    <xf numFmtId="5" fontId="0" fillId="2" borderId="6" xfId="0" applyNumberFormat="1" applyFill="1" applyBorder="1"/>
    <xf numFmtId="5" fontId="0" fillId="0" borderId="0" xfId="0" applyNumberFormat="1"/>
    <xf numFmtId="7" fontId="0" fillId="0" borderId="0" xfId="0" applyNumberFormat="1"/>
    <xf numFmtId="7" fontId="0" fillId="0" borderId="6" xfId="0" applyNumberFormat="1" applyBorder="1"/>
    <xf numFmtId="165" fontId="0" fillId="0" borderId="0" xfId="2" applyNumberFormat="1" applyFont="1"/>
    <xf numFmtId="0" fontId="0" fillId="0" borderId="0" xfId="0" applyAlignment="1">
      <alignment horizontal="right" indent="1"/>
    </xf>
    <xf numFmtId="166" fontId="0" fillId="0" borderId="0" xfId="2" applyNumberFormat="1" applyFont="1" applyAlignment="1">
      <alignment horizontal="right" indent="1"/>
    </xf>
    <xf numFmtId="0" fontId="0" fillId="0" borderId="0" xfId="0" applyAlignment="1">
      <alignment horizontal="right" indent="2"/>
    </xf>
    <xf numFmtId="164" fontId="0" fillId="0" borderId="0" xfId="1" quotePrefix="1" applyNumberFormat="1" applyFont="1" applyAlignment="1">
      <alignment horizontal="left"/>
    </xf>
    <xf numFmtId="5" fontId="0" fillId="0" borderId="7" xfId="1" applyNumberFormat="1" applyFont="1" applyBorder="1"/>
    <xf numFmtId="166" fontId="0" fillId="0" borderId="7" xfId="2" applyNumberFormat="1" applyFont="1" applyBorder="1" applyAlignment="1">
      <alignment horizontal="right" indent="1"/>
    </xf>
    <xf numFmtId="10" fontId="0" fillId="0" borderId="0" xfId="2" applyNumberFormat="1" applyFont="1" applyAlignment="1">
      <alignment horizontal="right" indent="1"/>
    </xf>
    <xf numFmtId="5" fontId="0" fillId="0" borderId="0" xfId="1" applyNumberFormat="1" applyFont="1"/>
    <xf numFmtId="167" fontId="0" fillId="0" borderId="0" xfId="0" applyNumberFormat="1"/>
    <xf numFmtId="0" fontId="0" fillId="0" borderId="0" xfId="0" quotePrefix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3" fillId="2" borderId="8" xfId="0" quotePrefix="1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2" borderId="9" xfId="0" quotePrefix="1" applyFont="1" applyFill="1" applyBorder="1" applyAlignment="1">
      <alignment horizontal="center"/>
    </xf>
    <xf numFmtId="0" fontId="6" fillId="0" borderId="0" xfId="0" quotePrefix="1" applyFont="1" applyAlignment="1">
      <alignment horizontal="left"/>
    </xf>
    <xf numFmtId="43" fontId="0" fillId="0" borderId="0" xfId="1" applyFont="1" applyFill="1"/>
    <xf numFmtId="0" fontId="0" fillId="0" borderId="0" xfId="0" quotePrefix="1" applyAlignment="1">
      <alignment horizontal="left"/>
    </xf>
    <xf numFmtId="43" fontId="0" fillId="0" borderId="0" xfId="0" applyNumberFormat="1"/>
    <xf numFmtId="164" fontId="0" fillId="0" borderId="0" xfId="1" applyNumberFormat="1" applyFont="1" applyFill="1"/>
    <xf numFmtId="0" fontId="0" fillId="0" borderId="0" xfId="0" applyFill="1"/>
    <xf numFmtId="5" fontId="0" fillId="0" borderId="0" xfId="1" applyNumberFormat="1" applyFont="1" applyFill="1"/>
    <xf numFmtId="164" fontId="0" fillId="0" borderId="7" xfId="1" applyNumberFormat="1" applyFont="1" applyFill="1" applyBorder="1"/>
    <xf numFmtId="0" fontId="3" fillId="0" borderId="8" xfId="1" quotePrefix="1" applyNumberFormat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15" fontId="3" fillId="0" borderId="0" xfId="0" quotePrefix="1" applyNumberFormat="1" applyFont="1" applyFill="1" applyBorder="1" applyAlignment="1">
      <alignment horizontal="center"/>
    </xf>
    <xf numFmtId="0" fontId="3" fillId="0" borderId="8" xfId="0" quotePrefix="1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centerContinuous"/>
    </xf>
    <xf numFmtId="0" fontId="3" fillId="0" borderId="3" xfId="0" quotePrefix="1" applyFont="1" applyFill="1" applyBorder="1" applyAlignment="1">
      <alignment horizontal="centerContinuous"/>
    </xf>
    <xf numFmtId="0" fontId="3" fillId="0" borderId="10" xfId="0" quotePrefix="1" applyFont="1" applyFill="1" applyBorder="1" applyAlignment="1">
      <alignment horizontal="centerContinuous"/>
    </xf>
    <xf numFmtId="5" fontId="0" fillId="0" borderId="2" xfId="0" applyNumberFormat="1" applyBorder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4" fillId="0" borderId="0" xfId="0" quotePrefix="1" applyFont="1" applyFill="1" applyAlignment="1">
      <alignment horizontal="left"/>
    </xf>
    <xf numFmtId="5" fontId="0" fillId="0" borderId="0" xfId="0" applyNumberFormat="1" applyFill="1" applyBorder="1"/>
    <xf numFmtId="5" fontId="0" fillId="0" borderId="7" xfId="0" applyNumberFormat="1" applyFill="1" applyBorder="1"/>
    <xf numFmtId="0" fontId="4" fillId="0" borderId="0" xfId="0" applyFont="1" applyFill="1"/>
    <xf numFmtId="5" fontId="0" fillId="0" borderId="5" xfId="0" applyNumberFormat="1" applyFill="1" applyBorder="1"/>
    <xf numFmtId="5" fontId="3" fillId="0" borderId="0" xfId="0" applyNumberFormat="1" applyFont="1" applyFill="1" applyBorder="1"/>
    <xf numFmtId="5" fontId="3" fillId="0" borderId="11" xfId="0" applyNumberFormat="1" applyFont="1" applyFill="1" applyBorder="1"/>
    <xf numFmtId="0" fontId="0" fillId="0" borderId="0" xfId="0" applyFont="1" applyFill="1"/>
    <xf numFmtId="10" fontId="0" fillId="0" borderId="0" xfId="2" applyNumberFormat="1" applyFont="1" applyFill="1"/>
    <xf numFmtId="5" fontId="0" fillId="0" borderId="0" xfId="0" applyNumberFormat="1" applyFill="1"/>
    <xf numFmtId="164" fontId="4" fillId="0" borderId="0" xfId="1" quotePrefix="1" applyNumberFormat="1" applyFont="1" applyFill="1" applyAlignment="1">
      <alignment horizontal="left"/>
    </xf>
    <xf numFmtId="164" fontId="0" fillId="0" borderId="0" xfId="1" applyNumberFormat="1" applyFont="1" applyFill="1" applyBorder="1"/>
    <xf numFmtId="164" fontId="4" fillId="0" borderId="0" xfId="1" quotePrefix="1" applyNumberFormat="1" applyFont="1" applyFill="1" applyBorder="1" applyAlignment="1">
      <alignment horizontal="left"/>
    </xf>
    <xf numFmtId="0" fontId="0" fillId="0" borderId="0" xfId="0" applyFill="1" applyBorder="1"/>
    <xf numFmtId="0" fontId="4" fillId="0" borderId="7" xfId="0" applyFont="1" applyFill="1" applyBorder="1"/>
    <xf numFmtId="0" fontId="4" fillId="0" borderId="0" xfId="0" applyFont="1" applyFill="1" applyBorder="1"/>
    <xf numFmtId="0" fontId="0" fillId="0" borderId="0" xfId="0" quotePrefix="1" applyFill="1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quotePrefix="1" applyAlignment="1"/>
    <xf numFmtId="0" fontId="0" fillId="0" borderId="0" xfId="0" quotePrefix="1" applyAlignment="1">
      <alignment horizontal="center" wrapText="1"/>
    </xf>
    <xf numFmtId="0" fontId="0" fillId="0" borderId="0" xfId="0" quotePrefix="1" applyAlignment="1">
      <alignment horizontal="left" indent="1"/>
    </xf>
    <xf numFmtId="0" fontId="0" fillId="0" borderId="0" xfId="0" quotePrefix="1" applyFill="1" applyAlignment="1">
      <alignment horizontal="left" wrapText="1" indent="1"/>
    </xf>
    <xf numFmtId="0" fontId="0" fillId="0" borderId="0" xfId="0" quotePrefix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0" xfId="0" quotePrefix="1" applyAlignment="1">
      <alignment horizontal="left" wrapText="1" indent="1"/>
    </xf>
    <xf numFmtId="0" fontId="3" fillId="2" borderId="10" xfId="0" quotePrefix="1" applyFont="1" applyFill="1" applyBorder="1" applyAlignment="1">
      <alignment horizontal="center"/>
    </xf>
    <xf numFmtId="0" fontId="3" fillId="2" borderId="3" xfId="0" quotePrefix="1" applyFont="1" applyFill="1" applyBorder="1" applyAlignment="1">
      <alignment horizontal="center"/>
    </xf>
    <xf numFmtId="0" fontId="3" fillId="2" borderId="4" xfId="0" quotePrefix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cyfile1\Rates2\DEO%20PF%20Rider\JPB%20-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Filings\DE%20Ohio%20D%20Case%202012-1682\Settlement\PUCO%20ELECTRIC%20SFRs-%202012%20Settlement%20Upda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Filings\DE%20Ohio%20D%20Case%202012-1682\SFR%20Model\PUCO%20ELECTRIC%20SFRs-%202012%20As%20Fil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Req Summary"/>
      <sheetName val="CIS Details 15 Yr"/>
      <sheetName val="CIS Details 5 Yr"/>
      <sheetName val="LMR Details"/>
      <sheetName val="Smart City Details"/>
      <sheetName val="EV Pilot Details"/>
      <sheetName val="Inputs"/>
      <sheetName val="Plant Data (Mar15)"/>
      <sheetName val="Accum Depr (Mar15)"/>
      <sheetName val="Accum Def Inc Tax (Mar1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>
            <v>8.9660000000000004E-2</v>
          </cell>
        </row>
        <row r="10">
          <cell r="C10">
            <v>452055948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COSS ALLOC"/>
      <sheetName val="GOTO"/>
      <sheetName val="PRINT"/>
      <sheetName val="INPUT"/>
      <sheetName val="Jan-Jun 04 Budget"/>
      <sheetName val="NON-LABOR"/>
      <sheetName val="Jan-Jun 04 NonLabor Bdgt"/>
      <sheetName val="ACCTTABLE"/>
      <sheetName val="REV by PRODUCT"/>
      <sheetName val="LABOR"/>
      <sheetName val="Jan-Jun 04 Labor Bdgt"/>
      <sheetName val="SCH_A1"/>
      <sheetName val="SCH_A2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2.5b"/>
      <sheetName val="SCH_B-3"/>
      <sheetName val="SCH_B-3.1"/>
      <sheetName val="SCH_B-3.2 - Proposed Accrual"/>
      <sheetName val="SCH_B-3.2a - Current Accrual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9"/>
      <sheetName val="SCH_C1"/>
      <sheetName val="SCH_C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3.22"/>
      <sheetName val="SCH_C3.23"/>
      <sheetName val="SCH_C3.24"/>
      <sheetName val="SCH_C3.25"/>
      <sheetName val="SCH_C3.26"/>
      <sheetName val="SCH_C3.27"/>
      <sheetName val="SCH_C3.28"/>
      <sheetName val="SCH_C3.29"/>
      <sheetName val="SCH_C3.30"/>
      <sheetName val="SCH_C4"/>
      <sheetName val="SCH_C5"/>
      <sheetName val="SCH_C6"/>
      <sheetName val="SCH_C7"/>
      <sheetName val="SCH_C8"/>
      <sheetName val="SCH_C9"/>
      <sheetName val="SCH_C9.1"/>
      <sheetName val="SCH C10.1"/>
      <sheetName val="SCH C10.2"/>
      <sheetName val="SCH_C11"/>
      <sheetName val="SCH_C12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UPP (C)(7)"/>
      <sheetName val="SUPP (C)(9)"/>
      <sheetName val="SUPP (C)(23)"/>
      <sheetName val="SUPP (C)(25)"/>
    </sheetNames>
    <sheetDataSet>
      <sheetData sheetId="0">
        <row r="5">
          <cell r="C5" t="str">
            <v>DUKE ENERGY OHIO, INC.</v>
          </cell>
        </row>
      </sheetData>
      <sheetData sheetId="1">
        <row r="2">
          <cell r="A2" t="str">
            <v>C229</v>
          </cell>
        </row>
      </sheetData>
      <sheetData sheetId="2"/>
      <sheetData sheetId="3"/>
      <sheetData sheetId="4">
        <row r="1">
          <cell r="D1">
            <v>5.4250000000000001E-3</v>
          </cell>
        </row>
        <row r="16">
          <cell r="D16">
            <v>0.83499999999999996</v>
          </cell>
        </row>
      </sheetData>
      <sheetData sheetId="5"/>
      <sheetData sheetId="6"/>
      <sheetData sheetId="7"/>
      <sheetData sheetId="8">
        <row r="12">
          <cell r="A12">
            <v>403400</v>
          </cell>
        </row>
      </sheetData>
      <sheetData sheetId="9">
        <row r="12">
          <cell r="A12">
            <v>440000</v>
          </cell>
        </row>
      </sheetData>
      <sheetData sheetId="10">
        <row r="2">
          <cell r="A2" t="str">
            <v>Account</v>
          </cell>
        </row>
      </sheetData>
      <sheetData sheetId="11"/>
      <sheetData sheetId="12"/>
      <sheetData sheetId="13">
        <row r="37">
          <cell r="H37">
            <v>1.5650023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42">
          <cell r="AK142">
            <v>15568360</v>
          </cell>
        </row>
      </sheetData>
      <sheetData sheetId="33"/>
      <sheetData sheetId="34">
        <row r="104">
          <cell r="AA104">
            <v>-7270777</v>
          </cell>
        </row>
      </sheetData>
      <sheetData sheetId="35"/>
      <sheetData sheetId="36"/>
      <sheetData sheetId="37">
        <row r="23">
          <cell r="G23">
            <v>447125</v>
          </cell>
        </row>
      </sheetData>
      <sheetData sheetId="38"/>
      <sheetData sheetId="39">
        <row r="54">
          <cell r="J54">
            <v>515397375</v>
          </cell>
        </row>
      </sheetData>
      <sheetData sheetId="40">
        <row r="20">
          <cell r="E20">
            <v>-150838097</v>
          </cell>
        </row>
      </sheetData>
      <sheetData sheetId="41"/>
      <sheetData sheetId="42"/>
      <sheetData sheetId="43"/>
      <sheetData sheetId="44"/>
      <sheetData sheetId="45">
        <row r="19">
          <cell r="K19">
            <v>-5498799</v>
          </cell>
        </row>
      </sheetData>
      <sheetData sheetId="46"/>
      <sheetData sheetId="47"/>
      <sheetData sheetId="48"/>
      <sheetData sheetId="49"/>
      <sheetData sheetId="50">
        <row r="87">
          <cell r="AI87">
            <v>-26399957</v>
          </cell>
        </row>
      </sheetData>
      <sheetData sheetId="51"/>
      <sheetData sheetId="52"/>
      <sheetData sheetId="53"/>
      <sheetData sheetId="54"/>
      <sheetData sheetId="55"/>
      <sheetData sheetId="56"/>
      <sheetData sheetId="57">
        <row r="57">
          <cell r="W57">
            <v>2392829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2">
          <cell r="O2">
            <v>0.37390000000000001</v>
          </cell>
        </row>
      </sheetData>
      <sheetData sheetId="77"/>
      <sheetData sheetId="78"/>
      <sheetData sheetId="79"/>
      <sheetData sheetId="80"/>
      <sheetData sheetId="81"/>
      <sheetData sheetId="82">
        <row r="16">
          <cell r="M16">
            <v>2.4799999999999999E-2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COSS ALLOC"/>
      <sheetName val="GOTO"/>
      <sheetName val="PRINT"/>
      <sheetName val="INPUT"/>
      <sheetName val="Jan-Jun 04 Budget"/>
      <sheetName val="NON-LABOR"/>
      <sheetName val="Jan-Jun 04 NonLabor Bdgt"/>
      <sheetName val="ACCTTABLE"/>
      <sheetName val="REV by PRODUCT"/>
      <sheetName val="LABOR"/>
      <sheetName val="Jan-Jun 04 Labor Bdgt"/>
      <sheetName val="SCH_A1"/>
      <sheetName val="SCH_A2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2.5b"/>
      <sheetName val="SCH_B-3"/>
      <sheetName val="SCH_B-3.1"/>
      <sheetName val="SCH_B-3.2 - Proposed Accrual"/>
      <sheetName val="SCH_B-3.2a - Current Accrual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9"/>
      <sheetName val="SCH_C1"/>
      <sheetName val="SCH_C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3.22"/>
      <sheetName val="SCH_C3.23"/>
      <sheetName val="SCH_C3.24"/>
      <sheetName val="SCH_C3.25"/>
      <sheetName val="SCH_C3.26"/>
      <sheetName val="SCH_C3.27"/>
      <sheetName val="SCH_C3.28"/>
      <sheetName val="SCH_C3.29"/>
      <sheetName val="SCH_C3.30"/>
      <sheetName val="SCH_C4"/>
      <sheetName val="SCH_C5"/>
      <sheetName val="SCH_C6"/>
      <sheetName val="SCH_C7"/>
      <sheetName val="SCH_C8"/>
      <sheetName val="SCH_C9"/>
      <sheetName val="SCH_C9.1"/>
      <sheetName val="SCH C10.1"/>
      <sheetName val="SCH C10.2"/>
      <sheetName val="SCH_C11"/>
      <sheetName val="SCH_C12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UPP (C)(7)"/>
      <sheetName val="SUPP (C)(9)"/>
      <sheetName val="SUPP (C)(23)"/>
      <sheetName val="SUPP (C)(25)"/>
    </sheetNames>
    <sheetDataSet>
      <sheetData sheetId="0"/>
      <sheetData sheetId="1">
        <row r="2">
          <cell r="A2" t="str">
            <v>C229</v>
          </cell>
          <cell r="B2">
            <v>0.44821</v>
          </cell>
          <cell r="C2" t="str">
            <v>WTD Net C &amp; O Plant Ratios</v>
          </cell>
          <cell r="D2" t="str">
            <v>Per B-7</v>
          </cell>
        </row>
        <row r="3">
          <cell r="A3" t="str">
            <v>DALL</v>
          </cell>
          <cell r="B3">
            <v>1</v>
          </cell>
          <cell r="C3" t="str">
            <v>All Jurisdictional</v>
          </cell>
        </row>
        <row r="4">
          <cell r="A4" t="str">
            <v>DNON</v>
          </cell>
          <cell r="B4">
            <v>0</v>
          </cell>
          <cell r="C4" t="str">
            <v>Non-Jurisdictional</v>
          </cell>
        </row>
        <row r="5">
          <cell r="A5" t="str">
            <v>G229</v>
          </cell>
          <cell r="B5">
            <v>0.92257</v>
          </cell>
          <cell r="C5" t="str">
            <v>WTD Net G &amp; I Plant Ratios (T&amp;D Only)</v>
          </cell>
          <cell r="D5" t="str">
            <v>Per B-7</v>
          </cell>
        </row>
        <row r="6">
          <cell r="A6" t="str">
            <v>D595</v>
          </cell>
          <cell r="B6">
            <v>0.54069999999999996</v>
          </cell>
          <cell r="C6" t="str">
            <v>Distribution Revenue ratio</v>
          </cell>
          <cell r="D6" t="str">
            <v>Per WPB-5.1c</v>
          </cell>
        </row>
        <row r="7">
          <cell r="A7" t="str">
            <v>DLAB</v>
          </cell>
          <cell r="B7">
            <v>0.87319000000000002</v>
          </cell>
          <cell r="C7" t="str">
            <v>Labor Distribution</v>
          </cell>
          <cell r="D7" t="str">
            <v>FERC Pages 354 &amp; 355</v>
          </cell>
        </row>
        <row r="8">
          <cell r="A8" t="str">
            <v>DPTX</v>
          </cell>
          <cell r="B8">
            <v>0.79</v>
          </cell>
          <cell r="C8" t="str">
            <v>Distribution Property Tax Split based on 3 months actual</v>
          </cell>
          <cell r="D8" t="str">
            <v>Per Tax Department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6:H38"/>
  <sheetViews>
    <sheetView tabSelected="1" view="pageLayout" zoomScaleNormal="90" workbookViewId="0">
      <selection activeCell="I24" sqref="I24"/>
    </sheetView>
  </sheetViews>
  <sheetFormatPr defaultRowHeight="14.4" x14ac:dyDescent="0.3"/>
  <cols>
    <col min="2" max="2" width="2" customWidth="1"/>
    <col min="3" max="3" width="46" customWidth="1"/>
    <col min="4" max="5" width="1.6640625" customWidth="1"/>
    <col min="6" max="6" width="14.6640625" customWidth="1"/>
    <col min="7" max="7" width="1.6640625" customWidth="1"/>
    <col min="8" max="8" width="12.6640625" bestFit="1" customWidth="1"/>
  </cols>
  <sheetData>
    <row r="6" spans="1:7" x14ac:dyDescent="0.3">
      <c r="A6" s="9" t="s">
        <v>4</v>
      </c>
      <c r="B6" s="10"/>
    </row>
    <row r="7" spans="1:7" x14ac:dyDescent="0.3">
      <c r="A7" s="10" t="s">
        <v>48</v>
      </c>
      <c r="B7" s="10"/>
    </row>
    <row r="8" spans="1:7" x14ac:dyDescent="0.3">
      <c r="A8" s="10" t="s">
        <v>59</v>
      </c>
      <c r="B8" s="10"/>
    </row>
    <row r="9" spans="1:7" ht="18.600000000000001" thickBot="1" x14ac:dyDescent="0.4">
      <c r="A9" s="12"/>
      <c r="B9" s="12"/>
      <c r="C9" s="13"/>
      <c r="D9" s="14"/>
      <c r="E9" s="15"/>
      <c r="F9" s="15"/>
      <c r="G9" s="15"/>
    </row>
    <row r="10" spans="1:7" ht="18" x14ac:dyDescent="0.35">
      <c r="C10" s="17"/>
      <c r="D10" s="18"/>
      <c r="E10" s="17"/>
      <c r="F10" s="17"/>
      <c r="G10" s="17"/>
    </row>
    <row r="11" spans="1:7" x14ac:dyDescent="0.3">
      <c r="A11" s="19" t="s">
        <v>5</v>
      </c>
      <c r="B11" s="65"/>
      <c r="C11" s="19" t="s">
        <v>6</v>
      </c>
      <c r="E11" s="66"/>
      <c r="F11" s="46" t="s">
        <v>7</v>
      </c>
      <c r="G11" s="66"/>
    </row>
    <row r="13" spans="1:7" ht="16.2" x14ac:dyDescent="0.3">
      <c r="A13" s="26">
        <v>1</v>
      </c>
      <c r="C13" s="50" t="s">
        <v>49</v>
      </c>
      <c r="E13" s="30"/>
      <c r="F13" s="30">
        <f>'13 month average calc'!D12</f>
        <v>1456637</v>
      </c>
      <c r="G13" s="30"/>
    </row>
    <row r="14" spans="1:7" ht="16.2" x14ac:dyDescent="0.3">
      <c r="A14" s="26">
        <f>MAX(A13:A$13)+1</f>
        <v>2</v>
      </c>
      <c r="C14" s="50" t="s">
        <v>50</v>
      </c>
      <c r="E14" s="52"/>
      <c r="F14" s="52">
        <f>ADIT!C17</f>
        <v>-67806.452350000007</v>
      </c>
      <c r="G14" s="67"/>
    </row>
    <row r="15" spans="1:7" x14ac:dyDescent="0.3">
      <c r="A15" s="26">
        <f>MAX(A$13:A14)+1</f>
        <v>3</v>
      </c>
      <c r="C15" s="50" t="s">
        <v>51</v>
      </c>
      <c r="E15" s="68"/>
      <c r="F15" s="69">
        <f>+F13+F14</f>
        <v>1388830.5476500001</v>
      </c>
      <c r="G15" s="70"/>
    </row>
    <row r="16" spans="1:7" x14ac:dyDescent="0.3">
      <c r="A16" s="26"/>
      <c r="E16" s="53"/>
      <c r="F16" s="70"/>
      <c r="G16" s="70"/>
    </row>
    <row r="17" spans="1:8" ht="16.2" x14ac:dyDescent="0.3">
      <c r="A17" s="26">
        <f>MAX(A$13:A16)+1</f>
        <v>4</v>
      </c>
      <c r="C17" s="50" t="s">
        <v>52</v>
      </c>
      <c r="E17" s="68"/>
      <c r="F17" s="71">
        <f>ADIT!C19</f>
        <v>-46939.399006500003</v>
      </c>
      <c r="G17" s="67"/>
    </row>
    <row r="18" spans="1:8" x14ac:dyDescent="0.3">
      <c r="A18" s="26"/>
      <c r="E18" s="53"/>
      <c r="F18" s="70"/>
      <c r="G18" s="70"/>
    </row>
    <row r="19" spans="1:8" ht="15" thickBot="1" x14ac:dyDescent="0.35">
      <c r="A19" s="26">
        <f>MAX(A$13:A18)+1</f>
        <v>5</v>
      </c>
      <c r="C19" s="50" t="s">
        <v>53</v>
      </c>
      <c r="E19" s="72"/>
      <c r="F19" s="73">
        <f>+F15+F17</f>
        <v>1341891.1486435002</v>
      </c>
      <c r="G19" s="67"/>
    </row>
    <row r="20" spans="1:8" ht="15" thickTop="1" x14ac:dyDescent="0.3">
      <c r="A20" s="26"/>
      <c r="E20" s="74"/>
      <c r="F20" s="53"/>
      <c r="G20" s="53"/>
    </row>
    <row r="21" spans="1:8" ht="16.2" x14ac:dyDescent="0.3">
      <c r="A21" s="26">
        <f>MAX(A$13:A20)+1</f>
        <v>6</v>
      </c>
      <c r="C21" s="50" t="s">
        <v>54</v>
      </c>
      <c r="E21" s="75"/>
      <c r="F21" s="75">
        <v>8.9569999999999997E-2</v>
      </c>
      <c r="G21" s="70"/>
    </row>
    <row r="22" spans="1:8" x14ac:dyDescent="0.3">
      <c r="A22" s="26"/>
      <c r="E22" s="53"/>
      <c r="F22" s="70"/>
      <c r="G22" s="70"/>
    </row>
    <row r="23" spans="1:8" x14ac:dyDescent="0.3">
      <c r="A23" s="26">
        <f>MAX(A$13:A22)+1</f>
        <v>7</v>
      </c>
      <c r="C23" s="50" t="s">
        <v>55</v>
      </c>
      <c r="E23" s="76"/>
      <c r="F23" s="76">
        <f>+F19*F21</f>
        <v>120193.1901839983</v>
      </c>
      <c r="G23" s="70"/>
    </row>
    <row r="24" spans="1:8" x14ac:dyDescent="0.3">
      <c r="A24" s="26"/>
      <c r="C24" s="50"/>
      <c r="E24" s="53"/>
      <c r="F24" s="70"/>
      <c r="G24" s="70"/>
    </row>
    <row r="25" spans="1:8" x14ac:dyDescent="0.3">
      <c r="A25" s="26">
        <f>MAX(A$13:A24)+1</f>
        <v>8</v>
      </c>
      <c r="C25" s="50" t="s">
        <v>0</v>
      </c>
      <c r="E25" s="52"/>
      <c r="F25" s="52">
        <f>ADIT!C15</f>
        <v>67806.452350000007</v>
      </c>
      <c r="G25" s="77"/>
      <c r="H25" s="31"/>
    </row>
    <row r="26" spans="1:8" x14ac:dyDescent="0.3">
      <c r="A26" s="26">
        <f>MAX(A$13:A25)+1</f>
        <v>9</v>
      </c>
      <c r="C26" s="50" t="s">
        <v>62</v>
      </c>
      <c r="E26" s="78"/>
      <c r="F26" s="78">
        <f>Summary!D46</f>
        <v>12221.444187682038</v>
      </c>
      <c r="G26" s="79"/>
      <c r="H26" s="31"/>
    </row>
    <row r="27" spans="1:8" x14ac:dyDescent="0.3">
      <c r="A27" s="26"/>
      <c r="E27" s="80"/>
      <c r="F27" s="81"/>
      <c r="G27" s="82"/>
    </row>
    <row r="28" spans="1:8" ht="15" thickBot="1" x14ac:dyDescent="0.35">
      <c r="A28" s="26">
        <f>MAX(A$13:A27)+1</f>
        <v>10</v>
      </c>
      <c r="C28" s="50" t="s">
        <v>56</v>
      </c>
      <c r="E28" s="76"/>
      <c r="F28" s="29">
        <f>SUM(F23:F26)</f>
        <v>200221.08672168033</v>
      </c>
      <c r="G28" s="83"/>
    </row>
    <row r="29" spans="1:8" ht="15" thickTop="1" x14ac:dyDescent="0.3">
      <c r="A29" s="26"/>
    </row>
    <row r="31" spans="1:8" ht="14.25" customHeight="1" x14ac:dyDescent="0.3">
      <c r="A31" s="84"/>
      <c r="C31" s="85" t="s">
        <v>57</v>
      </c>
      <c r="D31" s="85"/>
      <c r="E31" s="86"/>
      <c r="F31" s="86"/>
      <c r="G31" s="86"/>
    </row>
    <row r="32" spans="1:8" ht="33" customHeight="1" x14ac:dyDescent="0.3">
      <c r="C32" s="91" t="s">
        <v>61</v>
      </c>
    </row>
    <row r="33" spans="3:3" ht="16.2" x14ac:dyDescent="0.3">
      <c r="C33" s="87" t="s">
        <v>60</v>
      </c>
    </row>
    <row r="34" spans="3:3" ht="45" x14ac:dyDescent="0.3">
      <c r="C34" s="88" t="s">
        <v>58</v>
      </c>
    </row>
    <row r="35" spans="3:3" x14ac:dyDescent="0.3">
      <c r="C35" s="89"/>
    </row>
    <row r="36" spans="3:3" x14ac:dyDescent="0.3">
      <c r="C36" s="89"/>
    </row>
    <row r="37" spans="3:3" x14ac:dyDescent="0.3">
      <c r="C37" s="90"/>
    </row>
    <row r="38" spans="3:3" x14ac:dyDescent="0.3">
      <c r="C38" s="90"/>
    </row>
  </sheetData>
  <pageMargins left="0.56000000000000005" right="0.55000000000000004" top="0.75" bottom="0.75" header="0.3" footer="0.3"/>
  <pageSetup scale="89" orientation="landscape" r:id="rId1"/>
  <headerFooter>
    <oddHeader>&amp;R&amp;"Times New Roman,Bold"&amp;10KyPSC Case No. 2019-00271
AG-DR-02-012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3:F48"/>
  <sheetViews>
    <sheetView tabSelected="1" view="pageLayout" zoomScaleNormal="100" workbookViewId="0">
      <selection activeCell="I24" sqref="I24"/>
    </sheetView>
  </sheetViews>
  <sheetFormatPr defaultRowHeight="14.4" x14ac:dyDescent="0.3"/>
  <cols>
    <col min="1" max="1" width="9.33203125" customWidth="1"/>
    <col min="2" max="2" width="7.44140625" customWidth="1"/>
    <col min="3" max="3" width="34.5546875" bestFit="1" customWidth="1"/>
    <col min="4" max="4" width="20.5546875" customWidth="1"/>
    <col min="5" max="5" width="24.88671875" bestFit="1" customWidth="1"/>
  </cols>
  <sheetData>
    <row r="3" spans="2:6" ht="18" x14ac:dyDescent="0.35">
      <c r="B3" s="6" t="s">
        <v>47</v>
      </c>
    </row>
    <row r="4" spans="2:6" x14ac:dyDescent="0.3">
      <c r="E4" s="5"/>
    </row>
    <row r="5" spans="2:6" x14ac:dyDescent="0.3">
      <c r="B5" s="1" t="s">
        <v>3</v>
      </c>
      <c r="C5" s="1" t="s">
        <v>2</v>
      </c>
      <c r="D5" s="1" t="s">
        <v>0</v>
      </c>
      <c r="E5" s="1" t="s">
        <v>1</v>
      </c>
      <c r="F5" s="1" t="s">
        <v>23</v>
      </c>
    </row>
    <row r="6" spans="2:6" x14ac:dyDescent="0.3">
      <c r="B6" s="2">
        <v>43891</v>
      </c>
      <c r="C6" s="3">
        <v>1444642.2039999277</v>
      </c>
      <c r="D6" s="4">
        <f>$D$23/12</f>
        <v>5650.5376958333336</v>
      </c>
      <c r="E6" s="4">
        <f>D6</f>
        <v>5650.5376958333336</v>
      </c>
      <c r="F6" s="4">
        <f>ADIT!$AA$32/12</f>
        <v>3911.6165838750003</v>
      </c>
    </row>
    <row r="7" spans="2:6" x14ac:dyDescent="0.3">
      <c r="B7" s="2">
        <v>43922</v>
      </c>
      <c r="C7" s="3">
        <v>1444642.2039999277</v>
      </c>
      <c r="D7" s="4">
        <f t="shared" ref="D7:D17" si="0">$D$23/12</f>
        <v>5650.5376958333336</v>
      </c>
      <c r="E7" s="4">
        <f t="shared" ref="E7:E18" si="1">E6+D7</f>
        <v>11301.075391666667</v>
      </c>
      <c r="F7" s="4">
        <f>ADIT!$AA$32/12</f>
        <v>3911.6165838750003</v>
      </c>
    </row>
    <row r="8" spans="2:6" x14ac:dyDescent="0.3">
      <c r="B8" s="2">
        <v>43952</v>
      </c>
      <c r="C8" s="3">
        <v>1444642.2039999277</v>
      </c>
      <c r="D8" s="4">
        <f t="shared" si="0"/>
        <v>5650.5376958333336</v>
      </c>
      <c r="E8" s="4">
        <f t="shared" si="1"/>
        <v>16951.613087500002</v>
      </c>
      <c r="F8" s="4">
        <f>ADIT!$AA$32/12</f>
        <v>3911.6165838750003</v>
      </c>
    </row>
    <row r="9" spans="2:6" x14ac:dyDescent="0.3">
      <c r="B9" s="2">
        <v>43983</v>
      </c>
      <c r="C9" s="3">
        <v>1444642.2039999277</v>
      </c>
      <c r="D9" s="4">
        <f t="shared" si="0"/>
        <v>5650.5376958333336</v>
      </c>
      <c r="E9" s="4">
        <f t="shared" si="1"/>
        <v>22602.150783333334</v>
      </c>
      <c r="F9" s="4">
        <f>ADIT!$AA$32/12</f>
        <v>3911.6165838750003</v>
      </c>
    </row>
    <row r="10" spans="2:6" x14ac:dyDescent="0.3">
      <c r="B10" s="2">
        <v>44013</v>
      </c>
      <c r="C10" s="3">
        <v>1444642.2039999277</v>
      </c>
      <c r="D10" s="4">
        <f t="shared" si="0"/>
        <v>5650.5376958333336</v>
      </c>
      <c r="E10" s="4">
        <f t="shared" si="1"/>
        <v>28252.688479166667</v>
      </c>
      <c r="F10" s="4">
        <f>ADIT!$AA$32/12</f>
        <v>3911.6165838750003</v>
      </c>
    </row>
    <row r="11" spans="2:6" x14ac:dyDescent="0.3">
      <c r="B11" s="2">
        <v>44044</v>
      </c>
      <c r="C11" s="3">
        <v>1444642.2039999277</v>
      </c>
      <c r="D11" s="4">
        <f t="shared" si="0"/>
        <v>5650.5376958333336</v>
      </c>
      <c r="E11" s="4">
        <f t="shared" si="1"/>
        <v>33903.226175000003</v>
      </c>
      <c r="F11" s="4">
        <f>ADIT!$AA$32/12</f>
        <v>3911.6165838750003</v>
      </c>
    </row>
    <row r="12" spans="2:6" x14ac:dyDescent="0.3">
      <c r="B12" s="2">
        <v>44075</v>
      </c>
      <c r="C12" s="3">
        <v>1444642.2039999277</v>
      </c>
      <c r="D12" s="4">
        <f t="shared" si="0"/>
        <v>5650.5376958333336</v>
      </c>
      <c r="E12" s="4">
        <f t="shared" si="1"/>
        <v>39553.76387083334</v>
      </c>
      <c r="F12" s="4">
        <f>ADIT!$AA$32/12</f>
        <v>3911.6165838750003</v>
      </c>
    </row>
    <row r="13" spans="2:6" x14ac:dyDescent="0.3">
      <c r="B13" s="2">
        <v>44105</v>
      </c>
      <c r="C13" s="3">
        <v>1444642.2039999277</v>
      </c>
      <c r="D13" s="4">
        <f t="shared" si="0"/>
        <v>5650.5376958333336</v>
      </c>
      <c r="E13" s="4">
        <f t="shared" si="1"/>
        <v>45204.301566666676</v>
      </c>
      <c r="F13" s="4">
        <f>ADIT!$AA$32/12</f>
        <v>3911.6165838750003</v>
      </c>
    </row>
    <row r="14" spans="2:6" x14ac:dyDescent="0.3">
      <c r="B14" s="2">
        <v>44136</v>
      </c>
      <c r="C14" s="3">
        <v>1444642.2039999277</v>
      </c>
      <c r="D14" s="4">
        <f t="shared" si="0"/>
        <v>5650.5376958333336</v>
      </c>
      <c r="E14" s="4">
        <f t="shared" si="1"/>
        <v>50854.839262500012</v>
      </c>
      <c r="F14" s="4">
        <f>ADIT!$AA$32/12</f>
        <v>3911.6165838750003</v>
      </c>
    </row>
    <row r="15" spans="2:6" x14ac:dyDescent="0.3">
      <c r="B15" s="2">
        <v>44166</v>
      </c>
      <c r="C15" s="3">
        <v>1483626.6467999278</v>
      </c>
      <c r="D15" s="4">
        <f t="shared" si="0"/>
        <v>5650.5376958333336</v>
      </c>
      <c r="E15" s="4">
        <f t="shared" si="1"/>
        <v>56505.376958333349</v>
      </c>
      <c r="F15" s="4">
        <f>ADIT!$AA$32/12</f>
        <v>3911.6165838750003</v>
      </c>
    </row>
    <row r="16" spans="2:6" x14ac:dyDescent="0.3">
      <c r="B16" s="2">
        <v>44197</v>
      </c>
      <c r="C16" s="3">
        <v>1483626.6467999278</v>
      </c>
      <c r="D16" s="4">
        <f t="shared" si="0"/>
        <v>5650.5376958333336</v>
      </c>
      <c r="E16" s="4">
        <f t="shared" si="1"/>
        <v>62155.914654166685</v>
      </c>
      <c r="F16" s="4">
        <f>ADIT!$AA$32/12</f>
        <v>3911.6165838750003</v>
      </c>
    </row>
    <row r="17" spans="2:6" x14ac:dyDescent="0.3">
      <c r="B17" s="2">
        <v>44228</v>
      </c>
      <c r="C17" s="3">
        <v>1483626.6467999278</v>
      </c>
      <c r="D17" s="4">
        <f t="shared" si="0"/>
        <v>5650.5376958333336</v>
      </c>
      <c r="E17" s="4">
        <f t="shared" si="1"/>
        <v>67806.452350000021</v>
      </c>
      <c r="F17" s="4">
        <f>ADIT!$AA$32/12</f>
        <v>3911.6165838750003</v>
      </c>
    </row>
    <row r="18" spans="2:6" x14ac:dyDescent="0.3">
      <c r="B18" s="2">
        <v>44256</v>
      </c>
      <c r="C18" s="3">
        <v>1483626.6467999278</v>
      </c>
      <c r="D18" s="4">
        <f>ADIT!S33/12</f>
        <v>11301.075391666667</v>
      </c>
      <c r="E18" s="4">
        <f t="shared" si="1"/>
        <v>79107.527741666694</v>
      </c>
      <c r="F18" s="4">
        <f>ADIT!AA33/12</f>
        <v>9695.5833333333339</v>
      </c>
    </row>
    <row r="19" spans="2:6" x14ac:dyDescent="0.3">
      <c r="D19" s="8"/>
    </row>
    <row r="20" spans="2:6" x14ac:dyDescent="0.3">
      <c r="C20" t="s">
        <v>12</v>
      </c>
      <c r="D20" s="30">
        <f>'13 month average calc'!D12</f>
        <v>1456637</v>
      </c>
    </row>
    <row r="21" spans="2:6" ht="15" thickBot="1" x14ac:dyDescent="0.35">
      <c r="C21" t="s">
        <v>13</v>
      </c>
      <c r="D21" s="7">
        <v>9.3100000000000002E-2</v>
      </c>
    </row>
    <row r="22" spans="2:6" x14ac:dyDescent="0.3">
      <c r="C22" t="s">
        <v>14</v>
      </c>
      <c r="D22" s="31">
        <f>D20*D21</f>
        <v>135612.90470000001</v>
      </c>
    </row>
    <row r="23" spans="2:6" ht="15" thickBot="1" x14ac:dyDescent="0.35">
      <c r="C23" t="s">
        <v>15</v>
      </c>
      <c r="D23" s="32">
        <f>D22/2</f>
        <v>67806.452350000007</v>
      </c>
    </row>
    <row r="24" spans="2:6" ht="15" thickTop="1" x14ac:dyDescent="0.3"/>
    <row r="27" spans="2:6" ht="18" x14ac:dyDescent="0.35">
      <c r="B27" s="6" t="s">
        <v>16</v>
      </c>
    </row>
    <row r="29" spans="2:6" x14ac:dyDescent="0.3">
      <c r="B29" s="1" t="s">
        <v>3</v>
      </c>
      <c r="C29" s="1" t="s">
        <v>17</v>
      </c>
      <c r="D29" s="1" t="s">
        <v>18</v>
      </c>
    </row>
    <row r="30" spans="2:6" x14ac:dyDescent="0.3">
      <c r="B30" s="2">
        <v>43922</v>
      </c>
      <c r="C30" s="3">
        <v>886946.6650123077</v>
      </c>
      <c r="D30" s="4">
        <f t="shared" ref="D30:D38" si="2">C30*$D$43/12</f>
        <v>936.46785380882829</v>
      </c>
    </row>
    <row r="31" spans="2:6" x14ac:dyDescent="0.3">
      <c r="B31" s="2">
        <v>43952</v>
      </c>
      <c r="C31" s="3">
        <v>886946.6650123077</v>
      </c>
      <c r="D31" s="4">
        <f t="shared" si="2"/>
        <v>936.46785380882829</v>
      </c>
    </row>
    <row r="32" spans="2:6" x14ac:dyDescent="0.3">
      <c r="B32" s="2">
        <v>43983</v>
      </c>
      <c r="C32" s="3">
        <v>886946.6650123077</v>
      </c>
      <c r="D32" s="4">
        <f t="shared" si="2"/>
        <v>936.46785380882829</v>
      </c>
    </row>
    <row r="33" spans="2:4" x14ac:dyDescent="0.3">
      <c r="B33" s="2">
        <v>44013</v>
      </c>
      <c r="C33" s="3">
        <v>886946.6650123077</v>
      </c>
      <c r="D33" s="4">
        <f t="shared" si="2"/>
        <v>936.46785380882829</v>
      </c>
    </row>
    <row r="34" spans="2:4" x14ac:dyDescent="0.3">
      <c r="B34" s="2">
        <v>44044</v>
      </c>
      <c r="C34" s="3">
        <v>886946.6650123077</v>
      </c>
      <c r="D34" s="4">
        <f t="shared" si="2"/>
        <v>936.46785380882829</v>
      </c>
    </row>
    <row r="35" spans="2:4" x14ac:dyDescent="0.3">
      <c r="B35" s="2">
        <v>44075</v>
      </c>
      <c r="C35" s="3">
        <v>886946.6650123077</v>
      </c>
      <c r="D35" s="4">
        <f t="shared" si="2"/>
        <v>936.46785380882829</v>
      </c>
    </row>
    <row r="36" spans="2:4" x14ac:dyDescent="0.3">
      <c r="B36" s="2">
        <v>44105</v>
      </c>
      <c r="C36" s="3">
        <v>886946.6650123077</v>
      </c>
      <c r="D36" s="4">
        <f t="shared" si="2"/>
        <v>936.46785380882829</v>
      </c>
    </row>
    <row r="37" spans="2:4" x14ac:dyDescent="0.3">
      <c r="B37" s="2">
        <v>44136</v>
      </c>
      <c r="C37" s="3">
        <v>886946.6650123077</v>
      </c>
      <c r="D37" s="4">
        <f t="shared" si="2"/>
        <v>936.46785380882829</v>
      </c>
    </row>
    <row r="38" spans="2:4" x14ac:dyDescent="0.3">
      <c r="B38" s="2">
        <v>44166</v>
      </c>
      <c r="C38" s="3">
        <v>886946.6650123077</v>
      </c>
      <c r="D38" s="4">
        <f t="shared" si="2"/>
        <v>936.46785380882829</v>
      </c>
    </row>
    <row r="39" spans="2:4" x14ac:dyDescent="0.3">
      <c r="B39" s="2">
        <v>44197</v>
      </c>
      <c r="C39" s="3">
        <v>1185385.4698133077</v>
      </c>
      <c r="D39" s="4">
        <f>C39*$D$44/12</f>
        <v>1264.4111678008617</v>
      </c>
    </row>
    <row r="40" spans="2:4" x14ac:dyDescent="0.3">
      <c r="B40" s="2">
        <v>44228</v>
      </c>
      <c r="C40" s="3">
        <v>1185385.4698133077</v>
      </c>
      <c r="D40" s="4">
        <f t="shared" ref="D40:D41" si="3">C40*$D$44/12</f>
        <v>1264.4111678008617</v>
      </c>
    </row>
    <row r="41" spans="2:4" x14ac:dyDescent="0.3">
      <c r="B41" s="2">
        <v>44256</v>
      </c>
      <c r="C41" s="3">
        <v>1185385.4698133077</v>
      </c>
      <c r="D41" s="4">
        <f t="shared" si="3"/>
        <v>1264.4111678008617</v>
      </c>
    </row>
    <row r="43" spans="2:4" x14ac:dyDescent="0.3">
      <c r="C43" t="s">
        <v>19</v>
      </c>
      <c r="D43" s="33">
        <v>1.2670000000000001E-2</v>
      </c>
    </row>
    <row r="44" spans="2:4" x14ac:dyDescent="0.3">
      <c r="C44" t="s">
        <v>20</v>
      </c>
      <c r="D44" s="33">
        <v>1.2800000000000001E-2</v>
      </c>
    </row>
    <row r="46" spans="2:4" x14ac:dyDescent="0.3">
      <c r="C46" t="s">
        <v>21</v>
      </c>
      <c r="D46" s="30">
        <f>SUM(D30:D41)</f>
        <v>12221.444187682038</v>
      </c>
    </row>
    <row r="48" spans="2:4" x14ac:dyDescent="0.3">
      <c r="B48" t="s">
        <v>22</v>
      </c>
    </row>
  </sheetData>
  <pageMargins left="0.2" right="0.43" top="0.75" bottom="0.75" header="0.3" footer="0.3"/>
  <pageSetup scale="71" orientation="landscape" r:id="rId1"/>
  <headerFooter>
    <oddHeader>&amp;R&amp;"Times New Roman,Bold"&amp;10KyPSC Case No. 2019-00271
AG-DR-02-012 Attachment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13"/>
  <sheetViews>
    <sheetView tabSelected="1" view="pageLayout" zoomScaleNormal="100" workbookViewId="0">
      <selection activeCell="I24" sqref="I24"/>
    </sheetView>
  </sheetViews>
  <sheetFormatPr defaultRowHeight="14.4" x14ac:dyDescent="0.3"/>
  <cols>
    <col min="1" max="1" width="9.88671875" customWidth="1"/>
    <col min="2" max="2" width="34.109375" bestFit="1" customWidth="1"/>
    <col min="3" max="3" width="4.109375" customWidth="1"/>
    <col min="4" max="4" width="10.88671875" bestFit="1" customWidth="1"/>
    <col min="5" max="12" width="10.5546875" bestFit="1" customWidth="1"/>
    <col min="13" max="16" width="11.5546875" bestFit="1" customWidth="1"/>
  </cols>
  <sheetData>
    <row r="1" spans="1:16" x14ac:dyDescent="0.3">
      <c r="A1" s="9" t="s">
        <v>4</v>
      </c>
      <c r="B1" s="10"/>
      <c r="C1" s="11"/>
    </row>
    <row r="2" spans="1:16" x14ac:dyDescent="0.3">
      <c r="A2" s="10" t="s">
        <v>11</v>
      </c>
      <c r="B2" s="10"/>
      <c r="C2" s="11"/>
    </row>
    <row r="3" spans="1:16" x14ac:dyDescent="0.3">
      <c r="A3" s="10"/>
      <c r="B3" s="10"/>
      <c r="C3" s="11"/>
    </row>
    <row r="4" spans="1:16" ht="18.600000000000001" thickBot="1" x14ac:dyDescent="0.4">
      <c r="A4" s="12"/>
      <c r="B4" s="12"/>
      <c r="C4" s="12"/>
      <c r="D4" s="13"/>
      <c r="E4" s="14"/>
      <c r="F4" s="15"/>
      <c r="G4" s="15"/>
      <c r="H4" s="12"/>
      <c r="I4" s="12"/>
      <c r="J4" s="12"/>
      <c r="K4" s="12"/>
      <c r="L4" s="12"/>
      <c r="M4" s="12"/>
      <c r="N4" s="12"/>
      <c r="O4" s="12"/>
      <c r="P4" s="12"/>
    </row>
    <row r="5" spans="1:16" ht="18" x14ac:dyDescent="0.35">
      <c r="C5" s="16"/>
      <c r="D5" s="17"/>
      <c r="E5" s="18"/>
      <c r="F5" s="17"/>
      <c r="G5" s="17"/>
    </row>
    <row r="6" spans="1:16" x14ac:dyDescent="0.3">
      <c r="A6" s="19" t="s">
        <v>5</v>
      </c>
      <c r="B6" s="19" t="s">
        <v>6</v>
      </c>
      <c r="C6" s="20"/>
      <c r="D6" s="21" t="s">
        <v>7</v>
      </c>
      <c r="E6" s="22"/>
      <c r="F6" s="23"/>
      <c r="G6" s="22"/>
      <c r="H6" s="22"/>
      <c r="I6" s="22"/>
      <c r="J6" s="22"/>
      <c r="K6" s="22"/>
      <c r="L6" s="22"/>
      <c r="M6" s="22"/>
      <c r="N6" s="22"/>
      <c r="O6" s="22"/>
      <c r="P6" s="24"/>
    </row>
    <row r="7" spans="1:16" x14ac:dyDescent="0.3">
      <c r="C7" s="16"/>
    </row>
    <row r="8" spans="1:16" x14ac:dyDescent="0.3">
      <c r="C8" s="16"/>
      <c r="D8" s="25">
        <v>43891</v>
      </c>
      <c r="E8" s="25">
        <v>43922</v>
      </c>
      <c r="F8" s="25">
        <v>43952</v>
      </c>
      <c r="G8" s="25">
        <v>43983</v>
      </c>
      <c r="H8" s="25">
        <v>44013</v>
      </c>
      <c r="I8" s="25">
        <v>44044</v>
      </c>
      <c r="J8" s="25">
        <v>44075</v>
      </c>
      <c r="K8" s="25">
        <v>44105</v>
      </c>
      <c r="L8" s="25">
        <v>44136</v>
      </c>
      <c r="M8" s="25">
        <v>44166</v>
      </c>
      <c r="N8" s="25">
        <v>44197</v>
      </c>
      <c r="O8" s="25">
        <v>44228</v>
      </c>
      <c r="P8" s="25">
        <v>44256</v>
      </c>
    </row>
    <row r="9" spans="1:16" x14ac:dyDescent="0.3">
      <c r="A9" s="26">
        <v>1</v>
      </c>
      <c r="B9" t="s">
        <v>8</v>
      </c>
      <c r="C9" s="16"/>
      <c r="D9" s="27">
        <v>1444642.2039999277</v>
      </c>
      <c r="E9" s="27"/>
      <c r="F9" s="27"/>
      <c r="G9" s="27"/>
      <c r="H9" s="27"/>
      <c r="I9" s="27"/>
      <c r="J9" s="27"/>
      <c r="K9" s="27"/>
      <c r="L9" s="27"/>
      <c r="M9" s="27">
        <v>38984.442800000077</v>
      </c>
      <c r="N9" s="27"/>
      <c r="O9" s="27"/>
      <c r="P9" s="27"/>
    </row>
    <row r="10" spans="1:16" x14ac:dyDescent="0.3">
      <c r="A10" s="26">
        <v>2</v>
      </c>
      <c r="B10" t="s">
        <v>9</v>
      </c>
      <c r="C10" s="16"/>
      <c r="D10" s="28">
        <f t="shared" ref="D10:P10" si="0">C10+D9</f>
        <v>1444642.2039999277</v>
      </c>
      <c r="E10" s="28">
        <f t="shared" si="0"/>
        <v>1444642.2039999277</v>
      </c>
      <c r="F10" s="28">
        <f t="shared" si="0"/>
        <v>1444642.2039999277</v>
      </c>
      <c r="G10" s="28">
        <f t="shared" si="0"/>
        <v>1444642.2039999277</v>
      </c>
      <c r="H10" s="28">
        <f t="shared" si="0"/>
        <v>1444642.2039999277</v>
      </c>
      <c r="I10" s="28">
        <f t="shared" si="0"/>
        <v>1444642.2039999277</v>
      </c>
      <c r="J10" s="28">
        <f t="shared" si="0"/>
        <v>1444642.2039999277</v>
      </c>
      <c r="K10" s="28">
        <f t="shared" si="0"/>
        <v>1444642.2039999277</v>
      </c>
      <c r="L10" s="28">
        <f t="shared" si="0"/>
        <v>1444642.2039999277</v>
      </c>
      <c r="M10" s="28">
        <f t="shared" si="0"/>
        <v>1483626.6467999278</v>
      </c>
      <c r="N10" s="28">
        <f t="shared" si="0"/>
        <v>1483626.6467999278</v>
      </c>
      <c r="O10" s="28">
        <f t="shared" si="0"/>
        <v>1483626.6467999278</v>
      </c>
      <c r="P10" s="28">
        <f t="shared" si="0"/>
        <v>1483626.6467999278</v>
      </c>
    </row>
    <row r="11" spans="1:16" x14ac:dyDescent="0.3">
      <c r="A11" s="26"/>
      <c r="C11" s="1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6" ht="15" thickBot="1" x14ac:dyDescent="0.35">
      <c r="A12" s="26">
        <v>3</v>
      </c>
      <c r="B12" t="s">
        <v>10</v>
      </c>
      <c r="C12" s="16"/>
      <c r="D12" s="29">
        <f>ROUND(AVERAGE(D10:P10),0)</f>
        <v>1456637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6" ht="15" thickTop="1" x14ac:dyDescent="0.3">
      <c r="C13" s="1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</sheetData>
  <pageMargins left="0.2" right="0.2" top="1.03" bottom="0.75" header="0.62" footer="0.3"/>
  <pageSetup scale="71" fitToHeight="0" orientation="landscape" r:id="rId1"/>
  <headerFooter>
    <oddHeader>&amp;R&amp;"Times New Roman,Bold"&amp;10KyPSC Case No. 2019-00271
AG-DR-02-012 Attachment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5:AA47"/>
  <sheetViews>
    <sheetView tabSelected="1" view="pageLayout" zoomScaleNormal="100" workbookViewId="0">
      <selection activeCell="I24" sqref="I24"/>
    </sheetView>
  </sheetViews>
  <sheetFormatPr defaultRowHeight="14.4" x14ac:dyDescent="0.3"/>
  <cols>
    <col min="1" max="1" width="35.88671875" customWidth="1"/>
    <col min="2" max="2" width="1.6640625" customWidth="1"/>
    <col min="3" max="3" width="15.6640625" customWidth="1"/>
    <col min="4" max="4" width="1.6640625" customWidth="1"/>
    <col min="5" max="5" width="15.6640625" customWidth="1"/>
    <col min="6" max="6" width="1.6640625" customWidth="1"/>
    <col min="7" max="7" width="15.6640625" customWidth="1"/>
    <col min="8" max="8" width="1.6640625" customWidth="1"/>
    <col min="9" max="9" width="15.6640625" customWidth="1"/>
    <col min="10" max="10" width="1.6640625" customWidth="1"/>
    <col min="11" max="11" width="15.6640625" customWidth="1"/>
    <col min="12" max="12" width="1.6640625" customWidth="1"/>
    <col min="13" max="13" width="15.6640625" customWidth="1"/>
    <col min="14" max="14" width="1.6640625" customWidth="1"/>
    <col min="15" max="15" width="15.6640625" customWidth="1"/>
    <col min="16" max="16" width="1.6640625" customWidth="1"/>
    <col min="17" max="17" width="15.6640625" customWidth="1"/>
    <col min="18" max="18" width="1.6640625" customWidth="1"/>
    <col min="19" max="19" width="15.6640625" customWidth="1"/>
    <col min="20" max="20" width="1.6640625" customWidth="1"/>
    <col min="21" max="21" width="15.6640625" customWidth="1"/>
    <col min="22" max="22" width="1.6640625" customWidth="1"/>
    <col min="23" max="23" width="15.6640625" customWidth="1"/>
    <col min="24" max="24" width="1.6640625" customWidth="1"/>
    <col min="25" max="25" width="15.6640625" customWidth="1"/>
    <col min="26" max="26" width="1.6640625" customWidth="1"/>
    <col min="27" max="27" width="15.6640625" customWidth="1"/>
  </cols>
  <sheetData>
    <row r="5" spans="1:15" x14ac:dyDescent="0.3">
      <c r="A5" s="9" t="s">
        <v>4</v>
      </c>
    </row>
    <row r="6" spans="1:15" x14ac:dyDescent="0.3">
      <c r="A6" s="64"/>
    </row>
    <row r="7" spans="1:15" ht="15" thickBot="1" x14ac:dyDescent="0.35">
      <c r="A7" s="12"/>
      <c r="B7" s="12"/>
      <c r="C7" s="12"/>
      <c r="D7" s="12"/>
      <c r="E7" s="12"/>
      <c r="F7" s="12"/>
      <c r="G7" s="63"/>
      <c r="H7" s="12"/>
      <c r="I7" s="12"/>
      <c r="J7" s="12"/>
      <c r="K7" s="12"/>
      <c r="L7" s="12"/>
      <c r="M7" s="12"/>
      <c r="N7" s="12"/>
      <c r="O7" s="12"/>
    </row>
    <row r="9" spans="1:15" x14ac:dyDescent="0.3">
      <c r="C9" s="62" t="s">
        <v>46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0"/>
    </row>
    <row r="10" spans="1:15" x14ac:dyDescent="0.3">
      <c r="A10" s="19" t="s">
        <v>45</v>
      </c>
      <c r="C10" s="59">
        <v>2020</v>
      </c>
      <c r="D10" s="57"/>
      <c r="E10" s="56">
        <f>+C10+1</f>
        <v>2021</v>
      </c>
      <c r="F10" s="58"/>
      <c r="G10" s="56">
        <f>+E10+1</f>
        <v>2022</v>
      </c>
      <c r="H10" s="57"/>
      <c r="I10" s="56">
        <f>+G10+1</f>
        <v>2023</v>
      </c>
      <c r="J10" s="57"/>
      <c r="K10" s="56">
        <f>+I10+1</f>
        <v>2024</v>
      </c>
      <c r="L10" s="57"/>
      <c r="M10" s="56">
        <f>+K10+1</f>
        <v>2025</v>
      </c>
      <c r="N10" s="53"/>
      <c r="O10" s="56">
        <f>+M10+1</f>
        <v>2026</v>
      </c>
    </row>
    <row r="11" spans="1:15" x14ac:dyDescent="0.3"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x14ac:dyDescent="0.3">
      <c r="A12" s="50" t="s">
        <v>44</v>
      </c>
      <c r="C12" s="54">
        <v>1456637</v>
      </c>
      <c r="D12" s="54"/>
      <c r="E12" s="54">
        <v>0</v>
      </c>
      <c r="F12" s="54"/>
      <c r="G12" s="54">
        <v>0</v>
      </c>
      <c r="H12" s="54"/>
      <c r="I12" s="54">
        <v>0</v>
      </c>
      <c r="J12" s="54"/>
      <c r="K12" s="54">
        <v>0</v>
      </c>
      <c r="L12" s="54"/>
      <c r="M12" s="54">
        <v>0</v>
      </c>
      <c r="N12" s="54"/>
      <c r="O12" s="54">
        <v>0</v>
      </c>
    </row>
    <row r="13" spans="1:15" x14ac:dyDescent="0.3">
      <c r="A13" s="50" t="s">
        <v>43</v>
      </c>
      <c r="C13" s="55">
        <f>+C12</f>
        <v>1456637</v>
      </c>
      <c r="D13" s="52"/>
      <c r="E13" s="55">
        <f>+E12+C13</f>
        <v>1456637</v>
      </c>
      <c r="F13" s="52"/>
      <c r="G13" s="55">
        <f>+G12+E13</f>
        <v>1456637</v>
      </c>
      <c r="H13" s="52"/>
      <c r="I13" s="55">
        <f>+I12+G13</f>
        <v>1456637</v>
      </c>
      <c r="J13" s="52"/>
      <c r="K13" s="55">
        <f>+K12+I13</f>
        <v>1456637</v>
      </c>
      <c r="L13" s="52"/>
      <c r="M13" s="55">
        <f>+M12+K13</f>
        <v>1456637</v>
      </c>
      <c r="N13" s="52"/>
      <c r="O13" s="55">
        <f>+O12+M13</f>
        <v>1456637</v>
      </c>
    </row>
    <row r="14" spans="1:15" x14ac:dyDescent="0.3">
      <c r="A14" s="50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x14ac:dyDescent="0.3">
      <c r="A15" s="50" t="s">
        <v>0</v>
      </c>
      <c r="C15" s="52">
        <f>+S32</f>
        <v>67806.452350000007</v>
      </c>
      <c r="D15" s="54"/>
      <c r="E15" s="54">
        <f>+S33</f>
        <v>135612.90470000001</v>
      </c>
      <c r="F15" s="54"/>
      <c r="G15" s="54">
        <f>+S34</f>
        <v>135612.90470000001</v>
      </c>
      <c r="H15" s="54"/>
      <c r="I15" s="54">
        <f>+S35</f>
        <v>135612.90470000001</v>
      </c>
      <c r="J15" s="54"/>
      <c r="K15" s="54">
        <f>+S36</f>
        <v>135612.90470000001</v>
      </c>
      <c r="L15" s="54"/>
      <c r="M15" s="54">
        <f>+S37</f>
        <v>135612.90470000001</v>
      </c>
      <c r="N15" s="54"/>
      <c r="O15" s="54">
        <f>+S38</f>
        <v>135612.90470000001</v>
      </c>
    </row>
    <row r="16" spans="1:15" x14ac:dyDescent="0.3">
      <c r="A16" s="50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27" x14ac:dyDescent="0.3">
      <c r="A17" s="50" t="s">
        <v>1</v>
      </c>
      <c r="C17" s="54">
        <f>-C15</f>
        <v>-67806.452350000007</v>
      </c>
      <c r="D17" s="54"/>
      <c r="E17" s="54">
        <f>-SUM($C15:E15)</f>
        <v>-203419.35705000002</v>
      </c>
      <c r="F17" s="54"/>
      <c r="G17" s="54">
        <f>-SUM($C15:G15)</f>
        <v>-339032.26175000006</v>
      </c>
      <c r="H17" s="54"/>
      <c r="I17" s="54">
        <f>-SUM($C15:I15)</f>
        <v>-474645.16645000008</v>
      </c>
      <c r="J17" s="54"/>
      <c r="K17" s="54">
        <f>-SUM($C15:K15)</f>
        <v>-610258.07115000009</v>
      </c>
      <c r="L17" s="54"/>
      <c r="M17" s="54">
        <f>-SUM($C15:M15)</f>
        <v>-745870.97585000005</v>
      </c>
      <c r="N17" s="54"/>
      <c r="O17" s="54">
        <f>-SUM($C15:O15)</f>
        <v>-881483.88055000012</v>
      </c>
    </row>
    <row r="18" spans="1:27" x14ac:dyDescent="0.3">
      <c r="A18" s="50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27" x14ac:dyDescent="0.3">
      <c r="A19" s="50" t="s">
        <v>42</v>
      </c>
      <c r="C19" s="54">
        <f>-+AA32</f>
        <v>-46939.399006500003</v>
      </c>
      <c r="D19" s="54"/>
      <c r="E19" s="54">
        <f>-AA33</f>
        <v>-116347</v>
      </c>
      <c r="F19" s="54"/>
      <c r="G19" s="54">
        <f>-AA34</f>
        <v>-146600</v>
      </c>
      <c r="H19" s="54"/>
      <c r="I19" s="54">
        <f>-AA35</f>
        <v>-153360</v>
      </c>
      <c r="J19" s="54"/>
      <c r="K19" s="54">
        <f>-AA36</f>
        <v>-160120</v>
      </c>
      <c r="L19" s="54"/>
      <c r="M19" s="54">
        <f>-AA37</f>
        <v>-149261</v>
      </c>
      <c r="N19" s="54"/>
      <c r="O19" s="54">
        <f>-AA38</f>
        <v>-120782</v>
      </c>
    </row>
    <row r="20" spans="1:27" x14ac:dyDescent="0.3">
      <c r="A20" s="50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27" x14ac:dyDescent="0.3"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27" x14ac:dyDescent="0.3">
      <c r="A22" s="50"/>
    </row>
    <row r="24" spans="1:27" x14ac:dyDescent="0.3">
      <c r="C24" s="44" t="s">
        <v>41</v>
      </c>
      <c r="E24" s="44" t="s">
        <v>40</v>
      </c>
      <c r="S24" s="37"/>
    </row>
    <row r="25" spans="1:27" x14ac:dyDescent="0.3">
      <c r="S25" s="51"/>
    </row>
    <row r="26" spans="1:27" x14ac:dyDescent="0.3">
      <c r="A26" s="50"/>
      <c r="C26" s="49">
        <f>100/9.31</f>
        <v>10.741138560687432</v>
      </c>
      <c r="D26" s="49"/>
      <c r="E26" s="49">
        <v>5</v>
      </c>
      <c r="G26" s="48"/>
      <c r="S26" s="8"/>
    </row>
    <row r="27" spans="1:27" x14ac:dyDescent="0.3">
      <c r="C27" s="27"/>
    </row>
    <row r="29" spans="1:27" x14ac:dyDescent="0.3">
      <c r="A29" s="34"/>
      <c r="C29" s="27"/>
      <c r="G29" s="92" t="s">
        <v>39</v>
      </c>
      <c r="H29" s="93"/>
      <c r="I29" s="93"/>
      <c r="J29" s="93"/>
      <c r="K29" s="93"/>
      <c r="L29" s="93"/>
      <c r="M29" s="93"/>
      <c r="N29" s="93"/>
      <c r="O29" s="94"/>
      <c r="Q29" s="47" t="s">
        <v>38</v>
      </c>
      <c r="S29" s="47" t="s">
        <v>37</v>
      </c>
      <c r="U29" s="47" t="s">
        <v>36</v>
      </c>
      <c r="W29" s="47" t="s">
        <v>35</v>
      </c>
    </row>
    <row r="30" spans="1:27" x14ac:dyDescent="0.3">
      <c r="A30" s="34"/>
      <c r="C30" s="44" t="s">
        <v>34</v>
      </c>
      <c r="E30" s="44" t="s">
        <v>33</v>
      </c>
      <c r="G30" s="46" t="s">
        <v>32</v>
      </c>
      <c r="H30" s="26"/>
      <c r="I30" s="46" t="s">
        <v>31</v>
      </c>
      <c r="J30" s="26"/>
      <c r="K30" s="46" t="s">
        <v>30</v>
      </c>
      <c r="L30" s="26"/>
      <c r="M30" s="46" t="s">
        <v>29</v>
      </c>
      <c r="N30" s="26"/>
      <c r="O30" s="46" t="s">
        <v>28</v>
      </c>
      <c r="Q30" s="45" t="s">
        <v>27</v>
      </c>
      <c r="S30" s="45" t="s">
        <v>25</v>
      </c>
      <c r="U30" s="45" t="s">
        <v>26</v>
      </c>
      <c r="W30" s="45" t="s">
        <v>25</v>
      </c>
      <c r="Y30" s="44" t="s">
        <v>24</v>
      </c>
      <c r="AA30" s="44" t="s">
        <v>23</v>
      </c>
    </row>
    <row r="31" spans="1:27" x14ac:dyDescent="0.3">
      <c r="A31" s="34"/>
      <c r="C31" s="27"/>
      <c r="G31" s="43"/>
      <c r="I31" s="43"/>
      <c r="K31" s="43"/>
      <c r="M31" s="43"/>
      <c r="O31" s="43"/>
    </row>
    <row r="32" spans="1:27" x14ac:dyDescent="0.3">
      <c r="A32" s="36">
        <v>2020</v>
      </c>
      <c r="C32" s="40">
        <v>0.2</v>
      </c>
      <c r="E32" s="30">
        <f>+C12</f>
        <v>1456637</v>
      </c>
      <c r="G32" s="41">
        <f t="shared" ref="G32:G38" si="0">+C$12*C32</f>
        <v>291327.40000000002</v>
      </c>
      <c r="J32" s="27"/>
      <c r="L32" s="27"/>
      <c r="N32" s="27"/>
      <c r="Q32" s="27">
        <f t="shared" ref="Q32:Q38" si="1">SUM(G32:O32)</f>
        <v>291327.40000000002</v>
      </c>
      <c r="R32" s="42"/>
      <c r="S32" s="41">
        <f>SUM(C12)/C$26-C12/C$26*0.5</f>
        <v>67806.452350000007</v>
      </c>
      <c r="T32" s="42"/>
      <c r="U32" s="27">
        <f>C13</f>
        <v>1456637</v>
      </c>
      <c r="V32" s="42"/>
      <c r="W32" s="41">
        <f>SUM(S32:S$32)</f>
        <v>67806.452350000007</v>
      </c>
      <c r="X32" s="42"/>
      <c r="Y32" s="27">
        <f>(Q32-S32)*0.21</f>
        <v>46939.399006500003</v>
      </c>
      <c r="AA32" s="41">
        <f>+(Q32-S32)*0.21</f>
        <v>46939.399006500003</v>
      </c>
    </row>
    <row r="33" spans="1:27" x14ac:dyDescent="0.3">
      <c r="A33" s="36">
        <f t="shared" ref="A33:A38" si="2">+A32+1</f>
        <v>2021</v>
      </c>
      <c r="C33" s="40">
        <v>0.32</v>
      </c>
      <c r="E33" s="27">
        <f>+E12</f>
        <v>0</v>
      </c>
      <c r="G33" s="27">
        <f t="shared" si="0"/>
        <v>466123.84</v>
      </c>
      <c r="I33" s="41">
        <f t="shared" ref="I33:I38" si="3">+E$12*C32</f>
        <v>0</v>
      </c>
      <c r="J33" s="27"/>
      <c r="L33" s="27"/>
      <c r="N33" s="27"/>
      <c r="Q33" s="27">
        <f t="shared" si="1"/>
        <v>466123.84</v>
      </c>
      <c r="R33" s="27"/>
      <c r="S33" s="27">
        <f t="shared" ref="S33:S38" si="4">U32/C$26+E33/C$26/2</f>
        <v>135612.90470000001</v>
      </c>
      <c r="T33" s="27"/>
      <c r="U33" s="27">
        <f>+E13</f>
        <v>1456637</v>
      </c>
      <c r="W33" s="8">
        <f>SUM(S$32:S33)</f>
        <v>203419.35705000002</v>
      </c>
      <c r="Y33" s="27">
        <f t="shared" ref="Y33:Y38" si="5">ROUND((Q33-S33)*0.21,4)</f>
        <v>69407.296400000007</v>
      </c>
      <c r="AA33" s="27">
        <f>ROUND(SUM(Y$32:Y33),0)</f>
        <v>116347</v>
      </c>
    </row>
    <row r="34" spans="1:27" x14ac:dyDescent="0.3">
      <c r="A34" s="36">
        <f t="shared" si="2"/>
        <v>2022</v>
      </c>
      <c r="C34" s="40">
        <v>0.192</v>
      </c>
      <c r="E34" s="27">
        <f>+G12</f>
        <v>0</v>
      </c>
      <c r="G34" s="27">
        <f t="shared" si="0"/>
        <v>279674.304</v>
      </c>
      <c r="I34" s="27">
        <f t="shared" si="3"/>
        <v>0</v>
      </c>
      <c r="J34" s="27"/>
      <c r="K34" s="41">
        <f>+G$12*C32</f>
        <v>0</v>
      </c>
      <c r="L34" s="27"/>
      <c r="N34" s="27"/>
      <c r="Q34" s="8">
        <f t="shared" si="1"/>
        <v>279674.304</v>
      </c>
      <c r="S34" s="27">
        <f t="shared" si="4"/>
        <v>135612.90470000001</v>
      </c>
      <c r="U34" s="8">
        <f>+G13</f>
        <v>1456637</v>
      </c>
      <c r="W34" s="8">
        <f>SUM(S$32:S34)</f>
        <v>339032.26175000006</v>
      </c>
      <c r="Y34" s="27">
        <f t="shared" si="5"/>
        <v>30252.893899999999</v>
      </c>
      <c r="AA34" s="27">
        <f>ROUND(SUM(Y$32:Y34),0)</f>
        <v>146600</v>
      </c>
    </row>
    <row r="35" spans="1:27" x14ac:dyDescent="0.3">
      <c r="A35" s="36">
        <f t="shared" si="2"/>
        <v>2023</v>
      </c>
      <c r="C35" s="40">
        <v>0.1152</v>
      </c>
      <c r="E35" s="27">
        <f>+I12</f>
        <v>0</v>
      </c>
      <c r="G35" s="27">
        <f t="shared" si="0"/>
        <v>167804.58239999998</v>
      </c>
      <c r="I35" s="27">
        <f t="shared" si="3"/>
        <v>0</v>
      </c>
      <c r="J35" s="27"/>
      <c r="K35" s="27">
        <f>+G$12*C33</f>
        <v>0</v>
      </c>
      <c r="L35" s="27"/>
      <c r="M35" s="41">
        <f>+I$12*C32</f>
        <v>0</v>
      </c>
      <c r="N35" s="27"/>
      <c r="Q35" s="8">
        <f t="shared" si="1"/>
        <v>167804.58239999998</v>
      </c>
      <c r="S35" s="27">
        <f t="shared" si="4"/>
        <v>135612.90470000001</v>
      </c>
      <c r="U35" s="8">
        <f>+I13</f>
        <v>1456637</v>
      </c>
      <c r="W35" s="8">
        <f>SUM(S$32:S35)</f>
        <v>474645.16645000008</v>
      </c>
      <c r="Y35" s="27">
        <f t="shared" si="5"/>
        <v>6760.2523000000001</v>
      </c>
      <c r="AA35" s="27">
        <f>ROUND(SUM(Y$32:Y35),0)</f>
        <v>153360</v>
      </c>
    </row>
    <row r="36" spans="1:27" x14ac:dyDescent="0.3">
      <c r="A36" s="36">
        <f t="shared" si="2"/>
        <v>2024</v>
      </c>
      <c r="C36" s="40">
        <v>0.1152</v>
      </c>
      <c r="E36" s="27">
        <f>+K12</f>
        <v>0</v>
      </c>
      <c r="G36" s="27">
        <f t="shared" si="0"/>
        <v>167804.58239999998</v>
      </c>
      <c r="I36" s="27">
        <f t="shared" si="3"/>
        <v>0</v>
      </c>
      <c r="J36" s="27"/>
      <c r="K36" s="27">
        <f>+G$12*C34</f>
        <v>0</v>
      </c>
      <c r="L36" s="27"/>
      <c r="M36" s="27">
        <f>+I$12*C33</f>
        <v>0</v>
      </c>
      <c r="N36" s="27"/>
      <c r="O36" s="41">
        <f>+K$12*C32</f>
        <v>0</v>
      </c>
      <c r="Q36" s="8">
        <f t="shared" si="1"/>
        <v>167804.58239999998</v>
      </c>
      <c r="S36" s="27">
        <f t="shared" si="4"/>
        <v>135612.90470000001</v>
      </c>
      <c r="U36" s="8">
        <f>+K13</f>
        <v>1456637</v>
      </c>
      <c r="W36" s="8">
        <f>SUM(S$32:S36)</f>
        <v>610258.07115000009</v>
      </c>
      <c r="Y36" s="27">
        <f t="shared" si="5"/>
        <v>6760.2523000000001</v>
      </c>
      <c r="AA36" s="27">
        <f>ROUND(SUM(Y$32:Y36),0)</f>
        <v>160120</v>
      </c>
    </row>
    <row r="37" spans="1:27" x14ac:dyDescent="0.3">
      <c r="A37" s="36">
        <f t="shared" si="2"/>
        <v>2025</v>
      </c>
      <c r="C37" s="40">
        <v>5.7599999999999998E-2</v>
      </c>
      <c r="E37" s="27">
        <f>M12</f>
        <v>0</v>
      </c>
      <c r="G37" s="27">
        <f t="shared" si="0"/>
        <v>83902.291199999992</v>
      </c>
      <c r="I37" s="27">
        <f t="shared" si="3"/>
        <v>0</v>
      </c>
      <c r="J37" s="27"/>
      <c r="K37" s="27">
        <f>+G$12*C35</f>
        <v>0</v>
      </c>
      <c r="L37" s="27"/>
      <c r="M37" s="27">
        <f>+I$12*C34</f>
        <v>0</v>
      </c>
      <c r="N37" s="27"/>
      <c r="O37" s="27">
        <f>+K$12*C33</f>
        <v>0</v>
      </c>
      <c r="Q37" s="8">
        <f t="shared" si="1"/>
        <v>83902.291199999992</v>
      </c>
      <c r="S37" s="27">
        <f t="shared" si="4"/>
        <v>135612.90470000001</v>
      </c>
      <c r="U37" s="8">
        <f>+M13</f>
        <v>1456637</v>
      </c>
      <c r="W37" s="8">
        <f>SUM(S$32:S37)</f>
        <v>745870.97585000005</v>
      </c>
      <c r="Y37" s="27">
        <f t="shared" si="5"/>
        <v>-10859.228800000001</v>
      </c>
      <c r="AA37" s="27">
        <f>ROUND(SUM(Y$32:Y37),0)</f>
        <v>149261</v>
      </c>
    </row>
    <row r="38" spans="1:27" x14ac:dyDescent="0.3">
      <c r="A38" s="36">
        <f t="shared" si="2"/>
        <v>2026</v>
      </c>
      <c r="C38" s="40"/>
      <c r="E38" s="27">
        <f>O12</f>
        <v>0</v>
      </c>
      <c r="G38" s="27">
        <f t="shared" si="0"/>
        <v>0</v>
      </c>
      <c r="I38" s="27">
        <f t="shared" si="3"/>
        <v>0</v>
      </c>
      <c r="J38" s="27"/>
      <c r="K38" s="27">
        <f>+G$12*C36</f>
        <v>0</v>
      </c>
      <c r="L38" s="27"/>
      <c r="M38" s="27">
        <f>+I$12*C35</f>
        <v>0</v>
      </c>
      <c r="N38" s="27"/>
      <c r="O38" s="27">
        <f>+K$12*C34</f>
        <v>0</v>
      </c>
      <c r="Q38" s="8">
        <f t="shared" si="1"/>
        <v>0</v>
      </c>
      <c r="S38" s="27">
        <f t="shared" si="4"/>
        <v>135612.90470000001</v>
      </c>
      <c r="U38" s="8">
        <f>+O13</f>
        <v>1456637</v>
      </c>
      <c r="W38" s="8">
        <f>SUM(S$32:S38)</f>
        <v>881483.88055000012</v>
      </c>
      <c r="Y38" s="27">
        <f t="shared" si="5"/>
        <v>-28478.71</v>
      </c>
      <c r="AA38" s="27">
        <f>ROUND(SUM(Y$32:Y38),0)</f>
        <v>120782</v>
      </c>
    </row>
    <row r="39" spans="1:27" x14ac:dyDescent="0.3">
      <c r="A39" s="36"/>
      <c r="C39" s="39">
        <f>SUM(C32:C38)</f>
        <v>0.99999999999999989</v>
      </c>
      <c r="E39" s="38">
        <f>SUM(E32:E38)</f>
        <v>1456637</v>
      </c>
      <c r="G39" s="38">
        <f>SUM(G32:G38)</f>
        <v>1456637</v>
      </c>
      <c r="I39" s="38">
        <f>SUM(I32:I38)</f>
        <v>0</v>
      </c>
      <c r="J39" s="27"/>
      <c r="K39" s="38">
        <f>SUM(K32:K38)</f>
        <v>0</v>
      </c>
      <c r="L39" s="27"/>
      <c r="M39" s="38">
        <f>SUM(M32:M38)</f>
        <v>0</v>
      </c>
      <c r="N39" s="27"/>
      <c r="O39" s="38">
        <f>SUM(O32:O38)</f>
        <v>0</v>
      </c>
      <c r="Q39" s="38">
        <f>SUM(Q32:Q38)</f>
        <v>1456637</v>
      </c>
      <c r="S39" s="38">
        <f>SUM(S32:S38)</f>
        <v>881483.88055000012</v>
      </c>
      <c r="W39" s="8"/>
      <c r="Y39" s="38">
        <f>SUM(Y32:Y38)</f>
        <v>120782.15510649999</v>
      </c>
    </row>
    <row r="40" spans="1:27" x14ac:dyDescent="0.3">
      <c r="A40" s="36"/>
      <c r="C40" s="35"/>
      <c r="G40" s="27"/>
      <c r="I40" s="27"/>
      <c r="J40" s="27"/>
      <c r="K40" s="27"/>
      <c r="L40" s="27"/>
      <c r="M40" s="27"/>
      <c r="N40" s="27"/>
      <c r="O40" s="27"/>
      <c r="Q40" s="8"/>
      <c r="S40" s="27"/>
      <c r="W40" s="8"/>
      <c r="Y40" s="27"/>
    </row>
    <row r="41" spans="1:27" x14ac:dyDescent="0.3">
      <c r="A41" s="36"/>
      <c r="C41" s="35"/>
      <c r="G41" s="27"/>
      <c r="I41" s="27"/>
      <c r="J41" s="27"/>
      <c r="K41" s="27"/>
      <c r="L41" s="27"/>
      <c r="M41" s="27"/>
      <c r="N41" s="27"/>
      <c r="O41" s="27"/>
      <c r="Q41" s="8"/>
      <c r="S41" s="27"/>
      <c r="W41" s="8"/>
      <c r="Y41" s="27"/>
    </row>
    <row r="42" spans="1:27" x14ac:dyDescent="0.3">
      <c r="A42" s="36"/>
      <c r="C42" s="35"/>
      <c r="E42" s="27"/>
      <c r="G42" s="27"/>
      <c r="H42" s="27"/>
      <c r="I42" s="27"/>
      <c r="J42" s="27"/>
      <c r="K42" s="27"/>
      <c r="L42" s="27"/>
      <c r="M42" s="27"/>
      <c r="O42" s="8"/>
      <c r="Q42" s="37"/>
      <c r="U42" s="8"/>
      <c r="W42" s="27"/>
    </row>
    <row r="43" spans="1:27" x14ac:dyDescent="0.3">
      <c r="A43" s="36"/>
      <c r="C43" s="35"/>
      <c r="E43" s="27"/>
    </row>
    <row r="44" spans="1:27" x14ac:dyDescent="0.3">
      <c r="A44" s="34"/>
    </row>
    <row r="45" spans="1:27" x14ac:dyDescent="0.3">
      <c r="A45" s="34"/>
    </row>
    <row r="46" spans="1:27" x14ac:dyDescent="0.3">
      <c r="A46" s="34"/>
    </row>
    <row r="47" spans="1:27" x14ac:dyDescent="0.3">
      <c r="A47" s="34"/>
    </row>
  </sheetData>
  <mergeCells count="1">
    <mergeCell ref="G29:O29"/>
  </mergeCells>
  <pageMargins left="0.2" right="0.2" top="1.02" bottom="0.75" header="0.71" footer="0.3"/>
  <pageSetup scale="52" fitToHeight="0" orientation="landscape" r:id="rId1"/>
  <headerFooter>
    <oddHeader>&amp;R&amp;"Times New Roman,Bold"&amp;10KyPSC Case No. 2019-00271
AG-DR-02-012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Lawler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B070A4-C30A-46A0-943F-E0510F757C2F}">
  <ds:schemaRefs>
    <ds:schemaRef ds:uri="a1b08b4f-a83f-4c03-90bd-2a79b6ed54d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fb86b3f3-0c45-4486-810b-39aa0a1cbbd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3A31B8-F3BF-44FA-AFC8-C908234BB9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7C4B91-8C61-4D3F-933E-A170F60EBD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Rev Req Summary</vt:lpstr>
      <vt:lpstr>Summary</vt:lpstr>
      <vt:lpstr>13 month average calc</vt:lpstr>
      <vt:lpstr>ADIT</vt:lpstr>
      <vt:lpstr>'Rev Req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Customer Connect details</dc:subject>
  <dc:creator>Brown, Jay P</dc:creator>
  <cp:lastModifiedBy>Frisch, Adele M</cp:lastModifiedBy>
  <cp:lastPrinted>2019-11-22T21:08:57Z</cp:lastPrinted>
  <dcterms:created xsi:type="dcterms:W3CDTF">2019-11-13T20:27:24Z</dcterms:created>
  <dcterms:modified xsi:type="dcterms:W3CDTF">2019-11-22T21:08:59Z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