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5320" yWindow="420" windowWidth="25440" windowHeight="15390"/>
  </bookViews>
  <sheets>
    <sheet name="Update 2019" sheetId="2" r:id="rId1"/>
    <sheet name="PER 2017" sheetId="1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2" l="1"/>
  <c r="F4" i="2"/>
  <c r="D19" i="2" l="1"/>
  <c r="D20" i="2" s="1"/>
  <c r="D18" i="2"/>
  <c r="D25" i="2"/>
  <c r="H5" i="2"/>
  <c r="H4" i="2"/>
  <c r="D40" i="2"/>
  <c r="H6" i="2"/>
  <c r="F3" i="2"/>
  <c r="H3" i="2"/>
  <c r="D6" i="2"/>
  <c r="D12" i="2"/>
  <c r="F12" i="2"/>
  <c r="H12" i="2" s="1"/>
  <c r="H27" i="2"/>
  <c r="D27" i="2"/>
  <c r="D32" i="2"/>
  <c r="D36" i="2" s="1"/>
  <c r="H40" i="2"/>
  <c r="H31" i="2"/>
  <c r="F30" i="2"/>
  <c r="H30" i="2" s="1"/>
  <c r="H32" i="2" s="1"/>
  <c r="H29" i="2"/>
  <c r="H28" i="2"/>
  <c r="H25" i="2"/>
  <c r="F20" i="2"/>
  <c r="H18" i="2"/>
  <c r="D13" i="2"/>
  <c r="D15" i="2" s="1"/>
  <c r="D22" i="2" s="1"/>
  <c r="D34" i="2" s="1"/>
  <c r="F11" i="2"/>
  <c r="H11" i="2"/>
  <c r="F10" i="2"/>
  <c r="D7" i="2"/>
  <c r="H45" i="1"/>
  <c r="D37" i="1"/>
  <c r="D41" i="1"/>
  <c r="H36" i="1"/>
  <c r="F35" i="1"/>
  <c r="H35" i="1" s="1"/>
  <c r="H34" i="1"/>
  <c r="H33" i="1"/>
  <c r="H30" i="1"/>
  <c r="F25" i="1"/>
  <c r="D25" i="1"/>
  <c r="H24" i="1"/>
  <c r="H23" i="1"/>
  <c r="H25" i="1" s="1"/>
  <c r="D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H18" i="1" s="1"/>
  <c r="H20" i="1" s="1"/>
  <c r="H27" i="1" s="1"/>
  <c r="F10" i="1"/>
  <c r="F18" i="1" s="1"/>
  <c r="H7" i="1"/>
  <c r="F7" i="1"/>
  <c r="D7" i="1"/>
  <c r="D20" i="1"/>
  <c r="D27" i="1" s="1"/>
  <c r="D39" i="1" s="1"/>
  <c r="D43" i="1" s="1"/>
  <c r="D47" i="1" s="1"/>
  <c r="H10" i="2"/>
  <c r="H13" i="2" s="1"/>
  <c r="F32" i="2"/>
  <c r="F36" i="2" s="1"/>
  <c r="H7" i="2" l="1"/>
  <c r="H15" i="2" s="1"/>
  <c r="F7" i="2"/>
  <c r="H37" i="1"/>
  <c r="H39" i="1" s="1"/>
  <c r="H36" i="2"/>
  <c r="F20" i="1"/>
  <c r="F27" i="1" s="1"/>
  <c r="F39" i="1" s="1"/>
  <c r="F43" i="1" s="1"/>
  <c r="F47" i="1" s="1"/>
  <c r="D38" i="2"/>
  <c r="D42" i="2" s="1"/>
  <c r="F37" i="1"/>
  <c r="F41" i="1" s="1"/>
  <c r="H41" i="1" s="1"/>
  <c r="F13" i="2"/>
  <c r="H19" i="2"/>
  <c r="H20" i="2" s="1"/>
  <c r="F15" i="2" l="1"/>
  <c r="F22" i="2" s="1"/>
  <c r="F34" i="2" s="1"/>
  <c r="F38" i="2" s="1"/>
  <c r="F42" i="2" s="1"/>
  <c r="H43" i="1"/>
  <c r="H47" i="1" s="1"/>
  <c r="H22" i="2"/>
  <c r="H34" i="2" s="1"/>
  <c r="H38" i="2" s="1"/>
  <c r="H42" i="2" s="1"/>
</calcChain>
</file>

<file path=xl/sharedStrings.xml><?xml version="1.0" encoding="utf-8"?>
<sst xmlns="http://schemas.openxmlformats.org/spreadsheetml/2006/main" count="135" uniqueCount="78">
  <si>
    <t>Operating Income</t>
  </si>
  <si>
    <t>Total Operating Income</t>
  </si>
  <si>
    <t>Water Plant Operation</t>
  </si>
  <si>
    <t>Water Distribution &amp; Transmission</t>
  </si>
  <si>
    <t>Rent &amp; Utilities</t>
  </si>
  <si>
    <t>Total Operating Expenses</t>
  </si>
  <si>
    <t>Net Operating Income</t>
  </si>
  <si>
    <t>Interest Income</t>
  </si>
  <si>
    <t>Total Non-Operating Income</t>
  </si>
  <si>
    <t>Debt Repayment</t>
  </si>
  <si>
    <t>Debt Service Reserve</t>
  </si>
  <si>
    <t>Short-Lived Asset Reserve</t>
  </si>
  <si>
    <t>Total Debt Obligations</t>
  </si>
  <si>
    <t>Depreciation</t>
  </si>
  <si>
    <t>Net Income</t>
  </si>
  <si>
    <t>FYE 6/30/2016</t>
  </si>
  <si>
    <t>Project</t>
  </si>
  <si>
    <t>After Project</t>
  </si>
  <si>
    <t>Audit (GAAP)</t>
  </si>
  <si>
    <t>Only</t>
  </si>
  <si>
    <t>(Est FYE2019)</t>
  </si>
  <si>
    <t>City</t>
  </si>
  <si>
    <t>MCWD</t>
  </si>
  <si>
    <t>MCWD#3</t>
  </si>
  <si>
    <t>Other</t>
  </si>
  <si>
    <t>Operating Expenses</t>
  </si>
  <si>
    <t>Administrative</t>
  </si>
  <si>
    <t>Insurance</t>
  </si>
  <si>
    <t>Professional Fees</t>
  </si>
  <si>
    <t>Office Supplies</t>
  </si>
  <si>
    <t>Miscellaneous</t>
  </si>
  <si>
    <t>Non-Operating Income</t>
  </si>
  <si>
    <t>Interest on Deposits</t>
  </si>
  <si>
    <t>Current RD Debt - Principal</t>
  </si>
  <si>
    <t>Current RD Debt - Interest</t>
  </si>
  <si>
    <t>New RD Debt - Principal</t>
  </si>
  <si>
    <t>New RD Debt - Interest</t>
  </si>
  <si>
    <t>Balance for Coverage &amp; Depreciation</t>
  </si>
  <si>
    <t>Debt Service Coverage (10%)</t>
  </si>
  <si>
    <t>Net for Depreciation</t>
  </si>
  <si>
    <t>Notes</t>
  </si>
  <si>
    <t>1.</t>
  </si>
  <si>
    <t>From FYE2016 audit.</t>
  </si>
  <si>
    <t>2.</t>
  </si>
  <si>
    <t>From 2012A&amp;B, 2014 series bond amortization schedules - Rubin &amp; Hays.</t>
  </si>
  <si>
    <t>3.</t>
  </si>
  <si>
    <t>From Rural Development Letters of Conditions dated 6-28-11 and 3-25-13.</t>
  </si>
  <si>
    <t>4.</t>
  </si>
  <si>
    <t>10% of total debt service obligation.</t>
  </si>
  <si>
    <t>5.</t>
  </si>
  <si>
    <t>60% of total depreciation for water and sewer system per FYE2016 audit.</t>
  </si>
  <si>
    <t>6.</t>
  </si>
  <si>
    <t>7.</t>
  </si>
  <si>
    <t>8.</t>
  </si>
  <si>
    <t>1.7% inflation for 3 years (per US Department of Labor Inflation Rate - August 2017).</t>
  </si>
  <si>
    <t>9.</t>
  </si>
  <si>
    <t>10.</t>
  </si>
  <si>
    <t>10% of total annual principal and interest payment.</t>
  </si>
  <si>
    <t>11.</t>
  </si>
  <si>
    <t>Estimated short-lived assets calculation per USDA guidance.</t>
  </si>
  <si>
    <t>12.</t>
  </si>
  <si>
    <t>Estimated depreciation calculation.</t>
  </si>
  <si>
    <t>13.</t>
  </si>
  <si>
    <t>Adjusts for anticipated 14% loss of Sacramento water usage (55,304,000 gallons total per 2016 PSC audit)</t>
  </si>
  <si>
    <t>14.</t>
  </si>
  <si>
    <t>Approximately equal to Net Income from water plant project PER dated 9-9-2009</t>
  </si>
  <si>
    <t>Additional revenue generated by 26% increase in the direct city customer user rate ($3.06 to $3.86).</t>
  </si>
  <si>
    <t>Additional revenue generated by 26% increase in the wholesale rate to MCWD &amp; MCWD#3 ($2.63 to $3.31)</t>
  </si>
  <si>
    <t>Calculated for $700,000 loan, 2.625%, 40 years (3Q2017 RD Intermediate rate).</t>
  </si>
  <si>
    <t>FYE 6/30/2019</t>
  </si>
  <si>
    <t>Financial Report</t>
  </si>
  <si>
    <t>Calculated for $850,000 loan, 2.75%, 40 years (3Q2019 RD Intermediate rate).</t>
  </si>
  <si>
    <t>General &amp; Admin</t>
  </si>
  <si>
    <t>60% of total depreciation for water and sewer system per FYE2019 Financial Statement Estimates</t>
  </si>
  <si>
    <t>From FYE2019 Financial Statement and/or Estimates</t>
  </si>
  <si>
    <t>Approximately equal to Net Income from water plant project PER dated 9-9-2009 ($376,904.00)</t>
  </si>
  <si>
    <t>FYE2019</t>
  </si>
  <si>
    <t>+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</si>
</sst>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3" applyFont="1" applyFill="1"/>
    <xf numFmtId="0" fontId="1" fillId="0" borderId="0" xfId="3" applyFont="1" applyFill="1"/>
    <xf numFmtId="0" fontId="1" fillId="0" borderId="0" xfId="3" applyFont="1" applyFill="1" applyAlignment="1">
      <alignment horizontal="center"/>
    </xf>
    <xf numFmtId="0" fontId="7" fillId="0" borderId="0" xfId="3" applyFont="1"/>
    <xf numFmtId="0" fontId="8" fillId="0" borderId="0" xfId="3" applyFont="1" applyAlignment="1">
      <alignment horizontal="center"/>
    </xf>
    <xf numFmtId="0" fontId="9" fillId="0" borderId="0" xfId="0" applyFont="1"/>
    <xf numFmtId="0" fontId="1" fillId="0" borderId="1" xfId="3" applyFont="1" applyFill="1" applyBorder="1" applyAlignment="1">
      <alignment horizontal="center"/>
    </xf>
    <xf numFmtId="0" fontId="8" fillId="0" borderId="1" xfId="3" applyFont="1" applyBorder="1" applyAlignment="1">
      <alignment horizontal="center"/>
    </xf>
    <xf numFmtId="164" fontId="2" fillId="0" borderId="0" xfId="2" applyNumberFormat="1" applyFont="1" applyFill="1"/>
    <xf numFmtId="0" fontId="3" fillId="0" borderId="0" xfId="3" applyFont="1" applyFill="1" applyAlignment="1">
      <alignment horizontal="left" vertical="top"/>
    </xf>
    <xf numFmtId="164" fontId="2" fillId="0" borderId="1" xfId="2" applyNumberFormat="1" applyFont="1" applyFill="1" applyBorder="1"/>
    <xf numFmtId="164" fontId="9" fillId="0" borderId="1" xfId="3" applyNumberFormat="1" applyFont="1" applyBorder="1"/>
    <xf numFmtId="0" fontId="3" fillId="0" borderId="0" xfId="3" applyFont="1" applyFill="1"/>
    <xf numFmtId="164" fontId="9" fillId="0" borderId="0" xfId="1" applyNumberFormat="1" applyFont="1"/>
    <xf numFmtId="0" fontId="9" fillId="0" borderId="0" xfId="3" applyFont="1"/>
    <xf numFmtId="164" fontId="9" fillId="0" borderId="0" xfId="3" applyNumberFormat="1" applyFont="1" applyBorder="1"/>
    <xf numFmtId="164" fontId="9" fillId="0" borderId="0" xfId="3" applyNumberFormat="1" applyFont="1"/>
    <xf numFmtId="164" fontId="2" fillId="0" borderId="2" xfId="2" applyNumberFormat="1" applyFont="1" applyFill="1" applyBorder="1"/>
    <xf numFmtId="0" fontId="9" fillId="0" borderId="2" xfId="3" applyFont="1" applyBorder="1"/>
    <xf numFmtId="0" fontId="9" fillId="0" borderId="1" xfId="3" applyFont="1" applyBorder="1"/>
    <xf numFmtId="0" fontId="4" fillId="0" borderId="0" xfId="3" applyFont="1" applyFill="1" applyBorder="1" applyAlignment="1"/>
    <xf numFmtId="0" fontId="1" fillId="0" borderId="0" xfId="3" applyFont="1" applyFill="1" applyBorder="1" applyAlignment="1"/>
    <xf numFmtId="0" fontId="5" fillId="0" borderId="0" xfId="3" quotePrefix="1" applyFont="1" applyFill="1" applyBorder="1"/>
    <xf numFmtId="0" fontId="5" fillId="0" borderId="0" xfId="3" applyFont="1" applyFill="1" applyBorder="1"/>
    <xf numFmtId="0" fontId="2" fillId="0" borderId="0" xfId="3" applyFont="1" applyFill="1" applyBorder="1"/>
    <xf numFmtId="9" fontId="2" fillId="0" borderId="0" xfId="4" applyFont="1" applyFill="1" applyBorder="1"/>
    <xf numFmtId="165" fontId="2" fillId="0" borderId="0" xfId="4" applyNumberFormat="1" applyFont="1" applyFill="1" applyBorder="1"/>
    <xf numFmtId="44" fontId="2" fillId="0" borderId="0" xfId="2" applyFont="1" applyFill="1" applyBorder="1"/>
    <xf numFmtId="44" fontId="2" fillId="0" borderId="0" xfId="3" applyNumberFormat="1" applyFont="1" applyFill="1" applyBorder="1"/>
    <xf numFmtId="0" fontId="7" fillId="0" borderId="0" xfId="0" applyFont="1"/>
    <xf numFmtId="0" fontId="7" fillId="0" borderId="0" xfId="3" applyFont="1" applyFill="1"/>
    <xf numFmtId="0" fontId="9" fillId="0" borderId="0" xfId="3" applyFont="1" applyFill="1"/>
    <xf numFmtId="164" fontId="9" fillId="0" borderId="0" xfId="3" applyNumberFormat="1" applyFont="1" applyFill="1"/>
    <xf numFmtId="164" fontId="9" fillId="0" borderId="0" xfId="1" applyNumberFormat="1" applyFont="1" applyFill="1"/>
    <xf numFmtId="164" fontId="9" fillId="0" borderId="0" xfId="3" applyNumberFormat="1" applyFont="1" applyFill="1" applyBorder="1"/>
    <xf numFmtId="0" fontId="8" fillId="0" borderId="1" xfId="3" quotePrefix="1" applyFont="1" applyBorder="1" applyAlignment="1">
      <alignment horizontal="center"/>
    </xf>
    <xf numFmtId="164" fontId="2" fillId="2" borderId="0" xfId="2" applyNumberFormat="1" applyFont="1" applyFill="1"/>
    <xf numFmtId="0" fontId="3" fillId="2" borderId="0" xfId="3" applyFont="1" applyFill="1" applyAlignment="1">
      <alignment horizontal="left" vertical="top"/>
    </xf>
    <xf numFmtId="0" fontId="7" fillId="2" borderId="0" xfId="3" applyFont="1" applyFill="1"/>
    <xf numFmtId="164" fontId="9" fillId="2" borderId="0" xfId="3" applyNumberFormat="1" applyFont="1" applyFill="1" applyBorder="1"/>
    <xf numFmtId="0" fontId="3" fillId="2" borderId="0" xfId="3" applyFont="1" applyFill="1"/>
    <xf numFmtId="164" fontId="2" fillId="2" borderId="1" xfId="2" applyNumberFormat="1" applyFont="1" applyFill="1" applyBorder="1"/>
    <xf numFmtId="164" fontId="9" fillId="2" borderId="1" xfId="3" applyNumberFormat="1" applyFont="1" applyFill="1" applyBorder="1"/>
    <xf numFmtId="164" fontId="9" fillId="2" borderId="0" xfId="3" applyNumberFormat="1" applyFont="1" applyFill="1"/>
    <xf numFmtId="164" fontId="2" fillId="2" borderId="2" xfId="2" applyNumberFormat="1" applyFont="1" applyFill="1" applyBorder="1"/>
    <xf numFmtId="0" fontId="9" fillId="2" borderId="2" xfId="3" applyFont="1" applyFill="1" applyBorder="1"/>
    <xf numFmtId="0" fontId="9" fillId="2" borderId="0" xfId="3" applyFont="1" applyFill="1"/>
    <xf numFmtId="0" fontId="9" fillId="2" borderId="1" xfId="3" applyFont="1" applyFill="1" applyBorder="1"/>
    <xf numFmtId="0" fontId="2" fillId="2" borderId="0" xfId="3" applyFont="1" applyFill="1"/>
  </cellXfs>
  <cellStyles count="5">
    <cellStyle name="Currency" xfId="1" builtinId="4"/>
    <cellStyle name="Currency 2" xfId="2"/>
    <cellStyle name="Normal" xfId="0" builtinId="0"/>
    <cellStyle name="Normal 2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zoomScaleNormal="100" workbookViewId="0">
      <selection activeCell="H42" sqref="H42"/>
    </sheetView>
  </sheetViews>
  <sheetFormatPr defaultRowHeight="14.25" x14ac:dyDescent="0.2"/>
  <cols>
    <col min="1" max="1" width="3.5703125" style="6" customWidth="1"/>
    <col min="2" max="2" width="2.7109375" style="6" customWidth="1"/>
    <col min="3" max="3" width="29" style="6" customWidth="1"/>
    <col min="4" max="4" width="16.7109375" style="6" customWidth="1"/>
    <col min="5" max="5" width="3" style="6" customWidth="1"/>
    <col min="6" max="6" width="13.42578125" style="6" customWidth="1"/>
    <col min="7" max="7" width="3.140625" style="30" customWidth="1"/>
    <col min="8" max="8" width="15.85546875" style="6" customWidth="1"/>
    <col min="9" max="9" width="3.42578125" style="30" bestFit="1" customWidth="1"/>
    <col min="10" max="16384" width="9.140625" style="6"/>
  </cols>
  <sheetData>
    <row r="1" spans="1:9" x14ac:dyDescent="0.2">
      <c r="A1" s="1"/>
      <c r="B1" s="1"/>
      <c r="C1" s="2"/>
      <c r="D1" s="3" t="s">
        <v>69</v>
      </c>
      <c r="E1" s="2"/>
      <c r="F1" s="3" t="s">
        <v>16</v>
      </c>
      <c r="G1" s="4"/>
      <c r="H1" s="5" t="s">
        <v>76</v>
      </c>
      <c r="I1" s="4"/>
    </row>
    <row r="2" spans="1:9" x14ac:dyDescent="0.2">
      <c r="A2" s="1" t="s">
        <v>0</v>
      </c>
      <c r="B2" s="1"/>
      <c r="C2" s="2"/>
      <c r="D2" s="7" t="s">
        <v>70</v>
      </c>
      <c r="E2" s="2"/>
      <c r="F2" s="7" t="s">
        <v>19</v>
      </c>
      <c r="G2" s="4"/>
      <c r="H2" s="36" t="s">
        <v>77</v>
      </c>
      <c r="I2" s="4"/>
    </row>
    <row r="3" spans="1:9" x14ac:dyDescent="0.2">
      <c r="A3" s="1"/>
      <c r="B3" s="1" t="s">
        <v>21</v>
      </c>
      <c r="C3" s="1"/>
      <c r="D3" s="9">
        <v>775879.25</v>
      </c>
      <c r="E3" s="10">
        <v>1</v>
      </c>
      <c r="F3" s="9">
        <f>(21286*11+(153450500-1676600)*3.86/1000+1690*18.76+(6547600-115700)*6.08/1000)-(21286*11+(153450500-1676600)*3.06/1000+1690*18.76+(6547600-115700)*6.08/1000)</f>
        <v>121419.11999999988</v>
      </c>
      <c r="G3" s="10">
        <v>6</v>
      </c>
      <c r="H3" s="33">
        <f>D3+F3</f>
        <v>897298.36999999988</v>
      </c>
      <c r="I3" s="4"/>
    </row>
    <row r="4" spans="1:9" x14ac:dyDescent="0.2">
      <c r="A4" s="1"/>
      <c r="B4" s="1" t="s">
        <v>22</v>
      </c>
      <c r="C4" s="1"/>
      <c r="D4" s="9">
        <v>1219987.5900000001</v>
      </c>
      <c r="E4" s="10">
        <v>1</v>
      </c>
      <c r="F4" s="9">
        <f>(465077100*3.33/1000-465077100*2.63/1000)</f>
        <v>325553.96999999997</v>
      </c>
      <c r="G4" s="10">
        <v>7</v>
      </c>
      <c r="H4" s="33">
        <f>D4+F4</f>
        <v>1545541.56</v>
      </c>
      <c r="I4" s="4"/>
    </row>
    <row r="5" spans="1:9" x14ac:dyDescent="0.2">
      <c r="A5" s="1"/>
      <c r="B5" s="1" t="s">
        <v>23</v>
      </c>
      <c r="C5" s="1"/>
      <c r="D5" s="9">
        <v>578499.01</v>
      </c>
      <c r="E5" s="10">
        <v>1</v>
      </c>
      <c r="F5" s="9">
        <f>(217688800*3.33/1000-217688800*2.63/1000)</f>
        <v>152382.16000000003</v>
      </c>
      <c r="G5" s="10">
        <v>7</v>
      </c>
      <c r="H5" s="33">
        <f>D5+F5</f>
        <v>730881.17</v>
      </c>
      <c r="I5" s="10"/>
    </row>
    <row r="6" spans="1:9" x14ac:dyDescent="0.2">
      <c r="A6" s="1"/>
      <c r="B6" s="1" t="s">
        <v>24</v>
      </c>
      <c r="C6" s="1"/>
      <c r="D6" s="11">
        <f>15885.38+8973.4</f>
        <v>24858.78</v>
      </c>
      <c r="E6" s="10">
        <v>1</v>
      </c>
      <c r="F6" s="11">
        <v>0</v>
      </c>
      <c r="G6" s="4"/>
      <c r="H6" s="12">
        <f>D6+F6</f>
        <v>24858.78</v>
      </c>
      <c r="I6" s="4"/>
    </row>
    <row r="7" spans="1:9" x14ac:dyDescent="0.2">
      <c r="A7" s="1"/>
      <c r="B7" s="1" t="s">
        <v>1</v>
      </c>
      <c r="C7" s="1"/>
      <c r="D7" s="9">
        <f>SUM(D3:D6)</f>
        <v>2599224.63</v>
      </c>
      <c r="E7" s="13"/>
      <c r="F7" s="9">
        <f>SUM(F3:F6)</f>
        <v>599355.24999999988</v>
      </c>
      <c r="G7" s="4"/>
      <c r="H7" s="14">
        <f>SUM(H3:H6)</f>
        <v>3198579.8799999994</v>
      </c>
      <c r="I7" s="4"/>
    </row>
    <row r="8" spans="1:9" ht="5.0999999999999996" customHeight="1" x14ac:dyDescent="0.2">
      <c r="A8" s="1"/>
      <c r="B8" s="1"/>
      <c r="C8" s="1"/>
      <c r="D8" s="9"/>
      <c r="E8" s="13"/>
      <c r="F8" s="9"/>
      <c r="G8" s="4"/>
      <c r="H8" s="15"/>
      <c r="I8" s="4"/>
    </row>
    <row r="9" spans="1:9" x14ac:dyDescent="0.2">
      <c r="A9" s="1" t="s">
        <v>25</v>
      </c>
      <c r="B9" s="1"/>
      <c r="C9" s="1"/>
      <c r="D9" s="9"/>
      <c r="E9" s="13"/>
      <c r="F9" s="9"/>
      <c r="G9" s="4"/>
      <c r="H9" s="15"/>
      <c r="I9" s="4"/>
    </row>
    <row r="10" spans="1:9" x14ac:dyDescent="0.2">
      <c r="A10" s="1"/>
      <c r="B10" s="1" t="s">
        <v>2</v>
      </c>
      <c r="C10" s="1"/>
      <c r="D10" s="9">
        <v>854338.26</v>
      </c>
      <c r="E10" s="10">
        <v>1</v>
      </c>
      <c r="F10" s="9">
        <f>D10*0.0519</f>
        <v>44340.155694000001</v>
      </c>
      <c r="G10" s="10">
        <v>8</v>
      </c>
      <c r="H10" s="16">
        <f>D10+F10</f>
        <v>898678.41569399997</v>
      </c>
      <c r="I10" s="4"/>
    </row>
    <row r="11" spans="1:9" x14ac:dyDescent="0.2">
      <c r="A11" s="1"/>
      <c r="B11" s="1" t="s">
        <v>3</v>
      </c>
      <c r="C11" s="1"/>
      <c r="D11" s="9">
        <v>383790.29</v>
      </c>
      <c r="E11" s="10">
        <v>1</v>
      </c>
      <c r="F11" s="9">
        <f>D11*0.0519</f>
        <v>19918.716050999999</v>
      </c>
      <c r="G11" s="10">
        <v>8</v>
      </c>
      <c r="H11" s="16">
        <f>D11+F11</f>
        <v>403709.00605099997</v>
      </c>
      <c r="I11" s="4"/>
    </row>
    <row r="12" spans="1:9" x14ac:dyDescent="0.2">
      <c r="A12" s="1"/>
      <c r="B12" s="1" t="s">
        <v>72</v>
      </c>
      <c r="C12" s="1"/>
      <c r="D12" s="11">
        <f>(1193563.46-23836.24-12636.59-6195.75)*0.6+6195.75</f>
        <v>696732.67799999996</v>
      </c>
      <c r="E12" s="10">
        <v>1</v>
      </c>
      <c r="F12" s="11">
        <f>D12*0.0519</f>
        <v>36160.425988199997</v>
      </c>
      <c r="G12" s="10">
        <v>8</v>
      </c>
      <c r="H12" s="12">
        <f>D12+F12</f>
        <v>732893.10398819996</v>
      </c>
      <c r="I12" s="4"/>
    </row>
    <row r="13" spans="1:9" x14ac:dyDescent="0.2">
      <c r="A13" s="1"/>
      <c r="B13" s="1" t="s">
        <v>5</v>
      </c>
      <c r="C13" s="1"/>
      <c r="D13" s="9">
        <f>SUM(D10:D12)</f>
        <v>1934861.2280000001</v>
      </c>
      <c r="E13" s="13"/>
      <c r="F13" s="9">
        <f>SUM(F10:F12)</f>
        <v>100419.29773319999</v>
      </c>
      <c r="G13" s="4"/>
      <c r="H13" s="17">
        <f>SUM(H10:H12)</f>
        <v>2035280.5257331999</v>
      </c>
      <c r="I13" s="4"/>
    </row>
    <row r="14" spans="1:9" ht="5.0999999999999996" customHeight="1" thickBot="1" x14ac:dyDescent="0.25">
      <c r="A14" s="1"/>
      <c r="B14" s="1"/>
      <c r="C14" s="1"/>
      <c r="D14" s="18"/>
      <c r="E14" s="13"/>
      <c r="F14" s="18"/>
      <c r="G14" s="4"/>
      <c r="H14" s="19"/>
      <c r="I14" s="4"/>
    </row>
    <row r="15" spans="1:9" ht="15" thickTop="1" x14ac:dyDescent="0.2">
      <c r="A15" s="1" t="s">
        <v>6</v>
      </c>
      <c r="B15" s="1"/>
      <c r="C15" s="1"/>
      <c r="D15" s="9">
        <f>D7-D13</f>
        <v>664363.40199999977</v>
      </c>
      <c r="E15" s="13"/>
      <c r="F15" s="9">
        <f>F7-F13</f>
        <v>498935.95226679987</v>
      </c>
      <c r="G15" s="4"/>
      <c r="H15" s="9">
        <f>H7-H13</f>
        <v>1163299.3542667995</v>
      </c>
      <c r="I15" s="4"/>
    </row>
    <row r="16" spans="1:9" ht="5.0999999999999996" customHeight="1" x14ac:dyDescent="0.2">
      <c r="A16" s="1"/>
      <c r="B16" s="1"/>
      <c r="C16" s="1"/>
      <c r="D16" s="9"/>
      <c r="E16" s="13"/>
      <c r="F16" s="9"/>
      <c r="G16" s="4"/>
      <c r="H16" s="15"/>
      <c r="I16" s="4"/>
    </row>
    <row r="17" spans="1:9" x14ac:dyDescent="0.2">
      <c r="A17" s="1" t="s">
        <v>31</v>
      </c>
      <c r="B17" s="1"/>
      <c r="C17" s="1"/>
      <c r="D17" s="9"/>
      <c r="E17" s="13"/>
      <c r="F17" s="9"/>
      <c r="G17" s="4"/>
      <c r="H17" s="15"/>
      <c r="I17" s="4"/>
    </row>
    <row r="18" spans="1:9" x14ac:dyDescent="0.2">
      <c r="A18" s="1"/>
      <c r="B18" s="1" t="s">
        <v>32</v>
      </c>
      <c r="C18" s="1"/>
      <c r="D18" s="9">
        <f>0.6*13256.21</f>
        <v>7953.7259999999987</v>
      </c>
      <c r="E18" s="10"/>
      <c r="F18" s="9">
        <v>0</v>
      </c>
      <c r="G18" s="4"/>
      <c r="H18" s="35">
        <f>D18+F18</f>
        <v>7953.7259999999987</v>
      </c>
      <c r="I18" s="4"/>
    </row>
    <row r="19" spans="1:9" x14ac:dyDescent="0.2">
      <c r="A19" s="1"/>
      <c r="B19" s="1" t="s">
        <v>24</v>
      </c>
      <c r="C19" s="1"/>
      <c r="D19" s="11">
        <f>5490+0.6*522.27</f>
        <v>5803.3620000000001</v>
      </c>
      <c r="E19" s="10">
        <v>1</v>
      </c>
      <c r="F19" s="11">
        <v>0</v>
      </c>
      <c r="G19" s="4"/>
      <c r="H19" s="12">
        <f>D19+F19</f>
        <v>5803.3620000000001</v>
      </c>
      <c r="I19" s="4"/>
    </row>
    <row r="20" spans="1:9" x14ac:dyDescent="0.2">
      <c r="A20" s="1"/>
      <c r="B20" s="1" t="s">
        <v>8</v>
      </c>
      <c r="C20" s="1"/>
      <c r="D20" s="9">
        <f>SUM(D18:D19)</f>
        <v>13757.088</v>
      </c>
      <c r="E20" s="13"/>
      <c r="F20" s="9">
        <f>SUM(F18:F19)</f>
        <v>0</v>
      </c>
      <c r="G20" s="4"/>
      <c r="H20" s="17">
        <f>SUM(H18:H19)</f>
        <v>13757.088</v>
      </c>
      <c r="I20" s="4"/>
    </row>
    <row r="21" spans="1:9" ht="5.0999999999999996" customHeight="1" thickBot="1" x14ac:dyDescent="0.25">
      <c r="A21" s="1"/>
      <c r="B21" s="1"/>
      <c r="C21" s="1"/>
      <c r="D21" s="18"/>
      <c r="E21" s="13"/>
      <c r="F21" s="18"/>
      <c r="G21" s="4"/>
      <c r="H21" s="19"/>
      <c r="I21" s="4"/>
    </row>
    <row r="22" spans="1:9" ht="15" thickTop="1" x14ac:dyDescent="0.2">
      <c r="A22" s="1" t="s">
        <v>6</v>
      </c>
      <c r="B22" s="1"/>
      <c r="C22" s="1"/>
      <c r="D22" s="9">
        <f>D15+D20</f>
        <v>678120.48999999976</v>
      </c>
      <c r="E22" s="13"/>
      <c r="F22" s="9">
        <f>F15+F20</f>
        <v>498935.95226679987</v>
      </c>
      <c r="G22" s="4"/>
      <c r="H22" s="9">
        <f>H15+H20</f>
        <v>1177056.4422667995</v>
      </c>
      <c r="I22" s="4"/>
    </row>
    <row r="23" spans="1:9" ht="5.0999999999999996" customHeight="1" x14ac:dyDescent="0.2">
      <c r="A23" s="1"/>
      <c r="B23" s="1"/>
      <c r="C23" s="1"/>
      <c r="D23" s="9"/>
      <c r="E23" s="13"/>
      <c r="F23" s="9"/>
      <c r="G23" s="4"/>
      <c r="H23" s="15"/>
      <c r="I23" s="4"/>
    </row>
    <row r="24" spans="1:9" x14ac:dyDescent="0.2">
      <c r="A24" s="1" t="s">
        <v>9</v>
      </c>
      <c r="B24" s="1"/>
      <c r="C24" s="1"/>
      <c r="D24" s="9"/>
      <c r="E24" s="13"/>
      <c r="F24" s="9"/>
      <c r="G24" s="4"/>
      <c r="H24" s="15"/>
      <c r="I24" s="4"/>
    </row>
    <row r="25" spans="1:9" x14ac:dyDescent="0.2">
      <c r="A25" s="1"/>
      <c r="B25" s="1" t="s">
        <v>7</v>
      </c>
      <c r="C25" s="1"/>
      <c r="D25" s="37">
        <f>10999/2</f>
        <v>5499.5</v>
      </c>
      <c r="E25" s="38">
        <v>1</v>
      </c>
      <c r="F25" s="37">
        <v>0</v>
      </c>
      <c r="G25" s="39"/>
      <c r="H25" s="40">
        <f t="shared" ref="H25:H31" si="0">D25+F25</f>
        <v>5499.5</v>
      </c>
      <c r="I25" s="4"/>
    </row>
    <row r="26" spans="1:9" x14ac:dyDescent="0.2">
      <c r="A26" s="1"/>
      <c r="B26" s="1" t="s">
        <v>33</v>
      </c>
      <c r="C26" s="1"/>
      <c r="D26" s="37">
        <v>-210500</v>
      </c>
      <c r="E26" s="38">
        <v>2</v>
      </c>
      <c r="F26" s="37">
        <v>0</v>
      </c>
      <c r="G26" s="39"/>
      <c r="H26" s="40">
        <v>-227500</v>
      </c>
      <c r="I26" s="10">
        <v>2</v>
      </c>
    </row>
    <row r="27" spans="1:9" x14ac:dyDescent="0.2">
      <c r="A27" s="1"/>
      <c r="B27" s="1" t="s">
        <v>34</v>
      </c>
      <c r="C27" s="1"/>
      <c r="D27" s="37">
        <f>-(170487.5*2)</f>
        <v>-340975</v>
      </c>
      <c r="E27" s="38">
        <v>2</v>
      </c>
      <c r="F27" s="37">
        <v>0</v>
      </c>
      <c r="G27" s="39"/>
      <c r="H27" s="40">
        <f>-167856.25*2</f>
        <v>-335712.5</v>
      </c>
      <c r="I27" s="10">
        <v>2</v>
      </c>
    </row>
    <row r="28" spans="1:9" x14ac:dyDescent="0.2">
      <c r="A28" s="1"/>
      <c r="B28" s="1" t="s">
        <v>35</v>
      </c>
      <c r="C28" s="1"/>
      <c r="D28" s="37">
        <v>0</v>
      </c>
      <c r="E28" s="41"/>
      <c r="F28" s="37">
        <v>-12975</v>
      </c>
      <c r="G28" s="38">
        <v>9</v>
      </c>
      <c r="H28" s="40">
        <f t="shared" si="0"/>
        <v>-12975</v>
      </c>
      <c r="I28" s="4"/>
    </row>
    <row r="29" spans="1:9" x14ac:dyDescent="0.2">
      <c r="A29" s="1"/>
      <c r="B29" s="1" t="s">
        <v>36</v>
      </c>
      <c r="C29" s="1"/>
      <c r="D29" s="37">
        <v>0</v>
      </c>
      <c r="E29" s="41"/>
      <c r="F29" s="37">
        <v>-23375</v>
      </c>
      <c r="G29" s="38">
        <v>9</v>
      </c>
      <c r="H29" s="40">
        <f t="shared" si="0"/>
        <v>-23375</v>
      </c>
      <c r="I29" s="4"/>
    </row>
    <row r="30" spans="1:9" x14ac:dyDescent="0.2">
      <c r="A30" s="1"/>
      <c r="B30" s="1" t="s">
        <v>10</v>
      </c>
      <c r="C30" s="1"/>
      <c r="D30" s="37">
        <v>-76440</v>
      </c>
      <c r="E30" s="38">
        <v>3</v>
      </c>
      <c r="F30" s="37">
        <f>(F28+F29)*0.1</f>
        <v>-3635</v>
      </c>
      <c r="G30" s="38">
        <v>10</v>
      </c>
      <c r="H30" s="40">
        <f t="shared" si="0"/>
        <v>-80075</v>
      </c>
      <c r="I30" s="4"/>
    </row>
    <row r="31" spans="1:9" x14ac:dyDescent="0.2">
      <c r="A31" s="1"/>
      <c r="B31" s="1" t="s">
        <v>11</v>
      </c>
      <c r="C31" s="1"/>
      <c r="D31" s="42">
        <v>-22020</v>
      </c>
      <c r="E31" s="38">
        <v>3</v>
      </c>
      <c r="F31" s="42">
        <v>-28000</v>
      </c>
      <c r="G31" s="38">
        <v>11</v>
      </c>
      <c r="H31" s="43">
        <f t="shared" si="0"/>
        <v>-50020</v>
      </c>
      <c r="I31" s="4"/>
    </row>
    <row r="32" spans="1:9" x14ac:dyDescent="0.2">
      <c r="A32" s="1"/>
      <c r="B32" s="1" t="s">
        <v>12</v>
      </c>
      <c r="C32" s="1"/>
      <c r="D32" s="37">
        <f>SUM(D25:D31)</f>
        <v>-644435.5</v>
      </c>
      <c r="E32" s="41"/>
      <c r="F32" s="37">
        <f>SUM(F25:F31)</f>
        <v>-67985</v>
      </c>
      <c r="G32" s="39"/>
      <c r="H32" s="44">
        <f>SUM(H25:H31)</f>
        <v>-724158</v>
      </c>
      <c r="I32" s="4"/>
    </row>
    <row r="33" spans="1:9" ht="5.0999999999999996" customHeight="1" thickBot="1" x14ac:dyDescent="0.25">
      <c r="A33" s="1"/>
      <c r="B33" s="1"/>
      <c r="C33" s="1"/>
      <c r="D33" s="45"/>
      <c r="E33" s="41"/>
      <c r="F33" s="45"/>
      <c r="G33" s="39"/>
      <c r="H33" s="46"/>
      <c r="I33" s="4"/>
    </row>
    <row r="34" spans="1:9" ht="15" thickTop="1" x14ac:dyDescent="0.2">
      <c r="A34" s="1" t="s">
        <v>37</v>
      </c>
      <c r="B34" s="1"/>
      <c r="C34" s="1"/>
      <c r="D34" s="37">
        <f>D22+D32</f>
        <v>33684.989999999758</v>
      </c>
      <c r="E34" s="41"/>
      <c r="F34" s="37">
        <f>F22+F32</f>
        <v>430950.95226679987</v>
      </c>
      <c r="G34" s="39"/>
      <c r="H34" s="37">
        <f>H22+H32</f>
        <v>452898.44226679951</v>
      </c>
      <c r="I34" s="4"/>
    </row>
    <row r="35" spans="1:9" ht="5.0999999999999996" customHeight="1" x14ac:dyDescent="0.2">
      <c r="A35" s="1"/>
      <c r="B35" s="1"/>
      <c r="C35" s="1"/>
      <c r="D35" s="37"/>
      <c r="E35" s="41"/>
      <c r="F35" s="37"/>
      <c r="G35" s="39"/>
      <c r="H35" s="47"/>
      <c r="I35" s="4"/>
    </row>
    <row r="36" spans="1:9" x14ac:dyDescent="0.2">
      <c r="A36" s="1"/>
      <c r="B36" s="1" t="s">
        <v>38</v>
      </c>
      <c r="C36" s="1"/>
      <c r="D36" s="37">
        <f>-D32*0.1</f>
        <v>64443.55</v>
      </c>
      <c r="E36" s="38">
        <v>4</v>
      </c>
      <c r="F36" s="37">
        <f>-0.1*F32</f>
        <v>6798.5</v>
      </c>
      <c r="G36" s="38">
        <v>4</v>
      </c>
      <c r="H36" s="40">
        <f>D36+F36</f>
        <v>71242.05</v>
      </c>
      <c r="I36" s="4"/>
    </row>
    <row r="37" spans="1:9" ht="5.0999999999999996" customHeight="1" x14ac:dyDescent="0.2">
      <c r="A37" s="1"/>
      <c r="B37" s="1"/>
      <c r="C37" s="1"/>
      <c r="D37" s="42"/>
      <c r="E37" s="41"/>
      <c r="F37" s="42"/>
      <c r="G37" s="39"/>
      <c r="H37" s="48"/>
      <c r="I37" s="4"/>
    </row>
    <row r="38" spans="1:9" x14ac:dyDescent="0.2">
      <c r="A38" s="1" t="s">
        <v>39</v>
      </c>
      <c r="B38" s="1"/>
      <c r="C38" s="1"/>
      <c r="D38" s="37">
        <f>D34-D36</f>
        <v>-30758.560000000245</v>
      </c>
      <c r="E38" s="41"/>
      <c r="F38" s="37">
        <f>F34-F36</f>
        <v>424152.45226679987</v>
      </c>
      <c r="G38" s="39"/>
      <c r="H38" s="37">
        <f>H34-H36</f>
        <v>381656.39226679952</v>
      </c>
      <c r="I38" s="4"/>
    </row>
    <row r="39" spans="1:9" ht="5.0999999999999996" customHeight="1" x14ac:dyDescent="0.2">
      <c r="A39" s="1"/>
      <c r="B39" s="1"/>
      <c r="C39" s="1"/>
      <c r="D39" s="37"/>
      <c r="E39" s="41"/>
      <c r="F39" s="37"/>
      <c r="G39" s="39"/>
      <c r="H39" s="47"/>
      <c r="I39" s="4"/>
    </row>
    <row r="40" spans="1:9" x14ac:dyDescent="0.2">
      <c r="A40" s="1" t="s">
        <v>13</v>
      </c>
      <c r="B40" s="1"/>
      <c r="C40" s="1"/>
      <c r="D40" s="37">
        <f>1006967*0.6</f>
        <v>604180.19999999995</v>
      </c>
      <c r="E40" s="38">
        <v>5</v>
      </c>
      <c r="F40" s="37">
        <v>160543</v>
      </c>
      <c r="G40" s="38">
        <v>12</v>
      </c>
      <c r="H40" s="40">
        <f>D40+F40</f>
        <v>764723.19999999995</v>
      </c>
      <c r="I40" s="4"/>
    </row>
    <row r="41" spans="1:9" ht="5.0999999999999996" customHeight="1" thickBot="1" x14ac:dyDescent="0.25">
      <c r="A41" s="1"/>
      <c r="B41" s="1"/>
      <c r="C41" s="1"/>
      <c r="D41" s="45"/>
      <c r="E41" s="49"/>
      <c r="F41" s="45"/>
      <c r="G41" s="39"/>
      <c r="H41" s="46"/>
      <c r="I41" s="4"/>
    </row>
    <row r="42" spans="1:9" ht="15" thickTop="1" x14ac:dyDescent="0.2">
      <c r="A42" s="1" t="s">
        <v>14</v>
      </c>
      <c r="B42" s="1"/>
      <c r="C42" s="1"/>
      <c r="D42" s="9">
        <f>D38-D40</f>
        <v>-634938.76000000024</v>
      </c>
      <c r="E42" s="1"/>
      <c r="F42" s="9">
        <f>F38-F40</f>
        <v>263609.45226679987</v>
      </c>
      <c r="G42" s="4"/>
      <c r="H42" s="9">
        <f>H38-H40</f>
        <v>-383066.80773320043</v>
      </c>
      <c r="I42" s="10">
        <v>13</v>
      </c>
    </row>
    <row r="43" spans="1:9" ht="5.0999999999999996" customHeight="1" x14ac:dyDescent="0.2">
      <c r="A43" s="1"/>
      <c r="B43" s="1"/>
      <c r="C43" s="1"/>
      <c r="D43" s="1"/>
      <c r="E43" s="1"/>
      <c r="F43" s="1"/>
      <c r="G43" s="4"/>
      <c r="H43" s="15"/>
      <c r="I43" s="4"/>
    </row>
    <row r="44" spans="1:9" x14ac:dyDescent="0.2">
      <c r="A44" s="21" t="s">
        <v>40</v>
      </c>
      <c r="B44" s="22"/>
      <c r="C44" s="22"/>
      <c r="D44" s="22"/>
      <c r="E44" s="22"/>
      <c r="F44" s="22"/>
      <c r="G44" s="4"/>
      <c r="H44" s="15"/>
      <c r="I44" s="4"/>
    </row>
    <row r="45" spans="1:9" ht="15" x14ac:dyDescent="0.25">
      <c r="A45" s="23" t="s">
        <v>41</v>
      </c>
      <c r="B45" s="24" t="s">
        <v>74</v>
      </c>
      <c r="C45" s="24"/>
      <c r="D45" s="25"/>
      <c r="E45" s="25"/>
      <c r="F45" s="25"/>
      <c r="G45" s="4"/>
      <c r="H45"/>
      <c r="I45" s="4"/>
    </row>
    <row r="46" spans="1:9" x14ac:dyDescent="0.2">
      <c r="A46" s="23" t="s">
        <v>43</v>
      </c>
      <c r="B46" s="24" t="s">
        <v>44</v>
      </c>
      <c r="C46" s="24"/>
      <c r="D46" s="26"/>
      <c r="E46" s="25"/>
      <c r="F46" s="27"/>
      <c r="G46" s="4"/>
      <c r="H46" s="15"/>
      <c r="I46" s="4"/>
    </row>
    <row r="47" spans="1:9" x14ac:dyDescent="0.2">
      <c r="A47" s="23" t="s">
        <v>45</v>
      </c>
      <c r="B47" s="24" t="s">
        <v>46</v>
      </c>
      <c r="C47" s="24"/>
      <c r="D47" s="25"/>
      <c r="E47" s="25"/>
      <c r="F47" s="25"/>
      <c r="G47" s="4"/>
      <c r="H47" s="15"/>
      <c r="I47" s="4"/>
    </row>
    <row r="48" spans="1:9" x14ac:dyDescent="0.2">
      <c r="A48" s="23" t="s">
        <v>47</v>
      </c>
      <c r="B48" s="24" t="s">
        <v>48</v>
      </c>
      <c r="C48" s="24"/>
      <c r="D48" s="28"/>
      <c r="E48" s="25"/>
      <c r="F48" s="28"/>
      <c r="G48" s="4"/>
      <c r="H48" s="15"/>
      <c r="I48" s="4"/>
    </row>
    <row r="49" spans="1:9" x14ac:dyDescent="0.2">
      <c r="A49" s="23" t="s">
        <v>49</v>
      </c>
      <c r="B49" s="24" t="s">
        <v>73</v>
      </c>
      <c r="C49" s="24"/>
      <c r="D49" s="25"/>
      <c r="E49" s="25"/>
      <c r="F49" s="25"/>
      <c r="G49" s="4"/>
      <c r="H49" s="15"/>
      <c r="I49" s="4"/>
    </row>
    <row r="50" spans="1:9" x14ac:dyDescent="0.2">
      <c r="A50" s="23" t="s">
        <v>51</v>
      </c>
      <c r="B50" s="24" t="s">
        <v>66</v>
      </c>
      <c r="C50" s="24"/>
      <c r="D50" s="25"/>
      <c r="E50" s="25"/>
      <c r="F50" s="25"/>
      <c r="G50" s="31"/>
      <c r="H50" s="32"/>
      <c r="I50" s="4"/>
    </row>
    <row r="51" spans="1:9" x14ac:dyDescent="0.2">
      <c r="A51" s="23" t="s">
        <v>52</v>
      </c>
      <c r="B51" s="24" t="s">
        <v>67</v>
      </c>
      <c r="C51" s="24"/>
      <c r="D51" s="28"/>
      <c r="E51" s="25"/>
      <c r="F51" s="29"/>
      <c r="G51" s="31"/>
      <c r="H51" s="32"/>
      <c r="I51" s="4"/>
    </row>
    <row r="52" spans="1:9" x14ac:dyDescent="0.2">
      <c r="A52" s="23" t="s">
        <v>53</v>
      </c>
      <c r="B52" s="24" t="s">
        <v>54</v>
      </c>
      <c r="C52" s="24"/>
      <c r="D52" s="28"/>
      <c r="E52" s="25"/>
      <c r="F52" s="28"/>
      <c r="G52" s="4"/>
      <c r="H52" s="15"/>
      <c r="I52" s="4"/>
    </row>
    <row r="53" spans="1:9" x14ac:dyDescent="0.2">
      <c r="A53" s="23" t="s">
        <v>55</v>
      </c>
      <c r="B53" s="24" t="s">
        <v>71</v>
      </c>
      <c r="C53" s="24"/>
      <c r="D53" s="25"/>
      <c r="E53" s="25"/>
      <c r="F53" s="25"/>
      <c r="G53" s="4"/>
      <c r="H53" s="15"/>
      <c r="I53" s="4"/>
    </row>
    <row r="54" spans="1:9" x14ac:dyDescent="0.2">
      <c r="A54" s="23" t="s">
        <v>56</v>
      </c>
      <c r="B54" s="24" t="s">
        <v>57</v>
      </c>
      <c r="C54" s="24"/>
      <c r="D54" s="29"/>
      <c r="E54" s="25"/>
      <c r="F54" s="29"/>
      <c r="G54" s="4"/>
      <c r="H54" s="15"/>
      <c r="I54" s="4"/>
    </row>
    <row r="55" spans="1:9" x14ac:dyDescent="0.2">
      <c r="A55" s="23" t="s">
        <v>58</v>
      </c>
      <c r="B55" s="24" t="s">
        <v>59</v>
      </c>
      <c r="C55" s="24"/>
      <c r="D55" s="28"/>
      <c r="E55" s="25"/>
      <c r="F55" s="29"/>
      <c r="G55" s="4"/>
      <c r="H55" s="15"/>
      <c r="I55" s="4"/>
    </row>
    <row r="56" spans="1:9" x14ac:dyDescent="0.2">
      <c r="A56" s="23" t="s">
        <v>60</v>
      </c>
      <c r="B56" s="24" t="s">
        <v>61</v>
      </c>
      <c r="C56" s="24"/>
      <c r="D56" s="25"/>
      <c r="E56" s="25"/>
      <c r="F56" s="25"/>
      <c r="G56" s="4"/>
      <c r="H56" s="15"/>
      <c r="I56" s="4"/>
    </row>
    <row r="57" spans="1:9" x14ac:dyDescent="0.2">
      <c r="A57" s="23" t="s">
        <v>62</v>
      </c>
      <c r="B57" s="24" t="s">
        <v>75</v>
      </c>
      <c r="C57" s="24"/>
      <c r="D57" s="29"/>
      <c r="E57" s="25"/>
      <c r="F57" s="29"/>
      <c r="G57" s="4"/>
      <c r="H57" s="15"/>
      <c r="I57" s="4"/>
    </row>
    <row r="58" spans="1:9" ht="5.0999999999999996" customHeigh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workbookViewId="0">
      <selection activeCell="O41" sqref="O41"/>
    </sheetView>
  </sheetViews>
  <sheetFormatPr defaultRowHeight="14.25" x14ac:dyDescent="0.2"/>
  <cols>
    <col min="1" max="1" width="3.5703125" style="6" customWidth="1"/>
    <col min="2" max="2" width="2.7109375" style="6" customWidth="1"/>
    <col min="3" max="3" width="29" style="6" customWidth="1"/>
    <col min="4" max="4" width="16.7109375" style="6" customWidth="1"/>
    <col min="5" max="5" width="3" style="6" customWidth="1"/>
    <col min="6" max="6" width="13.42578125" style="6" customWidth="1"/>
    <col min="7" max="7" width="3.140625" style="30" customWidth="1"/>
    <col min="8" max="8" width="15.85546875" style="6" customWidth="1"/>
    <col min="9" max="9" width="3.42578125" style="30" bestFit="1" customWidth="1"/>
    <col min="10" max="16384" width="9.140625" style="6"/>
  </cols>
  <sheetData>
    <row r="1" spans="1:9" x14ac:dyDescent="0.2">
      <c r="A1" s="1"/>
      <c r="B1" s="1"/>
      <c r="C1" s="2"/>
      <c r="D1" s="3" t="s">
        <v>15</v>
      </c>
      <c r="E1" s="2"/>
      <c r="F1" s="3" t="s">
        <v>16</v>
      </c>
      <c r="G1" s="4"/>
      <c r="H1" s="5" t="s">
        <v>17</v>
      </c>
      <c r="I1" s="4"/>
    </row>
    <row r="2" spans="1:9" x14ac:dyDescent="0.2">
      <c r="A2" s="1" t="s">
        <v>0</v>
      </c>
      <c r="B2" s="1"/>
      <c r="C2" s="2"/>
      <c r="D2" s="7" t="s">
        <v>18</v>
      </c>
      <c r="E2" s="2"/>
      <c r="F2" s="7" t="s">
        <v>19</v>
      </c>
      <c r="G2" s="4"/>
      <c r="H2" s="8" t="s">
        <v>20</v>
      </c>
      <c r="I2" s="4"/>
    </row>
    <row r="3" spans="1:9" x14ac:dyDescent="0.2">
      <c r="A3" s="1"/>
      <c r="B3" s="1" t="s">
        <v>21</v>
      </c>
      <c r="C3" s="1"/>
      <c r="D3" s="9">
        <v>762354</v>
      </c>
      <c r="E3" s="10">
        <v>1</v>
      </c>
      <c r="F3" s="9">
        <v>90114</v>
      </c>
      <c r="G3" s="10">
        <v>6</v>
      </c>
      <c r="H3" s="33">
        <v>852468</v>
      </c>
      <c r="I3" s="4"/>
    </row>
    <row r="4" spans="1:9" x14ac:dyDescent="0.2">
      <c r="A4" s="1"/>
      <c r="B4" s="1" t="s">
        <v>22</v>
      </c>
      <c r="C4" s="1"/>
      <c r="D4" s="9">
        <v>1180411</v>
      </c>
      <c r="E4" s="10">
        <v>1</v>
      </c>
      <c r="F4" s="9">
        <v>355925</v>
      </c>
      <c r="G4" s="10">
        <v>7</v>
      </c>
      <c r="H4" s="34">
        <v>1536336</v>
      </c>
      <c r="I4" s="4"/>
    </row>
    <row r="5" spans="1:9" x14ac:dyDescent="0.2">
      <c r="A5" s="1"/>
      <c r="B5" s="1" t="s">
        <v>23</v>
      </c>
      <c r="C5" s="1"/>
      <c r="D5" s="9">
        <v>728794</v>
      </c>
      <c r="E5" s="10">
        <v>1</v>
      </c>
      <c r="F5" s="9">
        <v>112082</v>
      </c>
      <c r="G5" s="10">
        <v>7</v>
      </c>
      <c r="H5" s="33">
        <v>840876</v>
      </c>
      <c r="I5" s="10">
        <v>13</v>
      </c>
    </row>
    <row r="6" spans="1:9" x14ac:dyDescent="0.2">
      <c r="A6" s="1"/>
      <c r="B6" s="1" t="s">
        <v>24</v>
      </c>
      <c r="C6" s="1"/>
      <c r="D6" s="11">
        <v>22937</v>
      </c>
      <c r="E6" s="10">
        <v>1</v>
      </c>
      <c r="F6" s="11">
        <v>0</v>
      </c>
      <c r="G6" s="4"/>
      <c r="H6" s="12">
        <v>22937</v>
      </c>
      <c r="I6" s="4"/>
    </row>
    <row r="7" spans="1:9" x14ac:dyDescent="0.2">
      <c r="A7" s="1"/>
      <c r="B7" s="1" t="s">
        <v>1</v>
      </c>
      <c r="C7" s="1"/>
      <c r="D7" s="9">
        <f>SUM(D3:D6)</f>
        <v>2694496</v>
      </c>
      <c r="E7" s="13"/>
      <c r="F7" s="9">
        <f>SUM(F3:F6)</f>
        <v>558121</v>
      </c>
      <c r="G7" s="4"/>
      <c r="H7" s="14">
        <f>SUM(H3:H6)</f>
        <v>3252617</v>
      </c>
      <c r="I7" s="4"/>
    </row>
    <row r="8" spans="1:9" ht="5.0999999999999996" customHeight="1" x14ac:dyDescent="0.2">
      <c r="A8" s="1"/>
      <c r="B8" s="1"/>
      <c r="C8" s="1"/>
      <c r="D8" s="9"/>
      <c r="E8" s="13"/>
      <c r="F8" s="9"/>
      <c r="G8" s="4"/>
      <c r="H8" s="15"/>
      <c r="I8" s="4"/>
    </row>
    <row r="9" spans="1:9" x14ac:dyDescent="0.2">
      <c r="A9" s="1" t="s">
        <v>25</v>
      </c>
      <c r="B9" s="1"/>
      <c r="C9" s="1"/>
      <c r="D9" s="9"/>
      <c r="E9" s="13"/>
      <c r="F9" s="9"/>
      <c r="G9" s="4"/>
      <c r="H9" s="15"/>
      <c r="I9" s="4"/>
    </row>
    <row r="10" spans="1:9" x14ac:dyDescent="0.2">
      <c r="A10" s="1"/>
      <c r="B10" s="1" t="s">
        <v>2</v>
      </c>
      <c r="C10" s="1"/>
      <c r="D10" s="9">
        <v>787302</v>
      </c>
      <c r="E10" s="10">
        <v>1</v>
      </c>
      <c r="F10" s="9">
        <f>D10*0.0519</f>
        <v>40860.9738</v>
      </c>
      <c r="G10" s="10">
        <v>8</v>
      </c>
      <c r="H10" s="16">
        <f t="shared" ref="H10:H17" si="0">D10+F10</f>
        <v>828162.97380000004</v>
      </c>
      <c r="I10" s="4"/>
    </row>
    <row r="11" spans="1:9" x14ac:dyDescent="0.2">
      <c r="A11" s="1"/>
      <c r="B11" s="1" t="s">
        <v>3</v>
      </c>
      <c r="C11" s="1"/>
      <c r="D11" s="9">
        <v>390059</v>
      </c>
      <c r="E11" s="10">
        <v>1</v>
      </c>
      <c r="F11" s="9">
        <f t="shared" ref="F11:F17" si="1">D11*0.0519</f>
        <v>20244.062099999999</v>
      </c>
      <c r="G11" s="10">
        <v>8</v>
      </c>
      <c r="H11" s="16">
        <f t="shared" si="0"/>
        <v>410303.06209999998</v>
      </c>
      <c r="I11" s="4"/>
    </row>
    <row r="12" spans="1:9" x14ac:dyDescent="0.2">
      <c r="A12" s="1"/>
      <c r="B12" s="1" t="s">
        <v>26</v>
      </c>
      <c r="C12" s="1"/>
      <c r="D12" s="9">
        <v>261897</v>
      </c>
      <c r="E12" s="10">
        <v>1</v>
      </c>
      <c r="F12" s="9">
        <f t="shared" si="1"/>
        <v>13592.454300000001</v>
      </c>
      <c r="G12" s="10">
        <v>8</v>
      </c>
      <c r="H12" s="16">
        <f t="shared" si="0"/>
        <v>275489.45429999998</v>
      </c>
      <c r="I12" s="4"/>
    </row>
    <row r="13" spans="1:9" x14ac:dyDescent="0.2">
      <c r="A13" s="1"/>
      <c r="B13" s="1" t="s">
        <v>27</v>
      </c>
      <c r="C13" s="1"/>
      <c r="D13" s="9">
        <v>125491</v>
      </c>
      <c r="E13" s="10">
        <v>1</v>
      </c>
      <c r="F13" s="9">
        <f t="shared" si="1"/>
        <v>6512.9829</v>
      </c>
      <c r="G13" s="10">
        <v>8</v>
      </c>
      <c r="H13" s="16">
        <f t="shared" si="0"/>
        <v>132003.9829</v>
      </c>
      <c r="I13" s="4"/>
    </row>
    <row r="14" spans="1:9" x14ac:dyDescent="0.2">
      <c r="A14" s="1"/>
      <c r="B14" s="1" t="s">
        <v>4</v>
      </c>
      <c r="C14" s="1"/>
      <c r="D14" s="9">
        <v>246317</v>
      </c>
      <c r="E14" s="10">
        <v>1</v>
      </c>
      <c r="F14" s="9">
        <f t="shared" si="1"/>
        <v>12783.8523</v>
      </c>
      <c r="G14" s="10">
        <v>8</v>
      </c>
      <c r="H14" s="16">
        <f t="shared" si="0"/>
        <v>259100.8523</v>
      </c>
      <c r="I14" s="4"/>
    </row>
    <row r="15" spans="1:9" x14ac:dyDescent="0.2">
      <c r="A15" s="1"/>
      <c r="B15" s="1" t="s">
        <v>28</v>
      </c>
      <c r="C15" s="1"/>
      <c r="D15" s="9">
        <v>7740</v>
      </c>
      <c r="E15" s="10">
        <v>1</v>
      </c>
      <c r="F15" s="9">
        <f t="shared" si="1"/>
        <v>401.70600000000002</v>
      </c>
      <c r="G15" s="10">
        <v>8</v>
      </c>
      <c r="H15" s="16">
        <f t="shared" si="0"/>
        <v>8141.7060000000001</v>
      </c>
      <c r="I15" s="4"/>
    </row>
    <row r="16" spans="1:9" x14ac:dyDescent="0.2">
      <c r="A16" s="1"/>
      <c r="B16" s="1" t="s">
        <v>29</v>
      </c>
      <c r="C16" s="1"/>
      <c r="D16" s="9">
        <v>16897</v>
      </c>
      <c r="E16" s="10">
        <v>1</v>
      </c>
      <c r="F16" s="9">
        <f t="shared" si="1"/>
        <v>876.95429999999999</v>
      </c>
      <c r="G16" s="10">
        <v>8</v>
      </c>
      <c r="H16" s="16">
        <f t="shared" si="0"/>
        <v>17773.954300000001</v>
      </c>
      <c r="I16" s="4"/>
    </row>
    <row r="17" spans="1:9" x14ac:dyDescent="0.2">
      <c r="A17" s="1"/>
      <c r="B17" s="1" t="s">
        <v>30</v>
      </c>
      <c r="C17" s="1"/>
      <c r="D17" s="11">
        <v>10936</v>
      </c>
      <c r="E17" s="10">
        <v>1</v>
      </c>
      <c r="F17" s="11">
        <f t="shared" si="1"/>
        <v>567.57839999999999</v>
      </c>
      <c r="G17" s="10">
        <v>8</v>
      </c>
      <c r="H17" s="12">
        <f t="shared" si="0"/>
        <v>11503.5784</v>
      </c>
      <c r="I17" s="4"/>
    </row>
    <row r="18" spans="1:9" x14ac:dyDescent="0.2">
      <c r="A18" s="1"/>
      <c r="B18" s="1" t="s">
        <v>5</v>
      </c>
      <c r="C18" s="1"/>
      <c r="D18" s="9">
        <f>SUM(D10:D17)</f>
        <v>1846639</v>
      </c>
      <c r="E18" s="13"/>
      <c r="F18" s="9">
        <f>SUM(F10:F17)</f>
        <v>95840.564100000003</v>
      </c>
      <c r="G18" s="4"/>
      <c r="H18" s="17">
        <f>SUM(H10:H17)</f>
        <v>1942479.5640999998</v>
      </c>
      <c r="I18" s="4"/>
    </row>
    <row r="19" spans="1:9" ht="5.0999999999999996" customHeight="1" thickBot="1" x14ac:dyDescent="0.25">
      <c r="A19" s="1"/>
      <c r="B19" s="1"/>
      <c r="C19" s="1"/>
      <c r="D19" s="18"/>
      <c r="E19" s="13"/>
      <c r="F19" s="18"/>
      <c r="G19" s="4"/>
      <c r="H19" s="19"/>
      <c r="I19" s="4"/>
    </row>
    <row r="20" spans="1:9" ht="15" thickTop="1" x14ac:dyDescent="0.2">
      <c r="A20" s="1" t="s">
        <v>6</v>
      </c>
      <c r="B20" s="1"/>
      <c r="C20" s="1"/>
      <c r="D20" s="9">
        <f>D7-D18</f>
        <v>847857</v>
      </c>
      <c r="E20" s="13"/>
      <c r="F20" s="9">
        <f>F7-F18</f>
        <v>462280.43589999998</v>
      </c>
      <c r="G20" s="4"/>
      <c r="H20" s="9">
        <f>H7-H18</f>
        <v>1310137.4359000002</v>
      </c>
      <c r="I20" s="4"/>
    </row>
    <row r="21" spans="1:9" ht="5.0999999999999996" customHeight="1" x14ac:dyDescent="0.2">
      <c r="A21" s="1"/>
      <c r="B21" s="1"/>
      <c r="C21" s="1"/>
      <c r="D21" s="9"/>
      <c r="E21" s="13"/>
      <c r="F21" s="9"/>
      <c r="G21" s="4"/>
      <c r="H21" s="15"/>
      <c r="I21" s="4"/>
    </row>
    <row r="22" spans="1:9" x14ac:dyDescent="0.2">
      <c r="A22" s="1" t="s">
        <v>31</v>
      </c>
      <c r="B22" s="1"/>
      <c r="C22" s="1"/>
      <c r="D22" s="9"/>
      <c r="E22" s="13"/>
      <c r="F22" s="9"/>
      <c r="G22" s="4"/>
      <c r="H22" s="15"/>
      <c r="I22" s="4"/>
    </row>
    <row r="23" spans="1:9" x14ac:dyDescent="0.2">
      <c r="A23" s="1"/>
      <c r="B23" s="1" t="s">
        <v>32</v>
      </c>
      <c r="C23" s="1"/>
      <c r="D23" s="9">
        <v>4851</v>
      </c>
      <c r="E23" s="10">
        <v>1</v>
      </c>
      <c r="F23" s="9">
        <v>0</v>
      </c>
      <c r="G23" s="4"/>
      <c r="H23" s="16">
        <f>D23+F23</f>
        <v>4851</v>
      </c>
      <c r="I23" s="4"/>
    </row>
    <row r="24" spans="1:9" x14ac:dyDescent="0.2">
      <c r="A24" s="1"/>
      <c r="B24" s="1" t="s">
        <v>24</v>
      </c>
      <c r="C24" s="1"/>
      <c r="D24" s="11">
        <v>0</v>
      </c>
      <c r="E24" s="13"/>
      <c r="F24" s="11">
        <v>0</v>
      </c>
      <c r="G24" s="4"/>
      <c r="H24" s="12">
        <f>D24+F24</f>
        <v>0</v>
      </c>
      <c r="I24" s="4"/>
    </row>
    <row r="25" spans="1:9" x14ac:dyDescent="0.2">
      <c r="A25" s="1"/>
      <c r="B25" s="1" t="s">
        <v>8</v>
      </c>
      <c r="C25" s="1"/>
      <c r="D25" s="9">
        <f>SUM(D23:D24)</f>
        <v>4851</v>
      </c>
      <c r="E25" s="13"/>
      <c r="F25" s="9">
        <f>SUM(F23:F24)</f>
        <v>0</v>
      </c>
      <c r="G25" s="4"/>
      <c r="H25" s="17">
        <f>SUM(H23:H24)</f>
        <v>4851</v>
      </c>
      <c r="I25" s="4"/>
    </row>
    <row r="26" spans="1:9" ht="5.0999999999999996" customHeight="1" thickBot="1" x14ac:dyDescent="0.25">
      <c r="A26" s="1"/>
      <c r="B26" s="1"/>
      <c r="C26" s="1"/>
      <c r="D26" s="18"/>
      <c r="E26" s="13"/>
      <c r="F26" s="18"/>
      <c r="G26" s="4"/>
      <c r="H26" s="19"/>
      <c r="I26" s="4"/>
    </row>
    <row r="27" spans="1:9" ht="15" thickTop="1" x14ac:dyDescent="0.2">
      <c r="A27" s="1" t="s">
        <v>6</v>
      </c>
      <c r="B27" s="1"/>
      <c r="C27" s="1"/>
      <c r="D27" s="9">
        <f>D20+D25</f>
        <v>852708</v>
      </c>
      <c r="E27" s="13"/>
      <c r="F27" s="9">
        <f>F20+F25</f>
        <v>462280.43589999998</v>
      </c>
      <c r="G27" s="4"/>
      <c r="H27" s="9">
        <f>H20+H25</f>
        <v>1314988.4359000002</v>
      </c>
      <c r="I27" s="4"/>
    </row>
    <row r="28" spans="1:9" ht="5.0999999999999996" customHeight="1" x14ac:dyDescent="0.2">
      <c r="A28" s="1"/>
      <c r="B28" s="1"/>
      <c r="C28" s="1"/>
      <c r="D28" s="9"/>
      <c r="E28" s="13"/>
      <c r="F28" s="9"/>
      <c r="G28" s="4"/>
      <c r="H28" s="15"/>
      <c r="I28" s="4"/>
    </row>
    <row r="29" spans="1:9" x14ac:dyDescent="0.2">
      <c r="A29" s="1" t="s">
        <v>9</v>
      </c>
      <c r="B29" s="1"/>
      <c r="C29" s="1"/>
      <c r="D29" s="9"/>
      <c r="E29" s="13"/>
      <c r="F29" s="9"/>
      <c r="G29" s="4"/>
      <c r="H29" s="15"/>
      <c r="I29" s="4"/>
    </row>
    <row r="30" spans="1:9" x14ac:dyDescent="0.2">
      <c r="A30" s="1"/>
      <c r="B30" s="1" t="s">
        <v>7</v>
      </c>
      <c r="C30" s="1"/>
      <c r="D30" s="9">
        <v>4043</v>
      </c>
      <c r="E30" s="10">
        <v>1</v>
      </c>
      <c r="F30" s="9">
        <v>0</v>
      </c>
      <c r="G30" s="4"/>
      <c r="H30" s="16">
        <f t="shared" ref="H30:H36" si="2">D30+F30</f>
        <v>4043</v>
      </c>
      <c r="I30" s="4"/>
    </row>
    <row r="31" spans="1:9" x14ac:dyDescent="0.2">
      <c r="A31" s="1"/>
      <c r="B31" s="1" t="s">
        <v>33</v>
      </c>
      <c r="C31" s="1"/>
      <c r="D31" s="9">
        <v>-199500</v>
      </c>
      <c r="E31" s="10">
        <v>2</v>
      </c>
      <c r="F31" s="9">
        <v>0</v>
      </c>
      <c r="G31" s="4"/>
      <c r="H31" s="16">
        <v>-243500</v>
      </c>
      <c r="I31" s="10">
        <v>2</v>
      </c>
    </row>
    <row r="32" spans="1:9" x14ac:dyDescent="0.2">
      <c r="A32" s="1"/>
      <c r="B32" s="1" t="s">
        <v>34</v>
      </c>
      <c r="C32" s="1"/>
      <c r="D32" s="9">
        <v>-405188</v>
      </c>
      <c r="E32" s="10">
        <v>2</v>
      </c>
      <c r="F32" s="9">
        <v>0</v>
      </c>
      <c r="G32" s="4"/>
      <c r="H32" s="16">
        <v>-388138</v>
      </c>
      <c r="I32" s="10">
        <v>2</v>
      </c>
    </row>
    <row r="33" spans="1:9" x14ac:dyDescent="0.2">
      <c r="A33" s="1"/>
      <c r="B33" s="1" t="s">
        <v>35</v>
      </c>
      <c r="C33" s="1"/>
      <c r="D33" s="9">
        <v>0</v>
      </c>
      <c r="E33" s="13"/>
      <c r="F33" s="9">
        <v>-10100</v>
      </c>
      <c r="G33" s="10">
        <v>9</v>
      </c>
      <c r="H33" s="16">
        <f t="shared" si="2"/>
        <v>-10100</v>
      </c>
      <c r="I33" s="4"/>
    </row>
    <row r="34" spans="1:9" x14ac:dyDescent="0.2">
      <c r="A34" s="1"/>
      <c r="B34" s="1" t="s">
        <v>36</v>
      </c>
      <c r="C34" s="1"/>
      <c r="D34" s="9">
        <v>0</v>
      </c>
      <c r="E34" s="13"/>
      <c r="F34" s="9">
        <v>-18400</v>
      </c>
      <c r="G34" s="10">
        <v>9</v>
      </c>
      <c r="H34" s="16">
        <f t="shared" si="2"/>
        <v>-18400</v>
      </c>
      <c r="I34" s="4"/>
    </row>
    <row r="35" spans="1:9" x14ac:dyDescent="0.2">
      <c r="A35" s="1"/>
      <c r="B35" s="1" t="s">
        <v>10</v>
      </c>
      <c r="C35" s="1"/>
      <c r="D35" s="9">
        <v>-76440</v>
      </c>
      <c r="E35" s="10">
        <v>3</v>
      </c>
      <c r="F35" s="9">
        <f>(F33+F34)*0.1</f>
        <v>-2850</v>
      </c>
      <c r="G35" s="10">
        <v>10</v>
      </c>
      <c r="H35" s="16">
        <f t="shared" si="2"/>
        <v>-79290</v>
      </c>
      <c r="I35" s="4"/>
    </row>
    <row r="36" spans="1:9" x14ac:dyDescent="0.2">
      <c r="A36" s="1"/>
      <c r="B36" s="1" t="s">
        <v>11</v>
      </c>
      <c r="C36" s="1"/>
      <c r="D36" s="11">
        <v>-22020</v>
      </c>
      <c r="E36" s="10">
        <v>3</v>
      </c>
      <c r="F36" s="11">
        <v>-28000</v>
      </c>
      <c r="G36" s="10">
        <v>11</v>
      </c>
      <c r="H36" s="12">
        <f t="shared" si="2"/>
        <v>-50020</v>
      </c>
      <c r="I36" s="4"/>
    </row>
    <row r="37" spans="1:9" x14ac:dyDescent="0.2">
      <c r="A37" s="1"/>
      <c r="B37" s="1" t="s">
        <v>12</v>
      </c>
      <c r="C37" s="1"/>
      <c r="D37" s="9">
        <f>SUM(D30:D36)</f>
        <v>-699105</v>
      </c>
      <c r="E37" s="13"/>
      <c r="F37" s="9">
        <f>SUM(F30:F36)</f>
        <v>-59350</v>
      </c>
      <c r="G37" s="4"/>
      <c r="H37" s="17">
        <f>SUM(H30:H36)</f>
        <v>-785405</v>
      </c>
      <c r="I37" s="4"/>
    </row>
    <row r="38" spans="1:9" ht="5.0999999999999996" customHeight="1" thickBot="1" x14ac:dyDescent="0.25">
      <c r="A38" s="1"/>
      <c r="B38" s="1"/>
      <c r="C38" s="1"/>
      <c r="D38" s="18"/>
      <c r="E38" s="13"/>
      <c r="F38" s="18"/>
      <c r="G38" s="4"/>
      <c r="H38" s="19"/>
      <c r="I38" s="4"/>
    </row>
    <row r="39" spans="1:9" ht="15" thickTop="1" x14ac:dyDescent="0.2">
      <c r="A39" s="1" t="s">
        <v>37</v>
      </c>
      <c r="B39" s="1"/>
      <c r="C39" s="1"/>
      <c r="D39" s="9">
        <f>D27+D37</f>
        <v>153603</v>
      </c>
      <c r="E39" s="13"/>
      <c r="F39" s="9">
        <f>F27+F37</f>
        <v>402930.43589999998</v>
      </c>
      <c r="G39" s="4"/>
      <c r="H39" s="9">
        <f>H27+H37</f>
        <v>529583.43590000016</v>
      </c>
      <c r="I39" s="4"/>
    </row>
    <row r="40" spans="1:9" ht="5.0999999999999996" customHeight="1" x14ac:dyDescent="0.2">
      <c r="A40" s="1"/>
      <c r="B40" s="1"/>
      <c r="C40" s="1"/>
      <c r="D40" s="9"/>
      <c r="E40" s="13"/>
      <c r="F40" s="9"/>
      <c r="G40" s="4"/>
      <c r="H40" s="15"/>
      <c r="I40" s="4"/>
    </row>
    <row r="41" spans="1:9" x14ac:dyDescent="0.2">
      <c r="A41" s="1"/>
      <c r="B41" s="1" t="s">
        <v>38</v>
      </c>
      <c r="C41" s="1"/>
      <c r="D41" s="9">
        <f>-D37*0.1</f>
        <v>69910.5</v>
      </c>
      <c r="E41" s="10">
        <v>4</v>
      </c>
      <c r="F41" s="9">
        <f>-0.1*F37</f>
        <v>5935</v>
      </c>
      <c r="G41" s="10">
        <v>4</v>
      </c>
      <c r="H41" s="16">
        <f>D41+F41</f>
        <v>75845.5</v>
      </c>
      <c r="I41" s="4"/>
    </row>
    <row r="42" spans="1:9" ht="5.0999999999999996" customHeight="1" x14ac:dyDescent="0.2">
      <c r="A42" s="1"/>
      <c r="B42" s="1"/>
      <c r="C42" s="1"/>
      <c r="D42" s="11"/>
      <c r="E42" s="13"/>
      <c r="F42" s="11"/>
      <c r="G42" s="4"/>
      <c r="H42" s="20"/>
      <c r="I42" s="4"/>
    </row>
    <row r="43" spans="1:9" x14ac:dyDescent="0.2">
      <c r="A43" s="1" t="s">
        <v>39</v>
      </c>
      <c r="B43" s="1"/>
      <c r="C43" s="1"/>
      <c r="D43" s="9">
        <f>D39-D41</f>
        <v>83692.5</v>
      </c>
      <c r="E43" s="13"/>
      <c r="F43" s="9">
        <f>F39-F41</f>
        <v>396995.43589999998</v>
      </c>
      <c r="G43" s="4"/>
      <c r="H43" s="9">
        <f>H39-H41</f>
        <v>453737.93590000016</v>
      </c>
      <c r="I43" s="4"/>
    </row>
    <row r="44" spans="1:9" ht="5.0999999999999996" customHeight="1" x14ac:dyDescent="0.2">
      <c r="A44" s="1"/>
      <c r="B44" s="1"/>
      <c r="C44" s="1"/>
      <c r="D44" s="9"/>
      <c r="E44" s="13"/>
      <c r="F44" s="9"/>
      <c r="G44" s="4"/>
      <c r="H44" s="15"/>
      <c r="I44" s="4"/>
    </row>
    <row r="45" spans="1:9" x14ac:dyDescent="0.2">
      <c r="A45" s="1" t="s">
        <v>13</v>
      </c>
      <c r="B45" s="1"/>
      <c r="C45" s="1"/>
      <c r="D45" s="9">
        <v>678293</v>
      </c>
      <c r="E45" s="10">
        <v>5</v>
      </c>
      <c r="F45" s="9">
        <v>160543</v>
      </c>
      <c r="G45" s="10">
        <v>12</v>
      </c>
      <c r="H45" s="16">
        <f>D45+F45</f>
        <v>838836</v>
      </c>
      <c r="I45" s="4"/>
    </row>
    <row r="46" spans="1:9" ht="5.0999999999999996" customHeight="1" thickBot="1" x14ac:dyDescent="0.25">
      <c r="A46" s="1"/>
      <c r="B46" s="1"/>
      <c r="C46" s="1"/>
      <c r="D46" s="18"/>
      <c r="E46" s="1"/>
      <c r="F46" s="18"/>
      <c r="G46" s="4"/>
      <c r="H46" s="19"/>
      <c r="I46" s="4"/>
    </row>
    <row r="47" spans="1:9" ht="15" thickTop="1" x14ac:dyDescent="0.2">
      <c r="A47" s="1" t="s">
        <v>14</v>
      </c>
      <c r="B47" s="1"/>
      <c r="C47" s="1"/>
      <c r="D47" s="9">
        <f>D43-D45</f>
        <v>-594600.5</v>
      </c>
      <c r="E47" s="1"/>
      <c r="F47" s="9">
        <f>F43-F45</f>
        <v>236452.43589999998</v>
      </c>
      <c r="G47" s="4"/>
      <c r="H47" s="9">
        <f>H43-H45</f>
        <v>-385098.06409999984</v>
      </c>
      <c r="I47" s="10">
        <v>14</v>
      </c>
    </row>
    <row r="48" spans="1:9" ht="5.0999999999999996" customHeight="1" x14ac:dyDescent="0.2">
      <c r="A48" s="1"/>
      <c r="B48" s="1"/>
      <c r="C48" s="1"/>
      <c r="D48" s="1"/>
      <c r="E48" s="1"/>
      <c r="F48" s="1"/>
      <c r="G48" s="4"/>
      <c r="H48" s="15"/>
      <c r="I48" s="4"/>
    </row>
    <row r="49" spans="1:9" x14ac:dyDescent="0.2">
      <c r="A49" s="21" t="s">
        <v>40</v>
      </c>
      <c r="B49" s="22"/>
      <c r="C49" s="22"/>
      <c r="D49" s="22"/>
      <c r="E49" s="22"/>
      <c r="F49" s="22"/>
      <c r="G49" s="4"/>
      <c r="H49" s="15"/>
      <c r="I49" s="4"/>
    </row>
    <row r="50" spans="1:9" x14ac:dyDescent="0.2">
      <c r="A50" s="23" t="s">
        <v>41</v>
      </c>
      <c r="B50" s="24" t="s">
        <v>42</v>
      </c>
      <c r="C50" s="24"/>
      <c r="D50" s="25"/>
      <c r="E50" s="25"/>
      <c r="F50" s="25"/>
      <c r="G50" s="4"/>
      <c r="H50" s="15"/>
      <c r="I50" s="4"/>
    </row>
    <row r="51" spans="1:9" x14ac:dyDescent="0.2">
      <c r="A51" s="23" t="s">
        <v>43</v>
      </c>
      <c r="B51" s="24" t="s">
        <v>44</v>
      </c>
      <c r="C51" s="24"/>
      <c r="D51" s="26"/>
      <c r="E51" s="25"/>
      <c r="F51" s="27"/>
      <c r="G51" s="4"/>
      <c r="H51" s="15"/>
      <c r="I51" s="4"/>
    </row>
    <row r="52" spans="1:9" x14ac:dyDescent="0.2">
      <c r="A52" s="23" t="s">
        <v>45</v>
      </c>
      <c r="B52" s="24" t="s">
        <v>46</v>
      </c>
      <c r="C52" s="24"/>
      <c r="D52" s="25"/>
      <c r="E52" s="25"/>
      <c r="F52" s="25"/>
      <c r="G52" s="4"/>
      <c r="H52" s="15"/>
      <c r="I52" s="4"/>
    </row>
    <row r="53" spans="1:9" x14ac:dyDescent="0.2">
      <c r="A53" s="23" t="s">
        <v>47</v>
      </c>
      <c r="B53" s="24" t="s">
        <v>48</v>
      </c>
      <c r="C53" s="24"/>
      <c r="D53" s="28"/>
      <c r="E53" s="25"/>
      <c r="F53" s="28"/>
      <c r="G53" s="4"/>
      <c r="H53" s="15"/>
      <c r="I53" s="4"/>
    </row>
    <row r="54" spans="1:9" x14ac:dyDescent="0.2">
      <c r="A54" s="23" t="s">
        <v>49</v>
      </c>
      <c r="B54" s="24" t="s">
        <v>50</v>
      </c>
      <c r="C54" s="24"/>
      <c r="D54" s="25"/>
      <c r="E54" s="25"/>
      <c r="F54" s="25"/>
      <c r="G54" s="4"/>
      <c r="H54" s="15"/>
      <c r="I54" s="4"/>
    </row>
    <row r="55" spans="1:9" x14ac:dyDescent="0.2">
      <c r="A55" s="23" t="s">
        <v>51</v>
      </c>
      <c r="B55" s="24" t="s">
        <v>66</v>
      </c>
      <c r="C55" s="24"/>
      <c r="D55" s="25"/>
      <c r="E55" s="25"/>
      <c r="F55" s="25"/>
      <c r="G55" s="31"/>
      <c r="H55" s="32"/>
      <c r="I55" s="4"/>
    </row>
    <row r="56" spans="1:9" x14ac:dyDescent="0.2">
      <c r="A56" s="23" t="s">
        <v>52</v>
      </c>
      <c r="B56" s="24" t="s">
        <v>67</v>
      </c>
      <c r="C56" s="24"/>
      <c r="D56" s="28"/>
      <c r="E56" s="25"/>
      <c r="F56" s="29"/>
      <c r="G56" s="31"/>
      <c r="H56" s="32"/>
      <c r="I56" s="4"/>
    </row>
    <row r="57" spans="1:9" x14ac:dyDescent="0.2">
      <c r="A57" s="23" t="s">
        <v>53</v>
      </c>
      <c r="B57" s="24" t="s">
        <v>54</v>
      </c>
      <c r="C57" s="24"/>
      <c r="D57" s="28"/>
      <c r="E57" s="25"/>
      <c r="F57" s="28"/>
      <c r="G57" s="4"/>
      <c r="H57" s="15"/>
      <c r="I57" s="4"/>
    </row>
    <row r="58" spans="1:9" x14ac:dyDescent="0.2">
      <c r="A58" s="23" t="s">
        <v>55</v>
      </c>
      <c r="B58" s="24" t="s">
        <v>68</v>
      </c>
      <c r="C58" s="24"/>
      <c r="D58" s="25"/>
      <c r="E58" s="25"/>
      <c r="F58" s="25"/>
      <c r="G58" s="4"/>
      <c r="H58" s="15"/>
      <c r="I58" s="4"/>
    </row>
    <row r="59" spans="1:9" x14ac:dyDescent="0.2">
      <c r="A59" s="23" t="s">
        <v>56</v>
      </c>
      <c r="B59" s="24" t="s">
        <v>57</v>
      </c>
      <c r="C59" s="24"/>
      <c r="D59" s="29"/>
      <c r="E59" s="25"/>
      <c r="F59" s="29"/>
      <c r="G59" s="4"/>
      <c r="H59" s="15"/>
      <c r="I59" s="4"/>
    </row>
    <row r="60" spans="1:9" x14ac:dyDescent="0.2">
      <c r="A60" s="23" t="s">
        <v>58</v>
      </c>
      <c r="B60" s="24" t="s">
        <v>59</v>
      </c>
      <c r="C60" s="24"/>
      <c r="D60" s="28"/>
      <c r="E60" s="25"/>
      <c r="F60" s="29"/>
      <c r="G60" s="4"/>
      <c r="H60" s="15"/>
      <c r="I60" s="4"/>
    </row>
    <row r="61" spans="1:9" x14ac:dyDescent="0.2">
      <c r="A61" s="23" t="s">
        <v>60</v>
      </c>
      <c r="B61" s="24" t="s">
        <v>61</v>
      </c>
      <c r="C61" s="24"/>
      <c r="D61" s="25"/>
      <c r="E61" s="25"/>
      <c r="F61" s="25"/>
      <c r="G61" s="4"/>
      <c r="H61" s="15"/>
      <c r="I61" s="4"/>
    </row>
    <row r="62" spans="1:9" x14ac:dyDescent="0.2">
      <c r="A62" s="23" t="s">
        <v>62</v>
      </c>
      <c r="B62" s="24" t="s">
        <v>63</v>
      </c>
      <c r="C62" s="24"/>
      <c r="D62" s="29"/>
      <c r="E62" s="25"/>
      <c r="F62" s="29"/>
      <c r="G62" s="4"/>
      <c r="H62" s="15"/>
      <c r="I62" s="4"/>
    </row>
    <row r="63" spans="1:9" x14ac:dyDescent="0.2">
      <c r="A63" s="23" t="s">
        <v>64</v>
      </c>
      <c r="B63" s="24" t="s">
        <v>65</v>
      </c>
      <c r="C63" s="24"/>
      <c r="D63" s="29"/>
      <c r="E63" s="25"/>
      <c r="F63" s="29"/>
      <c r="G63" s="4"/>
      <c r="H63" s="15"/>
      <c r="I63" s="4"/>
    </row>
    <row r="64" spans="1:9" ht="5.0999999999999996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Update 2019</vt:lpstr>
      <vt:lpstr>PER 2017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Wilcutt</dc:creator>
  <cp:lastModifiedBy>Todd Osterloh</cp:lastModifiedBy>
  <dcterms:created xsi:type="dcterms:W3CDTF">2017-09-25T21:36:08Z</dcterms:created>
  <dcterms:modified xsi:type="dcterms:W3CDTF">2019-08-27T21:26:19Z</dcterms:modified>
</cp:coreProperties>
</file>