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ThisWorkbook"/>
  <xr:revisionPtr revIDLastSave="0" documentId="13_ncr:1_{653E885C-9A5B-448D-AF47-CB0B134C2D15}" xr6:coauthVersionLast="41" xr6:coauthVersionMax="41" xr10:uidLastSave="{00000000-0000-0000-0000-000000000000}"/>
  <bookViews>
    <workbookView xWindow="28680" yWindow="-120" windowWidth="25440" windowHeight="15390" tabRatio="799" xr2:uid="{00000000-000D-0000-FFFF-FFFF00000000}"/>
  </bookViews>
  <sheets>
    <sheet name="Project 28" sheetId="16" r:id="rId1"/>
    <sheet name="Project 29" sheetId="17" r:id="rId2"/>
    <sheet name="Project 29_2011 Plan" sheetId="18" r:id="rId3"/>
    <sheet name="Project 30" sheetId="19" r:id="rId4"/>
    <sheet name="Project 31" sheetId="20" r:id="rId5"/>
    <sheet name="Project 32" sheetId="21" r:id="rId6"/>
    <sheet name="Project 33" sheetId="22" r:id="rId7"/>
    <sheet name="Project 34" sheetId="23" r:id="rId8"/>
    <sheet name="Project 35" sheetId="24" r:id="rId9"/>
    <sheet name="Project 37" sheetId="25" r:id="rId10"/>
    <sheet name="Project 38" sheetId="27" r:id="rId11"/>
    <sheet name="BneLog" sheetId="28" state="veryHidden" r:id="rId12"/>
    <sheet name="Project 41" sheetId="26" r:id="rId13"/>
  </sheets>
  <definedNames>
    <definedName name="_xlnm.Print_Area" localSheetId="6">'Project 33'!$A$1:$N$51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25" l="1"/>
  <c r="C50" i="25"/>
  <c r="E30" i="27" l="1"/>
  <c r="E29" i="27"/>
  <c r="E28" i="27"/>
  <c r="F28" i="27"/>
  <c r="E28" i="23"/>
  <c r="E33" i="23"/>
  <c r="E31" i="23"/>
  <c r="F20" i="23"/>
  <c r="E31" i="22" l="1"/>
  <c r="E29" i="22"/>
  <c r="E28" i="22"/>
  <c r="F32" i="20"/>
  <c r="E32" i="20"/>
  <c r="E33" i="20"/>
  <c r="E31" i="20"/>
  <c r="E30" i="20"/>
  <c r="F28" i="20"/>
  <c r="E28" i="20"/>
  <c r="E30" i="19"/>
  <c r="E28" i="19"/>
  <c r="E31" i="18"/>
  <c r="E28" i="18"/>
  <c r="E33" i="17"/>
  <c r="E32" i="17"/>
  <c r="E31" i="17"/>
  <c r="E30" i="17"/>
  <c r="F32" i="16"/>
  <c r="E32" i="16"/>
  <c r="E31" i="16"/>
  <c r="E29" i="16"/>
  <c r="E28" i="16"/>
  <c r="N33" i="16" l="1"/>
  <c r="N32" i="16"/>
  <c r="N28" i="19"/>
  <c r="H15" i="26" l="1"/>
  <c r="L15" i="26" s="1"/>
  <c r="F15" i="26"/>
  <c r="E15" i="26"/>
  <c r="G15" i="26" s="1"/>
  <c r="H14" i="26"/>
  <c r="L14" i="26" s="1"/>
  <c r="F14" i="26"/>
  <c r="E14" i="26"/>
  <c r="G14" i="26" s="1"/>
  <c r="F13" i="26"/>
  <c r="H13" i="26" s="1"/>
  <c r="L13" i="26" s="1"/>
  <c r="E13" i="26"/>
  <c r="G13" i="26" s="1"/>
  <c r="K13" i="26" s="1"/>
  <c r="F12" i="26"/>
  <c r="H12" i="26" s="1"/>
  <c r="L12" i="26" s="1"/>
  <c r="E12" i="26"/>
  <c r="G12" i="26" s="1"/>
  <c r="K12" i="26" s="1"/>
  <c r="F11" i="26"/>
  <c r="H11" i="26" s="1"/>
  <c r="L11" i="26" s="1"/>
  <c r="E11" i="26"/>
  <c r="G11" i="26" s="1"/>
  <c r="G10" i="26"/>
  <c r="F10" i="26"/>
  <c r="H10" i="26" s="1"/>
  <c r="L10" i="26" s="1"/>
  <c r="E10" i="26"/>
  <c r="D41" i="25"/>
  <c r="D48" i="25" s="1"/>
  <c r="F48" i="25" s="1"/>
  <c r="F50" i="25" s="1"/>
  <c r="E50" i="25"/>
  <c r="F49" i="25"/>
  <c r="H49" i="25" s="1"/>
  <c r="E43" i="25"/>
  <c r="F42" i="25"/>
  <c r="H42" i="25" s="1"/>
  <c r="F15" i="25"/>
  <c r="H15" i="25" s="1"/>
  <c r="L15" i="25" s="1"/>
  <c r="E15" i="25"/>
  <c r="G15" i="25" s="1"/>
  <c r="K15" i="25" s="1"/>
  <c r="F14" i="25"/>
  <c r="H14" i="25" s="1"/>
  <c r="L14" i="25" s="1"/>
  <c r="E14" i="25"/>
  <c r="G14" i="25" s="1"/>
  <c r="G13" i="25"/>
  <c r="F13" i="25"/>
  <c r="H13" i="25" s="1"/>
  <c r="L13" i="25" s="1"/>
  <c r="E13" i="25"/>
  <c r="G12" i="25"/>
  <c r="K12" i="25" s="1"/>
  <c r="F12" i="25"/>
  <c r="H12" i="25" s="1"/>
  <c r="L12" i="25" s="1"/>
  <c r="E12" i="25"/>
  <c r="F11" i="25"/>
  <c r="H11" i="25" s="1"/>
  <c r="L11" i="25" s="1"/>
  <c r="E11" i="25"/>
  <c r="G11" i="25" s="1"/>
  <c r="K11" i="25" s="1"/>
  <c r="F10" i="25"/>
  <c r="H10" i="25" s="1"/>
  <c r="L10" i="25" s="1"/>
  <c r="E10" i="25"/>
  <c r="G10" i="25" s="1"/>
  <c r="F15" i="24"/>
  <c r="H15" i="24" s="1"/>
  <c r="L15" i="24" s="1"/>
  <c r="E15" i="24"/>
  <c r="G15" i="24" s="1"/>
  <c r="K15" i="24" s="1"/>
  <c r="H14" i="24"/>
  <c r="L14" i="24" s="1"/>
  <c r="F14" i="24"/>
  <c r="E14" i="24"/>
  <c r="G14" i="24" s="1"/>
  <c r="H13" i="24"/>
  <c r="L13" i="24" s="1"/>
  <c r="G13" i="24"/>
  <c r="K13" i="24" s="1"/>
  <c r="H12" i="24"/>
  <c r="L12" i="24" s="1"/>
  <c r="G12" i="24"/>
  <c r="L11" i="24"/>
  <c r="H11" i="24"/>
  <c r="G11" i="24"/>
  <c r="K11" i="24" s="1"/>
  <c r="H10" i="24"/>
  <c r="L10" i="24" s="1"/>
  <c r="G10" i="24"/>
  <c r="F14" i="23"/>
  <c r="H14" i="23" s="1"/>
  <c r="L14" i="23" s="1"/>
  <c r="E14" i="23"/>
  <c r="E15" i="23" s="1"/>
  <c r="G15" i="23" s="1"/>
  <c r="H13" i="23"/>
  <c r="L13" i="23" s="1"/>
  <c r="G13" i="23"/>
  <c r="H12" i="23"/>
  <c r="L12" i="23" s="1"/>
  <c r="K12" i="23" s="1"/>
  <c r="G12" i="23"/>
  <c r="L11" i="23"/>
  <c r="H11" i="23"/>
  <c r="G11" i="23"/>
  <c r="H10" i="23"/>
  <c r="L10" i="23" s="1"/>
  <c r="G10" i="23"/>
  <c r="K10" i="23" s="1"/>
  <c r="M10" i="23" s="1"/>
  <c r="F15" i="22"/>
  <c r="H15" i="22" s="1"/>
  <c r="L15" i="22" s="1"/>
  <c r="E15" i="22"/>
  <c r="G15" i="22" s="1"/>
  <c r="H14" i="22"/>
  <c r="L14" i="22" s="1"/>
  <c r="F14" i="22"/>
  <c r="E14" i="22"/>
  <c r="G14" i="22" s="1"/>
  <c r="H13" i="22"/>
  <c r="L13" i="22" s="1"/>
  <c r="G13" i="22"/>
  <c r="H12" i="22"/>
  <c r="L12" i="22" s="1"/>
  <c r="K12" i="22" s="1"/>
  <c r="G12" i="22"/>
  <c r="L11" i="22"/>
  <c r="K11" i="22"/>
  <c r="H11" i="22"/>
  <c r="G11" i="22"/>
  <c r="H10" i="22"/>
  <c r="L10" i="22" s="1"/>
  <c r="G10" i="22"/>
  <c r="F15" i="21"/>
  <c r="H15" i="21" s="1"/>
  <c r="L15" i="21" s="1"/>
  <c r="E15" i="21"/>
  <c r="G15" i="21" s="1"/>
  <c r="F14" i="21"/>
  <c r="H14" i="21" s="1"/>
  <c r="L14" i="21" s="1"/>
  <c r="E14" i="21"/>
  <c r="G14" i="21" s="1"/>
  <c r="H13" i="21"/>
  <c r="L13" i="21" s="1"/>
  <c r="G13" i="21"/>
  <c r="L12" i="21"/>
  <c r="H12" i="21"/>
  <c r="G12" i="21"/>
  <c r="K12" i="21" s="1"/>
  <c r="H11" i="21"/>
  <c r="L11" i="21" s="1"/>
  <c r="G11" i="21"/>
  <c r="H10" i="21"/>
  <c r="L10" i="21" s="1"/>
  <c r="G10" i="21"/>
  <c r="F15" i="20"/>
  <c r="H15" i="20" s="1"/>
  <c r="L15" i="20" s="1"/>
  <c r="E15" i="20"/>
  <c r="G15" i="20" s="1"/>
  <c r="H14" i="20"/>
  <c r="L14" i="20" s="1"/>
  <c r="F14" i="20"/>
  <c r="E14" i="20"/>
  <c r="G14" i="20" s="1"/>
  <c r="H13" i="20"/>
  <c r="L13" i="20" s="1"/>
  <c r="G13" i="20"/>
  <c r="K13" i="20" s="1"/>
  <c r="H12" i="20"/>
  <c r="L12" i="20" s="1"/>
  <c r="G12" i="20"/>
  <c r="L11" i="20"/>
  <c r="K11" i="20" s="1"/>
  <c r="H11" i="20"/>
  <c r="G11" i="20"/>
  <c r="H10" i="20"/>
  <c r="L10" i="20" s="1"/>
  <c r="G10" i="20"/>
  <c r="G15" i="19"/>
  <c r="F15" i="19"/>
  <c r="H15" i="19" s="1"/>
  <c r="L15" i="19" s="1"/>
  <c r="E15" i="19"/>
  <c r="F14" i="19"/>
  <c r="H14" i="19" s="1"/>
  <c r="L14" i="19" s="1"/>
  <c r="E14" i="19"/>
  <c r="G14" i="19" s="1"/>
  <c r="H13" i="19"/>
  <c r="L13" i="19" s="1"/>
  <c r="G13" i="19"/>
  <c r="E13" i="19"/>
  <c r="H12" i="19"/>
  <c r="L12" i="19" s="1"/>
  <c r="E12" i="19"/>
  <c r="G12" i="19" s="1"/>
  <c r="K12" i="19" s="1"/>
  <c r="H11" i="19"/>
  <c r="L11" i="19" s="1"/>
  <c r="E11" i="19"/>
  <c r="G11" i="19" s="1"/>
  <c r="H10" i="19"/>
  <c r="L10" i="19" s="1"/>
  <c r="G10" i="19"/>
  <c r="F15" i="18"/>
  <c r="H15" i="18" s="1"/>
  <c r="L15" i="18" s="1"/>
  <c r="E15" i="18"/>
  <c r="G15" i="18" s="1"/>
  <c r="F14" i="18"/>
  <c r="H14" i="18" s="1"/>
  <c r="L14" i="18" s="1"/>
  <c r="E14" i="18"/>
  <c r="G14" i="18" s="1"/>
  <c r="H13" i="18"/>
  <c r="L13" i="18" s="1"/>
  <c r="E13" i="18"/>
  <c r="G13" i="18" s="1"/>
  <c r="L12" i="18"/>
  <c r="H12" i="18"/>
  <c r="E12" i="18"/>
  <c r="G12" i="18" s="1"/>
  <c r="H11" i="18"/>
  <c r="L11" i="18" s="1"/>
  <c r="G11" i="18"/>
  <c r="L10" i="18"/>
  <c r="H10" i="18"/>
  <c r="G10" i="18"/>
  <c r="K10" i="18" s="1"/>
  <c r="M10" i="18" s="1"/>
  <c r="F15" i="17"/>
  <c r="H15" i="17" s="1"/>
  <c r="L15" i="17" s="1"/>
  <c r="E15" i="17"/>
  <c r="G15" i="17" s="1"/>
  <c r="H14" i="17"/>
  <c r="L14" i="17" s="1"/>
  <c r="G14" i="17"/>
  <c r="F14" i="17"/>
  <c r="E14" i="17"/>
  <c r="L13" i="17"/>
  <c r="H13" i="17"/>
  <c r="G13" i="17"/>
  <c r="H12" i="17"/>
  <c r="L12" i="17" s="1"/>
  <c r="G12" i="17"/>
  <c r="K12" i="17" s="1"/>
  <c r="H11" i="17"/>
  <c r="L11" i="17" s="1"/>
  <c r="K11" i="17" s="1"/>
  <c r="G11" i="17"/>
  <c r="H10" i="17"/>
  <c r="L10" i="17" s="1"/>
  <c r="K10" i="17" s="1"/>
  <c r="M10" i="17" s="1"/>
  <c r="M11" i="17" s="1"/>
  <c r="M12" i="17" s="1"/>
  <c r="G10" i="17"/>
  <c r="F15" i="16"/>
  <c r="H15" i="16" s="1"/>
  <c r="L15" i="16" s="1"/>
  <c r="E15" i="16"/>
  <c r="G15" i="16" s="1"/>
  <c r="K15" i="16" s="1"/>
  <c r="H14" i="16"/>
  <c r="L14" i="16" s="1"/>
  <c r="F14" i="16"/>
  <c r="E14" i="16"/>
  <c r="G14" i="16" s="1"/>
  <c r="H13" i="16"/>
  <c r="L13" i="16" s="1"/>
  <c r="E13" i="16"/>
  <c r="G13" i="16" s="1"/>
  <c r="K13" i="16" s="1"/>
  <c r="H12" i="16"/>
  <c r="L12" i="16" s="1"/>
  <c r="E12" i="16"/>
  <c r="G12" i="16" s="1"/>
  <c r="H11" i="16"/>
  <c r="L11" i="16" s="1"/>
  <c r="E11" i="16"/>
  <c r="G11" i="16" s="1"/>
  <c r="H10" i="16"/>
  <c r="L10" i="16" s="1"/>
  <c r="K10" i="16" s="1"/>
  <c r="M10" i="16" s="1"/>
  <c r="G10" i="16"/>
  <c r="F15" i="23" l="1"/>
  <c r="H15" i="23" s="1"/>
  <c r="L15" i="23" s="1"/>
  <c r="K15" i="26"/>
  <c r="K10" i="20"/>
  <c r="M10" i="20" s="1"/>
  <c r="M11" i="20" s="1"/>
  <c r="M12" i="20" s="1"/>
  <c r="K12" i="20"/>
  <c r="K10" i="24"/>
  <c r="M10" i="24" s="1"/>
  <c r="M11" i="24" s="1"/>
  <c r="K12" i="24"/>
  <c r="K10" i="25"/>
  <c r="M10" i="25" s="1"/>
  <c r="F41" i="25"/>
  <c r="H41" i="25" s="1"/>
  <c r="K13" i="19"/>
  <c r="M11" i="23"/>
  <c r="M12" i="23" s="1"/>
  <c r="M13" i="23" s="1"/>
  <c r="K12" i="16"/>
  <c r="K15" i="17"/>
  <c r="K11" i="18"/>
  <c r="M11" i="18" s="1"/>
  <c r="M12" i="18" s="1"/>
  <c r="M13" i="18" s="1"/>
  <c r="M14" i="18" s="1"/>
  <c r="M15" i="18" s="1"/>
  <c r="K11" i="19"/>
  <c r="K11" i="21"/>
  <c r="K13" i="21"/>
  <c r="K14" i="25"/>
  <c r="K11" i="26"/>
  <c r="K10" i="22"/>
  <c r="M10" i="22" s="1"/>
  <c r="M11" i="22" s="1"/>
  <c r="M12" i="22" s="1"/>
  <c r="K13" i="17"/>
  <c r="M13" i="17" s="1"/>
  <c r="K12" i="18"/>
  <c r="K14" i="22"/>
  <c r="K11" i="23"/>
  <c r="K13" i="23"/>
  <c r="K10" i="19"/>
  <c r="M10" i="19" s="1"/>
  <c r="F43" i="25"/>
  <c r="K10" i="26"/>
  <c r="M10" i="26" s="1"/>
  <c r="M11" i="26" s="1"/>
  <c r="M12" i="26" s="1"/>
  <c r="M13" i="26" s="1"/>
  <c r="K14" i="26"/>
  <c r="H43" i="25"/>
  <c r="H48" i="25"/>
  <c r="H50" i="25" s="1"/>
  <c r="M11" i="25"/>
  <c r="M12" i="25" s="1"/>
  <c r="K13" i="25"/>
  <c r="K14" i="24"/>
  <c r="K15" i="23"/>
  <c r="G14" i="23"/>
  <c r="K14" i="23" s="1"/>
  <c r="M14" i="23" s="1"/>
  <c r="M15" i="23" s="1"/>
  <c r="K13" i="22"/>
  <c r="M13" i="22" s="1"/>
  <c r="M14" i="22" s="1"/>
  <c r="M15" i="22" s="1"/>
  <c r="K15" i="22"/>
  <c r="K10" i="21"/>
  <c r="M10" i="21" s="1"/>
  <c r="M11" i="21" s="1"/>
  <c r="M12" i="21" s="1"/>
  <c r="M13" i="21" s="1"/>
  <c r="K14" i="21"/>
  <c r="K15" i="21"/>
  <c r="M13" i="20"/>
  <c r="K15" i="20"/>
  <c r="K14" i="20"/>
  <c r="K14" i="19"/>
  <c r="K15" i="19"/>
  <c r="K13" i="18"/>
  <c r="K14" i="18"/>
  <c r="K15" i="18"/>
  <c r="K14" i="17"/>
  <c r="K11" i="16"/>
  <c r="M11" i="16" s="1"/>
  <c r="M12" i="16" s="1"/>
  <c r="M13" i="16" s="1"/>
  <c r="K14" i="16"/>
  <c r="M12" i="24" l="1"/>
  <c r="M13" i="24" s="1"/>
  <c r="M14" i="24" s="1"/>
  <c r="M15" i="24" s="1"/>
  <c r="M14" i="16"/>
  <c r="M15" i="16" s="1"/>
  <c r="M14" i="17"/>
  <c r="M15" i="17" s="1"/>
  <c r="M11" i="19"/>
  <c r="M12" i="19" s="1"/>
  <c r="M13" i="19" s="1"/>
  <c r="M14" i="19" s="1"/>
  <c r="M15" i="19" s="1"/>
  <c r="M14" i="26"/>
  <c r="M15" i="26" s="1"/>
  <c r="H44" i="25"/>
  <c r="H45" i="25" s="1"/>
  <c r="M13" i="25"/>
  <c r="M14" i="25" s="1"/>
  <c r="M15" i="25" s="1"/>
  <c r="M14" i="21"/>
  <c r="M15" i="21" s="1"/>
  <c r="M14" i="20"/>
  <c r="M15" i="20" s="1"/>
  <c r="F47" i="26" l="1"/>
  <c r="H47" i="26" s="1"/>
  <c r="D47" i="26"/>
  <c r="F41" i="26"/>
  <c r="H41" i="26" s="1"/>
  <c r="H42" i="26" s="1"/>
  <c r="H33" i="26"/>
  <c r="L33" i="26" s="1"/>
  <c r="E33" i="26"/>
  <c r="G33" i="26" s="1"/>
  <c r="H32" i="26"/>
  <c r="L32" i="26" s="1"/>
  <c r="E32" i="26"/>
  <c r="G32" i="26" s="1"/>
  <c r="K32" i="26" s="1"/>
  <c r="H31" i="26"/>
  <c r="L31" i="26" s="1"/>
  <c r="G31" i="26"/>
  <c r="K31" i="26" s="1"/>
  <c r="L30" i="26"/>
  <c r="H30" i="26"/>
  <c r="G30" i="26"/>
  <c r="H29" i="26"/>
  <c r="L29" i="26" s="1"/>
  <c r="G29" i="26"/>
  <c r="H28" i="26"/>
  <c r="L28" i="26" s="1"/>
  <c r="K28" i="26" s="1"/>
  <c r="G28" i="26"/>
  <c r="E58" i="27"/>
  <c r="H57" i="27"/>
  <c r="F57" i="27"/>
  <c r="C57" i="27"/>
  <c r="C58" i="27" s="1"/>
  <c r="F56" i="27"/>
  <c r="H56" i="27" s="1"/>
  <c r="F55" i="27"/>
  <c r="H55" i="27" s="1"/>
  <c r="F54" i="27"/>
  <c r="H54" i="27" s="1"/>
  <c r="F53" i="27"/>
  <c r="H53" i="27" s="1"/>
  <c r="D52" i="27"/>
  <c r="F52" i="27" s="1"/>
  <c r="H52" i="27" s="1"/>
  <c r="E47" i="27"/>
  <c r="C47" i="27"/>
  <c r="F46" i="27"/>
  <c r="H46" i="27" s="1"/>
  <c r="F45" i="27"/>
  <c r="H45" i="27" s="1"/>
  <c r="F44" i="27"/>
  <c r="H44" i="27" s="1"/>
  <c r="F43" i="27"/>
  <c r="H43" i="27" s="1"/>
  <c r="F42" i="27"/>
  <c r="H42" i="27" s="1"/>
  <c r="F41" i="27"/>
  <c r="H41" i="27" s="1"/>
  <c r="H47" i="27" s="1"/>
  <c r="H33" i="27"/>
  <c r="L33" i="27" s="1"/>
  <c r="E33" i="27"/>
  <c r="G33" i="27" s="1"/>
  <c r="K33" i="27" s="1"/>
  <c r="H32" i="27"/>
  <c r="L32" i="27" s="1"/>
  <c r="E32" i="27"/>
  <c r="G32" i="27" s="1"/>
  <c r="K32" i="27" s="1"/>
  <c r="F31" i="27"/>
  <c r="H31" i="27" s="1"/>
  <c r="L31" i="27" s="1"/>
  <c r="E31" i="27"/>
  <c r="G31" i="27" s="1"/>
  <c r="H30" i="27"/>
  <c r="L30" i="27" s="1"/>
  <c r="G30" i="27"/>
  <c r="K30" i="27" s="1"/>
  <c r="H29" i="27"/>
  <c r="L29" i="27" s="1"/>
  <c r="G29" i="27"/>
  <c r="H28" i="27"/>
  <c r="L28" i="27" s="1"/>
  <c r="G28" i="27"/>
  <c r="H33" i="25"/>
  <c r="L33" i="25" s="1"/>
  <c r="H51" i="25" s="1"/>
  <c r="E33" i="25"/>
  <c r="G33" i="25" s="1"/>
  <c r="K33" i="25" s="1"/>
  <c r="H46" i="25" s="1"/>
  <c r="L32" i="25"/>
  <c r="H32" i="25"/>
  <c r="E32" i="25"/>
  <c r="G32" i="25" s="1"/>
  <c r="H31" i="25"/>
  <c r="L31" i="25" s="1"/>
  <c r="G31" i="25"/>
  <c r="H30" i="25"/>
  <c r="L30" i="25" s="1"/>
  <c r="K30" i="25" s="1"/>
  <c r="G30" i="25"/>
  <c r="H29" i="25"/>
  <c r="L29" i="25" s="1"/>
  <c r="K29" i="25" s="1"/>
  <c r="G29" i="25"/>
  <c r="L28" i="25"/>
  <c r="H28" i="25"/>
  <c r="G28" i="25"/>
  <c r="E95" i="24"/>
  <c r="C95" i="24"/>
  <c r="F94" i="24"/>
  <c r="H94" i="24" s="1"/>
  <c r="C94" i="24"/>
  <c r="F93" i="24"/>
  <c r="H93" i="24" s="1"/>
  <c r="F92" i="24"/>
  <c r="H92" i="24" s="1"/>
  <c r="F91" i="24"/>
  <c r="H91" i="24" s="1"/>
  <c r="F90" i="24"/>
  <c r="H90" i="24" s="1"/>
  <c r="F89" i="24"/>
  <c r="H89" i="24" s="1"/>
  <c r="F88" i="24"/>
  <c r="H88" i="24" s="1"/>
  <c r="F87" i="24"/>
  <c r="H87" i="24" s="1"/>
  <c r="F86" i="24"/>
  <c r="H86" i="24" s="1"/>
  <c r="F85" i="24"/>
  <c r="H85" i="24" s="1"/>
  <c r="F84" i="24"/>
  <c r="H84" i="24" s="1"/>
  <c r="F83" i="24"/>
  <c r="H83" i="24" s="1"/>
  <c r="F82" i="24"/>
  <c r="H82" i="24" s="1"/>
  <c r="F81" i="24"/>
  <c r="H81" i="24" s="1"/>
  <c r="F80" i="24"/>
  <c r="H80" i="24" s="1"/>
  <c r="F79" i="24"/>
  <c r="H79" i="24" s="1"/>
  <c r="F78" i="24"/>
  <c r="H78" i="24" s="1"/>
  <c r="F77" i="24"/>
  <c r="H77" i="24" s="1"/>
  <c r="F76" i="24"/>
  <c r="H76" i="24" s="1"/>
  <c r="F75" i="24"/>
  <c r="H75" i="24" s="1"/>
  <c r="F74" i="24"/>
  <c r="H74" i="24" s="1"/>
  <c r="F73" i="24"/>
  <c r="H73" i="24" s="1"/>
  <c r="F72" i="24"/>
  <c r="H72" i="24" s="1"/>
  <c r="F71" i="24"/>
  <c r="F95" i="24" s="1"/>
  <c r="D71" i="24"/>
  <c r="E66" i="24"/>
  <c r="C66" i="24"/>
  <c r="F65" i="24"/>
  <c r="H65" i="24" s="1"/>
  <c r="F64" i="24"/>
  <c r="H64" i="24" s="1"/>
  <c r="F63" i="24"/>
  <c r="H63" i="24" s="1"/>
  <c r="F62" i="24"/>
  <c r="H62" i="24" s="1"/>
  <c r="F61" i="24"/>
  <c r="H61" i="24" s="1"/>
  <c r="F60" i="24"/>
  <c r="H60" i="24" s="1"/>
  <c r="F59" i="24"/>
  <c r="H59" i="24" s="1"/>
  <c r="F58" i="24"/>
  <c r="H58" i="24" s="1"/>
  <c r="F57" i="24"/>
  <c r="H57" i="24" s="1"/>
  <c r="F56" i="24"/>
  <c r="H56" i="24" s="1"/>
  <c r="F55" i="24"/>
  <c r="H55" i="24" s="1"/>
  <c r="F54" i="24"/>
  <c r="H54" i="24" s="1"/>
  <c r="F53" i="24"/>
  <c r="H53" i="24" s="1"/>
  <c r="F52" i="24"/>
  <c r="H52" i="24" s="1"/>
  <c r="F51" i="24"/>
  <c r="H51" i="24" s="1"/>
  <c r="F50" i="24"/>
  <c r="H50" i="24" s="1"/>
  <c r="F49" i="24"/>
  <c r="H49" i="24" s="1"/>
  <c r="F48" i="24"/>
  <c r="H48" i="24" s="1"/>
  <c r="F47" i="24"/>
  <c r="H47" i="24" s="1"/>
  <c r="F46" i="24"/>
  <c r="H46" i="24" s="1"/>
  <c r="F45" i="24"/>
  <c r="H45" i="24" s="1"/>
  <c r="F44" i="24"/>
  <c r="H44" i="24" s="1"/>
  <c r="F43" i="24"/>
  <c r="H43" i="24" s="1"/>
  <c r="F42" i="24"/>
  <c r="H42" i="24" s="1"/>
  <c r="F41" i="24"/>
  <c r="H41" i="24" s="1"/>
  <c r="L33" i="24"/>
  <c r="H33" i="24"/>
  <c r="E33" i="24"/>
  <c r="G33" i="24" s="1"/>
  <c r="H32" i="24"/>
  <c r="L32" i="24" s="1"/>
  <c r="E32" i="24"/>
  <c r="G32" i="24" s="1"/>
  <c r="G31" i="24"/>
  <c r="F31" i="24"/>
  <c r="H31" i="24" s="1"/>
  <c r="L31" i="24" s="1"/>
  <c r="E31" i="24"/>
  <c r="F30" i="24"/>
  <c r="H30" i="24" s="1"/>
  <c r="L30" i="24" s="1"/>
  <c r="E30" i="24"/>
  <c r="G30" i="24" s="1"/>
  <c r="H29" i="24"/>
  <c r="L29" i="24" s="1"/>
  <c r="E29" i="24"/>
  <c r="G29" i="24" s="1"/>
  <c r="K29" i="24" s="1"/>
  <c r="H28" i="24"/>
  <c r="L28" i="24" s="1"/>
  <c r="E28" i="24"/>
  <c r="G28" i="24" s="1"/>
  <c r="E54" i="23"/>
  <c r="C54" i="23"/>
  <c r="F53" i="23"/>
  <c r="H53" i="23" s="1"/>
  <c r="F52" i="23"/>
  <c r="H52" i="23" s="1"/>
  <c r="F51" i="23"/>
  <c r="H51" i="23" s="1"/>
  <c r="D50" i="23"/>
  <c r="F50" i="23" s="1"/>
  <c r="E45" i="23"/>
  <c r="C45" i="23"/>
  <c r="F44" i="23"/>
  <c r="H44" i="23" s="1"/>
  <c r="F43" i="23"/>
  <c r="H43" i="23" s="1"/>
  <c r="F42" i="23"/>
  <c r="H42" i="23" s="1"/>
  <c r="F41" i="23"/>
  <c r="H41" i="23" s="1"/>
  <c r="H33" i="23"/>
  <c r="L33" i="23" s="1"/>
  <c r="G33" i="23"/>
  <c r="H32" i="23"/>
  <c r="L32" i="23" s="1"/>
  <c r="E32" i="23"/>
  <c r="G32" i="23" s="1"/>
  <c r="H31" i="23"/>
  <c r="L31" i="23" s="1"/>
  <c r="G31" i="23"/>
  <c r="H30" i="23"/>
  <c r="L30" i="23" s="1"/>
  <c r="G30" i="23"/>
  <c r="H29" i="23"/>
  <c r="L29" i="23" s="1"/>
  <c r="G29" i="23"/>
  <c r="K29" i="23" s="1"/>
  <c r="H28" i="23"/>
  <c r="L28" i="23" s="1"/>
  <c r="G28" i="23"/>
  <c r="E50" i="22"/>
  <c r="C50" i="22"/>
  <c r="F49" i="22"/>
  <c r="H49" i="22" s="1"/>
  <c r="D48" i="22"/>
  <c r="F48" i="22" s="1"/>
  <c r="F50" i="22" s="1"/>
  <c r="E43" i="22"/>
  <c r="C43" i="22"/>
  <c r="F42" i="22"/>
  <c r="H42" i="22" s="1"/>
  <c r="F41" i="22"/>
  <c r="H33" i="22"/>
  <c r="L33" i="22" s="1"/>
  <c r="E33" i="22"/>
  <c r="G33" i="22" s="1"/>
  <c r="K33" i="22" s="1"/>
  <c r="H32" i="22"/>
  <c r="L32" i="22" s="1"/>
  <c r="E32" i="22"/>
  <c r="G32" i="22" s="1"/>
  <c r="K32" i="22" s="1"/>
  <c r="H31" i="22"/>
  <c r="L31" i="22" s="1"/>
  <c r="G31" i="22"/>
  <c r="H30" i="22"/>
  <c r="L30" i="22" s="1"/>
  <c r="E30" i="22"/>
  <c r="G30" i="22" s="1"/>
  <c r="H29" i="22"/>
  <c r="L29" i="22" s="1"/>
  <c r="G29" i="22"/>
  <c r="K29" i="22" s="1"/>
  <c r="H28" i="22"/>
  <c r="L28" i="22" s="1"/>
  <c r="G28" i="22"/>
  <c r="K28" i="22" s="1"/>
  <c r="E52" i="21"/>
  <c r="C52" i="21"/>
  <c r="H51" i="21"/>
  <c r="F51" i="21"/>
  <c r="F50" i="21"/>
  <c r="H50" i="21" s="1"/>
  <c r="D49" i="21"/>
  <c r="F49" i="21" s="1"/>
  <c r="C44" i="21"/>
  <c r="E43" i="21"/>
  <c r="F43" i="21" s="1"/>
  <c r="H43" i="21" s="1"/>
  <c r="F42" i="21"/>
  <c r="H42" i="21" s="1"/>
  <c r="F41" i="21"/>
  <c r="L33" i="21"/>
  <c r="H33" i="21"/>
  <c r="E33" i="21"/>
  <c r="G33" i="21" s="1"/>
  <c r="H32" i="21"/>
  <c r="L32" i="21" s="1"/>
  <c r="E32" i="21"/>
  <c r="G32" i="21" s="1"/>
  <c r="F31" i="21"/>
  <c r="H31" i="21" s="1"/>
  <c r="L31" i="21" s="1"/>
  <c r="E31" i="21"/>
  <c r="G31" i="21" s="1"/>
  <c r="H30" i="21"/>
  <c r="L30" i="21" s="1"/>
  <c r="G30" i="21"/>
  <c r="H29" i="21"/>
  <c r="L29" i="21" s="1"/>
  <c r="K29" i="21" s="1"/>
  <c r="G29" i="21"/>
  <c r="H28" i="21"/>
  <c r="L28" i="21" s="1"/>
  <c r="G28" i="21"/>
  <c r="H33" i="20"/>
  <c r="L33" i="20" s="1"/>
  <c r="G33" i="20"/>
  <c r="H32" i="20"/>
  <c r="L32" i="20" s="1"/>
  <c r="G32" i="20"/>
  <c r="H31" i="20"/>
  <c r="L31" i="20" s="1"/>
  <c r="G31" i="20"/>
  <c r="H30" i="20"/>
  <c r="L30" i="20" s="1"/>
  <c r="G30" i="20"/>
  <c r="H29" i="20"/>
  <c r="L29" i="20" s="1"/>
  <c r="G29" i="20"/>
  <c r="E29" i="20"/>
  <c r="H28" i="20"/>
  <c r="L28" i="20" s="1"/>
  <c r="G28" i="20"/>
  <c r="E112" i="19"/>
  <c r="C112" i="19"/>
  <c r="F111" i="19"/>
  <c r="H111" i="19" s="1"/>
  <c r="F110" i="19"/>
  <c r="H110" i="19" s="1"/>
  <c r="F109" i="19"/>
  <c r="H109" i="19" s="1"/>
  <c r="F108" i="19"/>
  <c r="H108" i="19" s="1"/>
  <c r="F107" i="19"/>
  <c r="H107" i="19" s="1"/>
  <c r="F106" i="19"/>
  <c r="H106" i="19" s="1"/>
  <c r="F105" i="19"/>
  <c r="H105" i="19" s="1"/>
  <c r="F104" i="19"/>
  <c r="H104" i="19" s="1"/>
  <c r="F103" i="19"/>
  <c r="H103" i="19" s="1"/>
  <c r="F102" i="19"/>
  <c r="H102" i="19" s="1"/>
  <c r="F101" i="19"/>
  <c r="H101" i="19" s="1"/>
  <c r="F100" i="19"/>
  <c r="H100" i="19" s="1"/>
  <c r="F99" i="19"/>
  <c r="H99" i="19" s="1"/>
  <c r="F98" i="19"/>
  <c r="H98" i="19" s="1"/>
  <c r="F97" i="19"/>
  <c r="H97" i="19" s="1"/>
  <c r="F96" i="19"/>
  <c r="H96" i="19" s="1"/>
  <c r="F95" i="19"/>
  <c r="H95" i="19" s="1"/>
  <c r="F94" i="19"/>
  <c r="H94" i="19" s="1"/>
  <c r="F93" i="19"/>
  <c r="H93" i="19" s="1"/>
  <c r="F92" i="19"/>
  <c r="H92" i="19" s="1"/>
  <c r="F91" i="19"/>
  <c r="H91" i="19" s="1"/>
  <c r="F90" i="19"/>
  <c r="H90" i="19" s="1"/>
  <c r="F89" i="19"/>
  <c r="H89" i="19" s="1"/>
  <c r="F88" i="19"/>
  <c r="H88" i="19" s="1"/>
  <c r="F87" i="19"/>
  <c r="H87" i="19" s="1"/>
  <c r="F86" i="19"/>
  <c r="H86" i="19" s="1"/>
  <c r="F85" i="19"/>
  <c r="H85" i="19" s="1"/>
  <c r="F84" i="19"/>
  <c r="H84" i="19" s="1"/>
  <c r="F83" i="19"/>
  <c r="H83" i="19" s="1"/>
  <c r="F82" i="19"/>
  <c r="H82" i="19" s="1"/>
  <c r="F81" i="19"/>
  <c r="H81" i="19" s="1"/>
  <c r="F80" i="19"/>
  <c r="H80" i="19" s="1"/>
  <c r="D79" i="19"/>
  <c r="F79" i="19" s="1"/>
  <c r="H79" i="19" s="1"/>
  <c r="H112" i="19" s="1"/>
  <c r="H113" i="19" s="1"/>
  <c r="E74" i="19"/>
  <c r="C74" i="19"/>
  <c r="E73" i="19"/>
  <c r="F73" i="19" s="1"/>
  <c r="H73" i="19" s="1"/>
  <c r="H72" i="19"/>
  <c r="F72" i="19"/>
  <c r="F71" i="19"/>
  <c r="H71" i="19" s="1"/>
  <c r="F70" i="19"/>
  <c r="H70" i="19" s="1"/>
  <c r="F69" i="19"/>
  <c r="H69" i="19" s="1"/>
  <c r="H68" i="19"/>
  <c r="F68" i="19"/>
  <c r="F67" i="19"/>
  <c r="H67" i="19" s="1"/>
  <c r="F66" i="19"/>
  <c r="H66" i="19" s="1"/>
  <c r="F65" i="19"/>
  <c r="H65" i="19" s="1"/>
  <c r="F64" i="19"/>
  <c r="H64" i="19" s="1"/>
  <c r="F63" i="19"/>
  <c r="H63" i="19" s="1"/>
  <c r="F62" i="19"/>
  <c r="H62" i="19" s="1"/>
  <c r="F61" i="19"/>
  <c r="H61" i="19" s="1"/>
  <c r="H60" i="19"/>
  <c r="F60" i="19"/>
  <c r="F59" i="19"/>
  <c r="H59" i="19" s="1"/>
  <c r="H58" i="19"/>
  <c r="F58" i="19"/>
  <c r="F57" i="19"/>
  <c r="H57" i="19" s="1"/>
  <c r="H56" i="19"/>
  <c r="F56" i="19"/>
  <c r="F55" i="19"/>
  <c r="H55" i="19" s="1"/>
  <c r="F54" i="19"/>
  <c r="H54" i="19" s="1"/>
  <c r="F53" i="19"/>
  <c r="H53" i="19" s="1"/>
  <c r="H52" i="19"/>
  <c r="F52" i="19"/>
  <c r="F51" i="19"/>
  <c r="H51" i="19" s="1"/>
  <c r="F50" i="19"/>
  <c r="H50" i="19" s="1"/>
  <c r="F49" i="19"/>
  <c r="H49" i="19" s="1"/>
  <c r="F48" i="19"/>
  <c r="H48" i="19" s="1"/>
  <c r="F47" i="19"/>
  <c r="H47" i="19" s="1"/>
  <c r="F46" i="19"/>
  <c r="H46" i="19" s="1"/>
  <c r="F45" i="19"/>
  <c r="H45" i="19" s="1"/>
  <c r="H44" i="19"/>
  <c r="F44" i="19"/>
  <c r="F43" i="19"/>
  <c r="H43" i="19" s="1"/>
  <c r="H42" i="19"/>
  <c r="F42" i="19"/>
  <c r="F41" i="19"/>
  <c r="F33" i="19"/>
  <c r="H33" i="19" s="1"/>
  <c r="L33" i="19" s="1"/>
  <c r="E33" i="19"/>
  <c r="G33" i="19" s="1"/>
  <c r="H32" i="19"/>
  <c r="L32" i="19" s="1"/>
  <c r="E32" i="19"/>
  <c r="G32" i="19" s="1"/>
  <c r="H31" i="19"/>
  <c r="L31" i="19" s="1"/>
  <c r="E31" i="19"/>
  <c r="G31" i="19" s="1"/>
  <c r="H30" i="19"/>
  <c r="L30" i="19" s="1"/>
  <c r="G30" i="19"/>
  <c r="L29" i="19"/>
  <c r="H29" i="19"/>
  <c r="E29" i="19"/>
  <c r="G29" i="19" s="1"/>
  <c r="K29" i="19" s="1"/>
  <c r="H28" i="19"/>
  <c r="L28" i="19" s="1"/>
  <c r="G28" i="19"/>
  <c r="E69" i="18"/>
  <c r="F68" i="18"/>
  <c r="H68" i="18" s="1"/>
  <c r="C68" i="18"/>
  <c r="F67" i="18"/>
  <c r="H67" i="18" s="1"/>
  <c r="F66" i="18"/>
  <c r="H66" i="18" s="1"/>
  <c r="F65" i="18"/>
  <c r="H65" i="18" s="1"/>
  <c r="F64" i="18"/>
  <c r="H64" i="18" s="1"/>
  <c r="F63" i="18"/>
  <c r="H63" i="18" s="1"/>
  <c r="F62" i="18"/>
  <c r="H62" i="18" s="1"/>
  <c r="F61" i="18"/>
  <c r="H61" i="18" s="1"/>
  <c r="F60" i="18"/>
  <c r="H60" i="18" s="1"/>
  <c r="C60" i="18"/>
  <c r="C69" i="18" s="1"/>
  <c r="F59" i="18"/>
  <c r="H59" i="18" s="1"/>
  <c r="D58" i="18"/>
  <c r="F58" i="18" s="1"/>
  <c r="E52" i="18"/>
  <c r="F52" i="18" s="1"/>
  <c r="H52" i="18" s="1"/>
  <c r="F51" i="18"/>
  <c r="H51" i="18" s="1"/>
  <c r="F50" i="18"/>
  <c r="H50" i="18" s="1"/>
  <c r="F49" i="18"/>
  <c r="H49" i="18" s="1"/>
  <c r="F48" i="18"/>
  <c r="H48" i="18" s="1"/>
  <c r="F47" i="18"/>
  <c r="H47" i="18" s="1"/>
  <c r="F46" i="18"/>
  <c r="H46" i="18" s="1"/>
  <c r="F45" i="18"/>
  <c r="H45" i="18" s="1"/>
  <c r="F44" i="18"/>
  <c r="H44" i="18" s="1"/>
  <c r="F43" i="18"/>
  <c r="H43" i="18" s="1"/>
  <c r="C43" i="18"/>
  <c r="C53" i="18" s="1"/>
  <c r="F42" i="18"/>
  <c r="H42" i="18" s="1"/>
  <c r="H41" i="18"/>
  <c r="F41" i="18"/>
  <c r="H33" i="18"/>
  <c r="L33" i="18" s="1"/>
  <c r="E33" i="18"/>
  <c r="G33" i="18" s="1"/>
  <c r="H32" i="18"/>
  <c r="L32" i="18" s="1"/>
  <c r="G32" i="18"/>
  <c r="E32" i="18"/>
  <c r="L31" i="18"/>
  <c r="H31" i="18"/>
  <c r="G31" i="18"/>
  <c r="H30" i="18"/>
  <c r="L30" i="18" s="1"/>
  <c r="E30" i="18"/>
  <c r="G30" i="18" s="1"/>
  <c r="K30" i="18" s="1"/>
  <c r="L29" i="18"/>
  <c r="H29" i="18"/>
  <c r="E29" i="18"/>
  <c r="G29" i="18" s="1"/>
  <c r="K29" i="18" s="1"/>
  <c r="H28" i="18"/>
  <c r="L28" i="18" s="1"/>
  <c r="G28" i="18"/>
  <c r="E60" i="17"/>
  <c r="F59" i="17"/>
  <c r="H59" i="17" s="1"/>
  <c r="C59" i="17"/>
  <c r="F58" i="17"/>
  <c r="H58" i="17" s="1"/>
  <c r="C58" i="17"/>
  <c r="H57" i="17"/>
  <c r="F57" i="17"/>
  <c r="F56" i="17"/>
  <c r="H56" i="17" s="1"/>
  <c r="H55" i="17"/>
  <c r="F55" i="17"/>
  <c r="D54" i="17"/>
  <c r="F54" i="17" s="1"/>
  <c r="E49" i="17"/>
  <c r="H48" i="17"/>
  <c r="F48" i="17"/>
  <c r="F47" i="17"/>
  <c r="H47" i="17" s="1"/>
  <c r="H46" i="17"/>
  <c r="F46" i="17"/>
  <c r="C46" i="17"/>
  <c r="F45" i="17"/>
  <c r="H45" i="17" s="1"/>
  <c r="C45" i="17"/>
  <c r="C49" i="17" s="1"/>
  <c r="F44" i="17"/>
  <c r="H44" i="17" s="1"/>
  <c r="F43" i="17"/>
  <c r="L33" i="17"/>
  <c r="H33" i="17"/>
  <c r="G33" i="17"/>
  <c r="H32" i="17"/>
  <c r="L32" i="17" s="1"/>
  <c r="G32" i="17"/>
  <c r="K32" i="17" s="1"/>
  <c r="L31" i="17"/>
  <c r="H31" i="17"/>
  <c r="G31" i="17"/>
  <c r="H30" i="17"/>
  <c r="L30" i="17" s="1"/>
  <c r="G30" i="17"/>
  <c r="L29" i="17"/>
  <c r="H29" i="17"/>
  <c r="E29" i="17"/>
  <c r="G29" i="17" s="1"/>
  <c r="K29" i="17" s="1"/>
  <c r="H28" i="17"/>
  <c r="L28" i="17" s="1"/>
  <c r="E28" i="17"/>
  <c r="G28" i="17" s="1"/>
  <c r="E75" i="16"/>
  <c r="C75" i="16"/>
  <c r="F74" i="16"/>
  <c r="H74" i="16" s="1"/>
  <c r="F73" i="16"/>
  <c r="H73" i="16" s="1"/>
  <c r="F72" i="16"/>
  <c r="H72" i="16" s="1"/>
  <c r="F71" i="16"/>
  <c r="H71" i="16" s="1"/>
  <c r="F70" i="16"/>
  <c r="H70" i="16" s="1"/>
  <c r="F69" i="16"/>
  <c r="H69" i="16" s="1"/>
  <c r="F68" i="16"/>
  <c r="H68" i="16" s="1"/>
  <c r="F67" i="16"/>
  <c r="H67" i="16" s="1"/>
  <c r="F66" i="16"/>
  <c r="H66" i="16" s="1"/>
  <c r="F65" i="16"/>
  <c r="H65" i="16" s="1"/>
  <c r="F64" i="16"/>
  <c r="H64" i="16" s="1"/>
  <c r="F63" i="16"/>
  <c r="H63" i="16" s="1"/>
  <c r="F62" i="16"/>
  <c r="H62" i="16" s="1"/>
  <c r="D62" i="16"/>
  <c r="F56" i="16"/>
  <c r="H56" i="16" s="1"/>
  <c r="F55" i="16"/>
  <c r="H55" i="16" s="1"/>
  <c r="F54" i="16"/>
  <c r="H54" i="16" s="1"/>
  <c r="F53" i="16"/>
  <c r="H53" i="16" s="1"/>
  <c r="F52" i="16"/>
  <c r="H52" i="16" s="1"/>
  <c r="F51" i="16"/>
  <c r="H51" i="16" s="1"/>
  <c r="F50" i="16"/>
  <c r="H50" i="16" s="1"/>
  <c r="F49" i="16"/>
  <c r="H49" i="16" s="1"/>
  <c r="F48" i="16"/>
  <c r="H48" i="16" s="1"/>
  <c r="F47" i="16"/>
  <c r="H47" i="16" s="1"/>
  <c r="F46" i="16"/>
  <c r="H46" i="16" s="1"/>
  <c r="C46" i="16"/>
  <c r="F45" i="16"/>
  <c r="H45" i="16" s="1"/>
  <c r="C45" i="16"/>
  <c r="F44" i="16"/>
  <c r="H44" i="16" s="1"/>
  <c r="E43" i="16"/>
  <c r="F43" i="16" s="1"/>
  <c r="C43" i="16"/>
  <c r="C57" i="16" s="1"/>
  <c r="H33" i="16"/>
  <c r="L33" i="16" s="1"/>
  <c r="E33" i="16"/>
  <c r="G33" i="16" s="1"/>
  <c r="K33" i="16" s="1"/>
  <c r="H32" i="16"/>
  <c r="L32" i="16" s="1"/>
  <c r="G32" i="16"/>
  <c r="K32" i="16" s="1"/>
  <c r="H31" i="16"/>
  <c r="L31" i="16" s="1"/>
  <c r="G31" i="16"/>
  <c r="H30" i="16"/>
  <c r="L30" i="16" s="1"/>
  <c r="E30" i="16"/>
  <c r="G30" i="16" s="1"/>
  <c r="H29" i="16"/>
  <c r="L29" i="16" s="1"/>
  <c r="G29" i="16"/>
  <c r="H28" i="16"/>
  <c r="L28" i="16" s="1"/>
  <c r="G28" i="16"/>
  <c r="K31" i="19" l="1"/>
  <c r="K33" i="26"/>
  <c r="K31" i="17"/>
  <c r="F49" i="17"/>
  <c r="K28" i="18"/>
  <c r="K31" i="18"/>
  <c r="E53" i="18"/>
  <c r="F74" i="19"/>
  <c r="K32" i="20"/>
  <c r="K33" i="21"/>
  <c r="K33" i="24"/>
  <c r="K28" i="16"/>
  <c r="K31" i="16"/>
  <c r="H43" i="17"/>
  <c r="H49" i="17" s="1"/>
  <c r="F53" i="18"/>
  <c r="K30" i="22"/>
  <c r="F43" i="22"/>
  <c r="K31" i="27"/>
  <c r="C60" i="17"/>
  <c r="K30" i="21"/>
  <c r="F44" i="21"/>
  <c r="K31" i="22"/>
  <c r="K32" i="23"/>
  <c r="K28" i="25"/>
  <c r="K31" i="25"/>
  <c r="K29" i="26"/>
  <c r="K29" i="16"/>
  <c r="K32" i="18"/>
  <c r="K28" i="21"/>
  <c r="K28" i="24"/>
  <c r="H48" i="26"/>
  <c r="K33" i="17"/>
  <c r="K32" i="25"/>
  <c r="K30" i="26"/>
  <c r="K30" i="16"/>
  <c r="K30" i="17"/>
  <c r="K33" i="18"/>
  <c r="K30" i="19"/>
  <c r="K33" i="19"/>
  <c r="K31" i="20"/>
  <c r="K30" i="23"/>
  <c r="K33" i="23"/>
  <c r="K32" i="24"/>
  <c r="K29" i="27"/>
  <c r="K28" i="27"/>
  <c r="K28" i="20"/>
  <c r="H43" i="26"/>
  <c r="H44" i="26" s="1"/>
  <c r="H45" i="26" s="1"/>
  <c r="H58" i="27"/>
  <c r="H59" i="27" s="1"/>
  <c r="F47" i="27"/>
  <c r="F58" i="27"/>
  <c r="H66" i="24"/>
  <c r="H71" i="24"/>
  <c r="H95" i="24" s="1"/>
  <c r="H96" i="24" s="1"/>
  <c r="F66" i="24"/>
  <c r="K30" i="24"/>
  <c r="K31" i="24"/>
  <c r="H45" i="23"/>
  <c r="H50" i="23"/>
  <c r="H54" i="23" s="1"/>
  <c r="H55" i="23" s="1"/>
  <c r="F54" i="23"/>
  <c r="F45" i="23"/>
  <c r="K31" i="23"/>
  <c r="K28" i="23"/>
  <c r="H41" i="22"/>
  <c r="H43" i="22" s="1"/>
  <c r="H48" i="22"/>
  <c r="H50" i="22" s="1"/>
  <c r="H51" i="22" s="1"/>
  <c r="F52" i="21"/>
  <c r="H49" i="21"/>
  <c r="H52" i="21" s="1"/>
  <c r="H53" i="21" s="1"/>
  <c r="E44" i="21"/>
  <c r="H41" i="21"/>
  <c r="H44" i="21" s="1"/>
  <c r="K31" i="21"/>
  <c r="K32" i="21"/>
  <c r="K29" i="20"/>
  <c r="K30" i="20"/>
  <c r="K33" i="20"/>
  <c r="H75" i="19"/>
  <c r="F112" i="19"/>
  <c r="H41" i="19"/>
  <c r="H74" i="19" s="1"/>
  <c r="K28" i="19"/>
  <c r="K32" i="19"/>
  <c r="F69" i="18"/>
  <c r="H58" i="18"/>
  <c r="H69" i="18" s="1"/>
  <c r="H70" i="18" s="1"/>
  <c r="H53" i="18"/>
  <c r="H54" i="17"/>
  <c r="H60" i="17" s="1"/>
  <c r="F60" i="17"/>
  <c r="K28" i="17"/>
  <c r="H75" i="16"/>
  <c r="H76" i="16" s="1"/>
  <c r="F57" i="16"/>
  <c r="H43" i="16"/>
  <c r="H57" i="16" s="1"/>
  <c r="F75" i="16"/>
  <c r="E57" i="16"/>
  <c r="H76" i="19" l="1"/>
  <c r="H77" i="19" s="1"/>
  <c r="H48" i="27"/>
  <c r="H49" i="27" s="1"/>
  <c r="H50" i="27" s="1"/>
  <c r="H67" i="24"/>
  <c r="H68" i="24" s="1"/>
  <c r="H69" i="24" s="1"/>
  <c r="H46" i="23"/>
  <c r="H47" i="23"/>
  <c r="H48" i="23" s="1"/>
  <c r="H44" i="22"/>
  <c r="H45" i="22" s="1"/>
  <c r="H46" i="22" s="1"/>
  <c r="H45" i="21"/>
  <c r="H46" i="21" s="1"/>
  <c r="H47" i="21" s="1"/>
  <c r="H54" i="18"/>
  <c r="H55" i="18" s="1"/>
  <c r="H56" i="18" s="1"/>
  <c r="H61" i="17"/>
  <c r="H50" i="17"/>
  <c r="H51" i="17"/>
  <c r="H52" i="17" s="1"/>
  <c r="H58" i="16"/>
  <c r="H59" i="16" s="1"/>
  <c r="H60" i="16" s="1"/>
  <c r="H27" i="26" l="1"/>
  <c r="L27" i="26" s="1"/>
  <c r="K27" i="26" s="1"/>
  <c r="G27" i="26"/>
  <c r="L26" i="26"/>
  <c r="H26" i="26"/>
  <c r="G26" i="26"/>
  <c r="K26" i="26" s="1"/>
  <c r="H25" i="26"/>
  <c r="L25" i="26" s="1"/>
  <c r="G25" i="26"/>
  <c r="H24" i="26"/>
  <c r="L24" i="26" s="1"/>
  <c r="G24" i="26"/>
  <c r="H23" i="26"/>
  <c r="L23" i="26" s="1"/>
  <c r="G23" i="26"/>
  <c r="L22" i="26"/>
  <c r="H22" i="26"/>
  <c r="G22" i="26"/>
  <c r="K22" i="26" s="1"/>
  <c r="H27" i="27"/>
  <c r="L27" i="27" s="1"/>
  <c r="G27" i="27"/>
  <c r="H26" i="27"/>
  <c r="L26" i="27" s="1"/>
  <c r="G26" i="27"/>
  <c r="H25" i="27"/>
  <c r="L25" i="27" s="1"/>
  <c r="G25" i="27"/>
  <c r="H24" i="27"/>
  <c r="L24" i="27" s="1"/>
  <c r="K24" i="27" s="1"/>
  <c r="G24" i="27"/>
  <c r="L23" i="27"/>
  <c r="H23" i="27"/>
  <c r="G23" i="27"/>
  <c r="K23" i="27" s="1"/>
  <c r="H22" i="27"/>
  <c r="L22" i="27" s="1"/>
  <c r="G22" i="27"/>
  <c r="H27" i="25"/>
  <c r="L27" i="25" s="1"/>
  <c r="K27" i="25" s="1"/>
  <c r="G27" i="25"/>
  <c r="L26" i="25"/>
  <c r="H26" i="25"/>
  <c r="G26" i="25"/>
  <c r="H25" i="25"/>
  <c r="L25" i="25" s="1"/>
  <c r="G25" i="25"/>
  <c r="H24" i="25"/>
  <c r="L24" i="25" s="1"/>
  <c r="K24" i="25" s="1"/>
  <c r="G24" i="25"/>
  <c r="H23" i="25"/>
  <c r="L23" i="25" s="1"/>
  <c r="G23" i="25"/>
  <c r="H22" i="25"/>
  <c r="L22" i="25" s="1"/>
  <c r="G22" i="25"/>
  <c r="L27" i="24"/>
  <c r="H27" i="24"/>
  <c r="E27" i="24"/>
  <c r="G27" i="24" s="1"/>
  <c r="K27" i="24" s="1"/>
  <c r="H26" i="24"/>
  <c r="L26" i="24" s="1"/>
  <c r="E26" i="24"/>
  <c r="G26" i="24" s="1"/>
  <c r="H25" i="24"/>
  <c r="L25" i="24" s="1"/>
  <c r="E25" i="24"/>
  <c r="G25" i="24" s="1"/>
  <c r="H24" i="24"/>
  <c r="L24" i="24" s="1"/>
  <c r="E24" i="24"/>
  <c r="G24" i="24" s="1"/>
  <c r="H23" i="24"/>
  <c r="L23" i="24" s="1"/>
  <c r="G23" i="24"/>
  <c r="K23" i="24" s="1"/>
  <c r="E23" i="24"/>
  <c r="H22" i="24"/>
  <c r="L22" i="24" s="1"/>
  <c r="E22" i="24"/>
  <c r="G22" i="24" s="1"/>
  <c r="L27" i="23"/>
  <c r="H27" i="23"/>
  <c r="G27" i="23"/>
  <c r="L26" i="23"/>
  <c r="K26" i="23" s="1"/>
  <c r="H26" i="23"/>
  <c r="G26" i="23"/>
  <c r="H25" i="23"/>
  <c r="L25" i="23" s="1"/>
  <c r="G25" i="23"/>
  <c r="H24" i="23"/>
  <c r="L24" i="23" s="1"/>
  <c r="G24" i="23"/>
  <c r="H23" i="23"/>
  <c r="L23" i="23" s="1"/>
  <c r="K23" i="23" s="1"/>
  <c r="G23" i="23"/>
  <c r="H22" i="23"/>
  <c r="L22" i="23" s="1"/>
  <c r="G22" i="23"/>
  <c r="H27" i="22"/>
  <c r="L27" i="22" s="1"/>
  <c r="G27" i="22"/>
  <c r="G21" i="22"/>
  <c r="F21" i="22"/>
  <c r="H21" i="22" s="1"/>
  <c r="L21" i="22" s="1"/>
  <c r="G20" i="22"/>
  <c r="F20" i="22"/>
  <c r="H20" i="22" s="1"/>
  <c r="L20" i="22" s="1"/>
  <c r="K20" i="22" s="1"/>
  <c r="L26" i="22"/>
  <c r="H26" i="22"/>
  <c r="G26" i="22"/>
  <c r="K26" i="22" s="1"/>
  <c r="L25" i="22"/>
  <c r="H25" i="22"/>
  <c r="G25" i="22"/>
  <c r="H24" i="22"/>
  <c r="L24" i="22" s="1"/>
  <c r="G24" i="22"/>
  <c r="H23" i="22"/>
  <c r="L23" i="22" s="1"/>
  <c r="G23" i="22"/>
  <c r="L22" i="22"/>
  <c r="K22" i="22" s="1"/>
  <c r="H22" i="22"/>
  <c r="G22" i="22"/>
  <c r="H27" i="21"/>
  <c r="L27" i="21" s="1"/>
  <c r="G27" i="21"/>
  <c r="H26" i="21"/>
  <c r="L26" i="21" s="1"/>
  <c r="K26" i="21" s="1"/>
  <c r="G26" i="21"/>
  <c r="H25" i="21"/>
  <c r="L25" i="21" s="1"/>
  <c r="G25" i="21"/>
  <c r="H24" i="21"/>
  <c r="L24" i="21" s="1"/>
  <c r="G24" i="21"/>
  <c r="H23" i="21"/>
  <c r="L23" i="21" s="1"/>
  <c r="G23" i="21"/>
  <c r="H22" i="21"/>
  <c r="L22" i="21" s="1"/>
  <c r="G22" i="21"/>
  <c r="K22" i="21" s="1"/>
  <c r="L27" i="20"/>
  <c r="H27" i="20"/>
  <c r="G27" i="20"/>
  <c r="L26" i="20"/>
  <c r="H26" i="20"/>
  <c r="G26" i="20"/>
  <c r="H25" i="20"/>
  <c r="L25" i="20" s="1"/>
  <c r="G25" i="20"/>
  <c r="H24" i="20"/>
  <c r="L24" i="20" s="1"/>
  <c r="G24" i="20"/>
  <c r="H23" i="20"/>
  <c r="L23" i="20" s="1"/>
  <c r="G23" i="20"/>
  <c r="H22" i="20"/>
  <c r="L22" i="20" s="1"/>
  <c r="G22" i="20"/>
  <c r="H27" i="19"/>
  <c r="L27" i="19" s="1"/>
  <c r="G27" i="19"/>
  <c r="L26" i="19"/>
  <c r="K26" i="19"/>
  <c r="H26" i="19"/>
  <c r="G26" i="19"/>
  <c r="H25" i="19"/>
  <c r="L25" i="19" s="1"/>
  <c r="G25" i="19"/>
  <c r="H24" i="19"/>
  <c r="L24" i="19" s="1"/>
  <c r="G24" i="19"/>
  <c r="H23" i="19"/>
  <c r="L23" i="19" s="1"/>
  <c r="K23" i="19" s="1"/>
  <c r="G23" i="19"/>
  <c r="H22" i="19"/>
  <c r="L22" i="19" s="1"/>
  <c r="G22" i="19"/>
  <c r="H27" i="18"/>
  <c r="L27" i="18" s="1"/>
  <c r="E27" i="18"/>
  <c r="G27" i="18" s="1"/>
  <c r="H26" i="18"/>
  <c r="L26" i="18" s="1"/>
  <c r="E26" i="18"/>
  <c r="G26" i="18" s="1"/>
  <c r="H25" i="18"/>
  <c r="L25" i="18" s="1"/>
  <c r="G25" i="18"/>
  <c r="K25" i="18" s="1"/>
  <c r="H24" i="18"/>
  <c r="L24" i="18" s="1"/>
  <c r="G24" i="18"/>
  <c r="L23" i="18"/>
  <c r="H23" i="18"/>
  <c r="G23" i="18"/>
  <c r="K23" i="18" s="1"/>
  <c r="H22" i="18"/>
  <c r="L22" i="18" s="1"/>
  <c r="G22" i="18"/>
  <c r="H27" i="17"/>
  <c r="L27" i="17" s="1"/>
  <c r="G27" i="17"/>
  <c r="H26" i="17"/>
  <c r="L26" i="17" s="1"/>
  <c r="G26" i="17"/>
  <c r="H25" i="17"/>
  <c r="L25" i="17" s="1"/>
  <c r="G25" i="17"/>
  <c r="K25" i="17" s="1"/>
  <c r="H24" i="17"/>
  <c r="L24" i="17" s="1"/>
  <c r="G24" i="17"/>
  <c r="L23" i="17"/>
  <c r="H23" i="17"/>
  <c r="G23" i="17"/>
  <c r="K23" i="17" s="1"/>
  <c r="H22" i="17"/>
  <c r="L22" i="17" s="1"/>
  <c r="G22" i="17"/>
  <c r="L27" i="16"/>
  <c r="K27" i="16"/>
  <c r="H27" i="16"/>
  <c r="G27" i="16"/>
  <c r="H26" i="16"/>
  <c r="L26" i="16" s="1"/>
  <c r="G26" i="16"/>
  <c r="H25" i="16"/>
  <c r="L25" i="16" s="1"/>
  <c r="G25" i="16"/>
  <c r="H24" i="16"/>
  <c r="L24" i="16" s="1"/>
  <c r="K24" i="16" s="1"/>
  <c r="G24" i="16"/>
  <c r="H23" i="16"/>
  <c r="L23" i="16" s="1"/>
  <c r="G23" i="16"/>
  <c r="K23" i="16" s="1"/>
  <c r="H22" i="16"/>
  <c r="L22" i="16" s="1"/>
  <c r="G22" i="16"/>
  <c r="L15" i="27"/>
  <c r="H10" i="27"/>
  <c r="L10" i="27" s="1"/>
  <c r="K10" i="27" s="1"/>
  <c r="H11" i="27"/>
  <c r="L11" i="27" s="1"/>
  <c r="K11" i="27" s="1"/>
  <c r="H12" i="27"/>
  <c r="L12" i="27" s="1"/>
  <c r="K12" i="27" s="1"/>
  <c r="H13" i="27"/>
  <c r="L13" i="27" s="1"/>
  <c r="H14" i="27"/>
  <c r="L14" i="27" s="1"/>
  <c r="H15" i="27"/>
  <c r="G10" i="27"/>
  <c r="G11" i="27"/>
  <c r="G12" i="27"/>
  <c r="G13" i="27"/>
  <c r="K13" i="27" s="1"/>
  <c r="G14" i="27"/>
  <c r="K14" i="27" s="1"/>
  <c r="G15" i="27"/>
  <c r="K15" i="27" s="1"/>
  <c r="L21" i="27"/>
  <c r="H21" i="27"/>
  <c r="E21" i="27"/>
  <c r="G21" i="27" s="1"/>
  <c r="H20" i="27"/>
  <c r="L20" i="27" s="1"/>
  <c r="E20" i="27"/>
  <c r="G20" i="27" s="1"/>
  <c r="K20" i="27" s="1"/>
  <c r="H19" i="27"/>
  <c r="L19" i="27" s="1"/>
  <c r="G19" i="27"/>
  <c r="H18" i="27"/>
  <c r="L18" i="27" s="1"/>
  <c r="G18" i="27"/>
  <c r="H17" i="27"/>
  <c r="L17" i="27" s="1"/>
  <c r="G17" i="27"/>
  <c r="H16" i="27"/>
  <c r="L16" i="27" s="1"/>
  <c r="K16" i="27" s="1"/>
  <c r="G16" i="27"/>
  <c r="G21" i="26"/>
  <c r="F21" i="26"/>
  <c r="H21" i="26" s="1"/>
  <c r="L21" i="26" s="1"/>
  <c r="H20" i="26"/>
  <c r="L20" i="26" s="1"/>
  <c r="G20" i="26"/>
  <c r="F20" i="26"/>
  <c r="H19" i="26"/>
  <c r="L19" i="26" s="1"/>
  <c r="G19" i="26"/>
  <c r="H18" i="26"/>
  <c r="L18" i="26" s="1"/>
  <c r="K18" i="26" s="1"/>
  <c r="G18" i="26"/>
  <c r="H17" i="26"/>
  <c r="L17" i="26" s="1"/>
  <c r="G17" i="26"/>
  <c r="H16" i="26"/>
  <c r="L16" i="26" s="1"/>
  <c r="G16" i="26"/>
  <c r="G21" i="25"/>
  <c r="F21" i="25"/>
  <c r="H21" i="25" s="1"/>
  <c r="L21" i="25" s="1"/>
  <c r="G20" i="25"/>
  <c r="F20" i="25"/>
  <c r="H20" i="25" s="1"/>
  <c r="L20" i="25" s="1"/>
  <c r="K20" i="25" s="1"/>
  <c r="H19" i="25"/>
  <c r="L19" i="25" s="1"/>
  <c r="G19" i="25"/>
  <c r="H18" i="25"/>
  <c r="L18" i="25" s="1"/>
  <c r="G18" i="25"/>
  <c r="K18" i="25" s="1"/>
  <c r="H17" i="25"/>
  <c r="L17" i="25" s="1"/>
  <c r="G17" i="25"/>
  <c r="L16" i="25"/>
  <c r="H16" i="25"/>
  <c r="G16" i="25"/>
  <c r="K16" i="25" s="1"/>
  <c r="M16" i="25" s="1"/>
  <c r="G21" i="24"/>
  <c r="F21" i="24"/>
  <c r="H21" i="24" s="1"/>
  <c r="L21" i="24" s="1"/>
  <c r="K21" i="24" s="1"/>
  <c r="H20" i="24"/>
  <c r="L20" i="24" s="1"/>
  <c r="E20" i="24"/>
  <c r="G20" i="24" s="1"/>
  <c r="H19" i="24"/>
  <c r="L19" i="24" s="1"/>
  <c r="G19" i="24"/>
  <c r="L18" i="24"/>
  <c r="H18" i="24"/>
  <c r="G18" i="24"/>
  <c r="K18" i="24" s="1"/>
  <c r="H17" i="24"/>
  <c r="L17" i="24" s="1"/>
  <c r="G17" i="24"/>
  <c r="H16" i="24"/>
  <c r="L16" i="24" s="1"/>
  <c r="K16" i="24" s="1"/>
  <c r="M16" i="24" s="1"/>
  <c r="G16" i="24"/>
  <c r="G21" i="23"/>
  <c r="F21" i="23"/>
  <c r="H21" i="23" s="1"/>
  <c r="L21" i="23" s="1"/>
  <c r="H20" i="23"/>
  <c r="L20" i="23" s="1"/>
  <c r="G20" i="23"/>
  <c r="H19" i="23"/>
  <c r="L19" i="23" s="1"/>
  <c r="G19" i="23"/>
  <c r="K19" i="23" s="1"/>
  <c r="H18" i="23"/>
  <c r="L18" i="23" s="1"/>
  <c r="G18" i="23"/>
  <c r="H17" i="23"/>
  <c r="L17" i="23" s="1"/>
  <c r="K17" i="23" s="1"/>
  <c r="G17" i="23"/>
  <c r="H16" i="23"/>
  <c r="L16" i="23" s="1"/>
  <c r="G16" i="23"/>
  <c r="H19" i="22"/>
  <c r="L19" i="22" s="1"/>
  <c r="G19" i="22"/>
  <c r="H18" i="22"/>
  <c r="L18" i="22" s="1"/>
  <c r="G18" i="22"/>
  <c r="H17" i="22"/>
  <c r="L17" i="22" s="1"/>
  <c r="G17" i="22"/>
  <c r="H16" i="22"/>
  <c r="L16" i="22" s="1"/>
  <c r="G16" i="22"/>
  <c r="G21" i="21"/>
  <c r="F21" i="21"/>
  <c r="H21" i="21" s="1"/>
  <c r="L21" i="21" s="1"/>
  <c r="H20" i="21"/>
  <c r="L20" i="21" s="1"/>
  <c r="K20" i="21" s="1"/>
  <c r="G20" i="21"/>
  <c r="F20" i="21"/>
  <c r="H19" i="21"/>
  <c r="L19" i="21" s="1"/>
  <c r="G19" i="21"/>
  <c r="K19" i="21" s="1"/>
  <c r="H18" i="21"/>
  <c r="L18" i="21" s="1"/>
  <c r="G18" i="21"/>
  <c r="L17" i="21"/>
  <c r="K17" i="21" s="1"/>
  <c r="H17" i="21"/>
  <c r="G17" i="21"/>
  <c r="H16" i="21"/>
  <c r="L16" i="21" s="1"/>
  <c r="G16" i="21"/>
  <c r="G21" i="20"/>
  <c r="F21" i="20"/>
  <c r="H21" i="20" s="1"/>
  <c r="L21" i="20" s="1"/>
  <c r="H20" i="20"/>
  <c r="L20" i="20" s="1"/>
  <c r="G20" i="20"/>
  <c r="F20" i="20"/>
  <c r="H19" i="20"/>
  <c r="L19" i="20" s="1"/>
  <c r="G19" i="20"/>
  <c r="H18" i="20"/>
  <c r="L18" i="20" s="1"/>
  <c r="K18" i="20" s="1"/>
  <c r="G18" i="20"/>
  <c r="L17" i="20"/>
  <c r="H17" i="20"/>
  <c r="G17" i="20"/>
  <c r="H16" i="20"/>
  <c r="L16" i="20" s="1"/>
  <c r="G16" i="20"/>
  <c r="E16" i="20"/>
  <c r="G21" i="19"/>
  <c r="F21" i="19"/>
  <c r="H21" i="19" s="1"/>
  <c r="L21" i="19" s="1"/>
  <c r="H20" i="19"/>
  <c r="L20" i="19" s="1"/>
  <c r="K20" i="19" s="1"/>
  <c r="G20" i="19"/>
  <c r="F20" i="19"/>
  <c r="H19" i="19"/>
  <c r="L19" i="19" s="1"/>
  <c r="G19" i="19"/>
  <c r="H18" i="19"/>
  <c r="L18" i="19" s="1"/>
  <c r="E18" i="19"/>
  <c r="G18" i="19" s="1"/>
  <c r="H17" i="19"/>
  <c r="L17" i="19" s="1"/>
  <c r="G17" i="19"/>
  <c r="E17" i="19"/>
  <c r="L16" i="19"/>
  <c r="K16" i="19"/>
  <c r="M16" i="19" s="1"/>
  <c r="H16" i="19"/>
  <c r="G16" i="19"/>
  <c r="G21" i="18"/>
  <c r="F21" i="18"/>
  <c r="H21" i="18" s="1"/>
  <c r="L21" i="18" s="1"/>
  <c r="G20" i="18"/>
  <c r="F20" i="18"/>
  <c r="H20" i="18" s="1"/>
  <c r="L20" i="18" s="1"/>
  <c r="L19" i="18"/>
  <c r="H19" i="18"/>
  <c r="E19" i="18"/>
  <c r="G19" i="18" s="1"/>
  <c r="H18" i="18"/>
  <c r="L18" i="18" s="1"/>
  <c r="G18" i="18"/>
  <c r="H17" i="18"/>
  <c r="L17" i="18" s="1"/>
  <c r="E17" i="18"/>
  <c r="G17" i="18" s="1"/>
  <c r="H16" i="18"/>
  <c r="L16" i="18" s="1"/>
  <c r="G16" i="18"/>
  <c r="H21" i="17"/>
  <c r="L21" i="17" s="1"/>
  <c r="G21" i="17"/>
  <c r="H20" i="17"/>
  <c r="L20" i="17" s="1"/>
  <c r="G20" i="17"/>
  <c r="H19" i="17"/>
  <c r="L19" i="17" s="1"/>
  <c r="G19" i="17"/>
  <c r="H18" i="17"/>
  <c r="L18" i="17" s="1"/>
  <c r="G18" i="17"/>
  <c r="H17" i="17"/>
  <c r="L17" i="17" s="1"/>
  <c r="G17" i="17"/>
  <c r="K17" i="17" s="1"/>
  <c r="L16" i="17"/>
  <c r="H16" i="17"/>
  <c r="G16" i="17"/>
  <c r="H21" i="16"/>
  <c r="L21" i="16" s="1"/>
  <c r="G21" i="16"/>
  <c r="H20" i="16"/>
  <c r="L20" i="16" s="1"/>
  <c r="G20" i="16"/>
  <c r="H19" i="16"/>
  <c r="L19" i="16" s="1"/>
  <c r="G19" i="16"/>
  <c r="H18" i="16"/>
  <c r="L18" i="16" s="1"/>
  <c r="G18" i="16"/>
  <c r="H17" i="16"/>
  <c r="L17" i="16" s="1"/>
  <c r="G17" i="16"/>
  <c r="K17" i="16" s="1"/>
  <c r="H16" i="16"/>
  <c r="L16" i="16" s="1"/>
  <c r="G16" i="16"/>
  <c r="K22" i="19" l="1"/>
  <c r="K22" i="23"/>
  <c r="K22" i="16"/>
  <c r="K27" i="18"/>
  <c r="K20" i="26"/>
  <c r="K27" i="17"/>
  <c r="K23" i="20"/>
  <c r="K27" i="20"/>
  <c r="K23" i="21"/>
  <c r="K27" i="23"/>
  <c r="K23" i="25"/>
  <c r="K26" i="24"/>
  <c r="K26" i="27"/>
  <c r="K21" i="17"/>
  <c r="K20" i="16"/>
  <c r="K16" i="21"/>
  <c r="M16" i="21" s="1"/>
  <c r="M17" i="21" s="1"/>
  <c r="M18" i="21" s="1"/>
  <c r="M19" i="21" s="1"/>
  <c r="M20" i="21" s="1"/>
  <c r="M21" i="21" s="1"/>
  <c r="M22" i="21" s="1"/>
  <c r="M23" i="21" s="1"/>
  <c r="K18" i="21"/>
  <c r="K16" i="23"/>
  <c r="M16" i="23" s="1"/>
  <c r="M17" i="23" s="1"/>
  <c r="K17" i="25"/>
  <c r="K22" i="17"/>
  <c r="K24" i="17"/>
  <c r="K22" i="18"/>
  <c r="K24" i="18"/>
  <c r="K27" i="19"/>
  <c r="K24" i="20"/>
  <c r="K23" i="22"/>
  <c r="K25" i="23"/>
  <c r="K24" i="24"/>
  <c r="K23" i="26"/>
  <c r="K26" i="16"/>
  <c r="K19" i="19"/>
  <c r="K19" i="20"/>
  <c r="K20" i="23"/>
  <c r="K25" i="21"/>
  <c r="K27" i="21"/>
  <c r="K22" i="24"/>
  <c r="K18" i="19"/>
  <c r="K25" i="19"/>
  <c r="K17" i="20"/>
  <c r="K19" i="25"/>
  <c r="K26" i="17"/>
  <c r="K26" i="18"/>
  <c r="K22" i="20"/>
  <c r="K25" i="22"/>
  <c r="K22" i="27"/>
  <c r="K25" i="26"/>
  <c r="K19" i="26"/>
  <c r="K21" i="27"/>
  <c r="K26" i="20"/>
  <c r="K26" i="25"/>
  <c r="K21" i="18"/>
  <c r="K19" i="24"/>
  <c r="K17" i="26"/>
  <c r="K25" i="27"/>
  <c r="K25" i="25"/>
  <c r="K22" i="25"/>
  <c r="K24" i="26"/>
  <c r="K27" i="27"/>
  <c r="K25" i="24"/>
  <c r="K24" i="23"/>
  <c r="K27" i="22"/>
  <c r="K21" i="22"/>
  <c r="K24" i="22"/>
  <c r="K24" i="21"/>
  <c r="K25" i="20"/>
  <c r="K24" i="19"/>
  <c r="K25" i="16"/>
  <c r="K19" i="27"/>
  <c r="K18" i="27"/>
  <c r="K17" i="27"/>
  <c r="K21" i="26"/>
  <c r="K16" i="26"/>
  <c r="K21" i="25"/>
  <c r="M17" i="25"/>
  <c r="K20" i="24"/>
  <c r="K17" i="24"/>
  <c r="M17" i="24" s="1"/>
  <c r="M18" i="24" s="1"/>
  <c r="K21" i="23"/>
  <c r="K18" i="23"/>
  <c r="M18" i="23" s="1"/>
  <c r="M19" i="23" s="1"/>
  <c r="K17" i="22"/>
  <c r="K19" i="22"/>
  <c r="K16" i="22"/>
  <c r="M16" i="22" s="1"/>
  <c r="M17" i="22" s="1"/>
  <c r="K18" i="22"/>
  <c r="K21" i="21"/>
  <c r="K20" i="20"/>
  <c r="K21" i="20"/>
  <c r="K16" i="20"/>
  <c r="M16" i="20" s="1"/>
  <c r="M17" i="20" s="1"/>
  <c r="M18" i="20" s="1"/>
  <c r="M19" i="20" s="1"/>
  <c r="M20" i="20" s="1"/>
  <c r="M21" i="20" s="1"/>
  <c r="M22" i="20" s="1"/>
  <c r="M23" i="20" s="1"/>
  <c r="M24" i="20" s="1"/>
  <c r="K21" i="19"/>
  <c r="K17" i="19"/>
  <c r="M17" i="19"/>
  <c r="K16" i="18"/>
  <c r="M16" i="18" s="1"/>
  <c r="K19" i="18"/>
  <c r="K17" i="18"/>
  <c r="K20" i="18"/>
  <c r="K18" i="18"/>
  <c r="K20" i="17"/>
  <c r="K16" i="17"/>
  <c r="M16" i="17" s="1"/>
  <c r="M17" i="17" s="1"/>
  <c r="K18" i="17"/>
  <c r="K19" i="17"/>
  <c r="K21" i="16"/>
  <c r="K19" i="16"/>
  <c r="K16" i="16"/>
  <c r="M16" i="16" s="1"/>
  <c r="M17" i="16" s="1"/>
  <c r="K18" i="16"/>
  <c r="M20" i="23" l="1"/>
  <c r="M21" i="23" s="1"/>
  <c r="M22" i="23" s="1"/>
  <c r="M23" i="23" s="1"/>
  <c r="M24" i="23" s="1"/>
  <c r="M25" i="23" s="1"/>
  <c r="M26" i="23" s="1"/>
  <c r="M27" i="23" s="1"/>
  <c r="M19" i="24"/>
  <c r="M20" i="24" s="1"/>
  <c r="M21" i="24" s="1"/>
  <c r="M22" i="24" s="1"/>
  <c r="M23" i="24" s="1"/>
  <c r="M24" i="24" s="1"/>
  <c r="M25" i="24" s="1"/>
  <c r="M26" i="24" s="1"/>
  <c r="M27" i="24" s="1"/>
  <c r="M28" i="24" s="1"/>
  <c r="M29" i="24" s="1"/>
  <c r="M30" i="24" s="1"/>
  <c r="M31" i="24" s="1"/>
  <c r="M32" i="24" s="1"/>
  <c r="M33" i="24" s="1"/>
  <c r="M16" i="26"/>
  <c r="M17" i="26" s="1"/>
  <c r="M18" i="26" s="1"/>
  <c r="M19" i="26" s="1"/>
  <c r="M20" i="26" s="1"/>
  <c r="M21" i="26" s="1"/>
  <c r="M19" i="25"/>
  <c r="M20" i="25" s="1"/>
  <c r="M21" i="25" s="1"/>
  <c r="M22" i="25" s="1"/>
  <c r="M23" i="25" s="1"/>
  <c r="M24" i="25" s="1"/>
  <c r="M18" i="25"/>
  <c r="M18" i="19"/>
  <c r="M19" i="19" s="1"/>
  <c r="M20" i="19" s="1"/>
  <c r="M21" i="19" s="1"/>
  <c r="M22" i="19" s="1"/>
  <c r="M23" i="19" s="1"/>
  <c r="M24" i="19" s="1"/>
  <c r="M25" i="19" s="1"/>
  <c r="M26" i="19" s="1"/>
  <c r="M27" i="19" s="1"/>
  <c r="M28" i="19" s="1"/>
  <c r="M29" i="19" s="1"/>
  <c r="M30" i="19" s="1"/>
  <c r="M31" i="19" s="1"/>
  <c r="M32" i="19" s="1"/>
  <c r="M33" i="19" s="1"/>
  <c r="M24" i="21"/>
  <c r="M25" i="21" s="1"/>
  <c r="M26" i="21" s="1"/>
  <c r="M27" i="21" s="1"/>
  <c r="M28" i="21" s="1"/>
  <c r="M29" i="21" s="1"/>
  <c r="M30" i="21" s="1"/>
  <c r="M31" i="21" s="1"/>
  <c r="M32" i="21" s="1"/>
  <c r="M33" i="21" s="1"/>
  <c r="M25" i="20"/>
  <c r="M26" i="20" s="1"/>
  <c r="M27" i="20" s="1"/>
  <c r="M28" i="20" s="1"/>
  <c r="M29" i="20" s="1"/>
  <c r="M30" i="20" s="1"/>
  <c r="M31" i="20" s="1"/>
  <c r="M32" i="20" s="1"/>
  <c r="M33" i="20" s="1"/>
  <c r="M20" i="27"/>
  <c r="M21" i="27" s="1"/>
  <c r="M22" i="27" s="1"/>
  <c r="M23" i="27" s="1"/>
  <c r="M24" i="27" s="1"/>
  <c r="M25" i="27" s="1"/>
  <c r="M26" i="27" s="1"/>
  <c r="M27" i="27" s="1"/>
  <c r="M28" i="27" s="1"/>
  <c r="M29" i="27" s="1"/>
  <c r="M30" i="27" s="1"/>
  <c r="M31" i="27" s="1"/>
  <c r="M32" i="27" s="1"/>
  <c r="M33" i="27" s="1"/>
  <c r="M18" i="22"/>
  <c r="M19" i="22" s="1"/>
  <c r="M20" i="22" s="1"/>
  <c r="M21" i="22" s="1"/>
  <c r="M22" i="22" s="1"/>
  <c r="M23" i="22" s="1"/>
  <c r="M24" i="22" s="1"/>
  <c r="M25" i="22" s="1"/>
  <c r="M26" i="22" s="1"/>
  <c r="M27" i="22" s="1"/>
  <c r="M28" i="22" s="1"/>
  <c r="M29" i="22" s="1"/>
  <c r="M30" i="22" s="1"/>
  <c r="M31" i="22" s="1"/>
  <c r="M32" i="22" s="1"/>
  <c r="M33" i="22" s="1"/>
  <c r="M17" i="18"/>
  <c r="M18" i="18" s="1"/>
  <c r="M19" i="18" s="1"/>
  <c r="M20" i="18" s="1"/>
  <c r="M21" i="18" s="1"/>
  <c r="M22" i="18" s="1"/>
  <c r="M23" i="18" s="1"/>
  <c r="M24" i="18" s="1"/>
  <c r="M25" i="18" s="1"/>
  <c r="M26" i="18" s="1"/>
  <c r="M27" i="18" s="1"/>
  <c r="M28" i="18" s="1"/>
  <c r="M29" i="18" s="1"/>
  <c r="M30" i="18" s="1"/>
  <c r="M31" i="18" s="1"/>
  <c r="M32" i="18" s="1"/>
  <c r="M33" i="18" s="1"/>
  <c r="M18" i="17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18" i="16"/>
  <c r="M19" i="16" s="1"/>
  <c r="M20" i="16" s="1"/>
  <c r="M21" i="16" s="1"/>
  <c r="M22" i="16" s="1"/>
  <c r="M23" i="16" s="1"/>
  <c r="M24" i="16" s="1"/>
  <c r="M25" i="16" s="1"/>
  <c r="M26" i="16" s="1"/>
  <c r="M27" i="16" s="1"/>
  <c r="M28" i="16" s="1"/>
  <c r="M29" i="16" s="1"/>
  <c r="M30" i="16" s="1"/>
  <c r="M31" i="16" s="1"/>
  <c r="M32" i="16" s="1"/>
  <c r="M33" i="16" s="1"/>
  <c r="M25" i="25" l="1"/>
  <c r="M26" i="25" s="1"/>
  <c r="M22" i="26"/>
  <c r="M23" i="26" s="1"/>
  <c r="M24" i="26" s="1"/>
  <c r="M28" i="23"/>
  <c r="M29" i="23" s="1"/>
  <c r="M30" i="23" s="1"/>
  <c r="M31" i="23" s="1"/>
  <c r="M32" i="23" s="1"/>
  <c r="M33" i="23" s="1"/>
  <c r="M25" i="26" l="1"/>
  <c r="M26" i="26" s="1"/>
  <c r="M27" i="25"/>
  <c r="M28" i="25" s="1"/>
  <c r="M29" i="25" s="1"/>
  <c r="M30" i="25" s="1"/>
  <c r="M31" i="25" s="1"/>
  <c r="M32" i="25" s="1"/>
  <c r="M33" i="25" s="1"/>
  <c r="M28" i="26" l="1"/>
  <c r="M29" i="26" s="1"/>
  <c r="M30" i="26" s="1"/>
  <c r="M31" i="26" s="1"/>
  <c r="M32" i="26" s="1"/>
  <c r="M33" i="26" s="1"/>
  <c r="M27" i="26"/>
</calcChain>
</file>

<file path=xl/sharedStrings.xml><?xml version="1.0" encoding="utf-8"?>
<sst xmlns="http://schemas.openxmlformats.org/spreadsheetml/2006/main" count="463" uniqueCount="74">
  <si>
    <t>Kentucky Utilities Company</t>
  </si>
  <si>
    <t>Deferred Tax Calculations</t>
  </si>
  <si>
    <t>Environmental Compliance Plans, by Approved Project</t>
  </si>
  <si>
    <t>2009 - Plan</t>
  </si>
  <si>
    <t>Project 28 - Brown 3 SCR</t>
  </si>
  <si>
    <t>Month</t>
  </si>
  <si>
    <t>Plant Balance</t>
  </si>
  <si>
    <t>Book Depreciation</t>
  </si>
  <si>
    <t>Fed Tax Depreciation</t>
  </si>
  <si>
    <t>State Tax Depreciation</t>
  </si>
  <si>
    <t>Fed Temporary Difference</t>
  </si>
  <si>
    <t>State Temporary Difference</t>
  </si>
  <si>
    <t>Fed Tax Rate</t>
  </si>
  <si>
    <t>State Tax Rate</t>
  </si>
  <si>
    <t>Fed Deferred Tax</t>
  </si>
  <si>
    <t>State Deferred Tax</t>
  </si>
  <si>
    <t>Accumulated Deferred Taxes</t>
  </si>
  <si>
    <t>Deferred Taxes on Retirements</t>
  </si>
  <si>
    <t>Beg Balance</t>
  </si>
  <si>
    <t xml:space="preserve"> </t>
  </si>
  <si>
    <t xml:space="preserve">Due to Bonus Depreciation for tax purposes taken on certain components of Project 28, the deferred tax calculation for this project </t>
  </si>
  <si>
    <t>is computed separately for Federal and State purposes.  Specifically, for Federal taxes, certain assets received 50% bonus</t>
  </si>
  <si>
    <t>is shown below:</t>
  </si>
  <si>
    <t>Federal Basis</t>
  </si>
  <si>
    <t>Book Depr.</t>
  </si>
  <si>
    <t>Federal Tax Depr</t>
  </si>
  <si>
    <t>Fed. Difference</t>
  </si>
  <si>
    <t>Fed Def Tax</t>
  </si>
  <si>
    <t>Subtotal</t>
  </si>
  <si>
    <t>State Offset</t>
  </si>
  <si>
    <t>State Basis</t>
  </si>
  <si>
    <t>State Tax Depr</t>
  </si>
  <si>
    <t>St. Difference</t>
  </si>
  <si>
    <t>St Def Tax</t>
  </si>
  <si>
    <t>Project 29 - ATB Expansion at E.W. Brown Station (Phase II)</t>
  </si>
  <si>
    <t xml:space="preserve">Due to Bonus Depreciation for tax purposes taken on certain components of Project 29 of the 2009 Plan, the deferred tax calculation for this project </t>
  </si>
  <si>
    <t>2011 - Plan</t>
  </si>
  <si>
    <t>Project 29 - Brown Landfill (Phase I)</t>
  </si>
  <si>
    <t>Fed Income Tax Rate</t>
  </si>
  <si>
    <t>State Income Tax Rate</t>
  </si>
  <si>
    <t xml:space="preserve">Due to Bonus Depreciation for tax purposes taken on certain components of Project 29 of the 2011 Plan, the deferred tax calculation for this project </t>
  </si>
  <si>
    <t>Project 30 - Ghent CCP Storage (Landfill-Phase I)</t>
  </si>
  <si>
    <t xml:space="preserve">Due to Bonus Depreciation for tax purposes taken on certain components of Project 30, the deferred tax calculation for this project </t>
  </si>
  <si>
    <t>Project 31 - Trimble County Ash Treatment Basin (BAP/GSP)</t>
  </si>
  <si>
    <t>Project 32 - Trimble County CCP Storage (Landfill - Phase I)</t>
  </si>
  <si>
    <t xml:space="preserve">Due to Bonus Depreciation for tax purposes taken on certain components of Project 32, the deferred tax calculation for this project </t>
  </si>
  <si>
    <t>Project 33 - Beneficial Reuse</t>
  </si>
  <si>
    <t xml:space="preserve">Due to Bonus Depreciation for tax purposes taken on certain components of Project 33, the deferred tax calculation for this project </t>
  </si>
  <si>
    <t>Project 34 - E.W. Brown Station Air Compliance</t>
  </si>
  <si>
    <t xml:space="preserve">Due to Bonus Depreciation for tax purposes taken on certain components of Project 34, the deferred tax calculation for this project </t>
  </si>
  <si>
    <t>Project 35 - Ghent Station Air Compliance</t>
  </si>
  <si>
    <t xml:space="preserve">Due to Bonus Depreciation for tax purposes taken on certain components of Project 35, the deferred tax calculation for this project </t>
  </si>
  <si>
    <t>2016 - Plan</t>
  </si>
  <si>
    <t>Project 37 - Ghent 2 WFGD Improvments</t>
  </si>
  <si>
    <t>Project 41 - Trimble County New Process Water Systems</t>
  </si>
  <si>
    <t xml:space="preserve">Due to Bonus Depreciation for tax purposes taken on certain components of Project 41, the deferred tax calculation for this project </t>
  </si>
  <si>
    <t>Project 38 - Supplemental Mercury Control</t>
  </si>
  <si>
    <t>The federal deferred tax and state deferred tax columns include an amount for amortization of excess deferred tax amounts.</t>
  </si>
  <si>
    <t>depreciation, which reduces the Federal tax basis to 50% of the plant balance.  A sample calculation of deferred taxes for Feb 2019</t>
  </si>
  <si>
    <t>Excess deferred tax amortization</t>
  </si>
  <si>
    <t>The federal deferred tax column includes an amount for amortization of excess deferred tax amounts.</t>
  </si>
  <si>
    <t xml:space="preserve">Due to Bonus Depreciation for tax purposes taken on certain components of Project 38, the deferred tax calculation for this project </t>
  </si>
  <si>
    <t>is computed separately for Federal and State purposes.  Specifically, for Federal taxes, certain assets received 40% or 50% bonus</t>
  </si>
  <si>
    <t>depreciation, which reduces the Federal tax basis to 40% or 50% of the plant balance.  A sample calculation of deferred taxes for Feb 2019</t>
  </si>
  <si>
    <t xml:space="preserve">Due to Bonus Depreciation for tax purposes taken on certain components of Project 37, the deferred tax calculation for this project </t>
  </si>
  <si>
    <t>Date</t>
  </si>
  <si>
    <t>Time</t>
  </si>
  <si>
    <t>Log Level</t>
  </si>
  <si>
    <t>Source</t>
  </si>
  <si>
    <t>Description</t>
  </si>
  <si>
    <t>Action</t>
  </si>
  <si>
    <t>ERROR</t>
  </si>
  <si>
    <t>Workbook_Activate</t>
  </si>
  <si>
    <t>Error: 438 Object doesn't support this property or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</si>
</sst>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0%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/>
    <xf numFmtId="0" fontId="1" fillId="0" borderId="0" xfId="0" applyFont="1" applyFill="1" applyAlignment="1"/>
    <xf numFmtId="164" fontId="2" fillId="0" borderId="0" xfId="0" quotePrefix="1" applyNumberFormat="1" applyFont="1" applyFill="1" applyBorder="1" applyAlignment="1">
      <alignment horizontal="left"/>
    </xf>
    <xf numFmtId="164" fontId="1" fillId="0" borderId="0" xfId="0" quotePrefix="1" applyNumberFormat="1" applyFont="1" applyFill="1" applyAlignment="1">
      <alignment horizontal="lef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3" fillId="0" borderId="0" xfId="1" applyNumberFormat="1" applyFont="1" applyFill="1" applyAlignment="1">
      <alignment horizontal="left"/>
    </xf>
    <xf numFmtId="41" fontId="0" fillId="0" borderId="0" xfId="0" applyNumberFormat="1"/>
    <xf numFmtId="164" fontId="3" fillId="0" borderId="0" xfId="1" applyNumberFormat="1" applyFont="1" applyAlignment="1">
      <alignment horizontal="left"/>
    </xf>
    <xf numFmtId="0" fontId="1" fillId="0" borderId="0" xfId="1" quotePrefix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3" fillId="0" borderId="0" xfId="1"/>
    <xf numFmtId="164" fontId="1" fillId="0" borderId="0" xfId="1" applyNumberFormat="1" applyFont="1" applyFill="1" applyAlignment="1"/>
    <xf numFmtId="0" fontId="1" fillId="0" borderId="0" xfId="1" applyFont="1" applyFill="1" applyAlignment="1"/>
    <xf numFmtId="164" fontId="2" fillId="0" borderId="0" xfId="1" quotePrefix="1" applyNumberFormat="1" applyFont="1" applyFill="1" applyBorder="1" applyAlignment="1">
      <alignment horizontal="left"/>
    </xf>
    <xf numFmtId="164" fontId="1" fillId="0" borderId="0" xfId="1" quotePrefix="1" applyNumberFormat="1" applyFont="1" applyFill="1" applyAlignment="1">
      <alignment horizontal="left"/>
    </xf>
    <xf numFmtId="164" fontId="1" fillId="0" borderId="1" xfId="1" applyNumberFormat="1" applyFont="1" applyBorder="1" applyAlignment="1">
      <alignment horizontal="center" wrapText="1"/>
    </xf>
    <xf numFmtId="0" fontId="1" fillId="0" borderId="1" xfId="1" applyFont="1" applyBorder="1" applyAlignment="1">
      <alignment horizontal="center" wrapText="1"/>
    </xf>
    <xf numFmtId="0" fontId="1" fillId="0" borderId="0" xfId="1" applyFont="1" applyAlignment="1">
      <alignment horizontal="center" wrapText="1"/>
    </xf>
    <xf numFmtId="164" fontId="3" fillId="0" borderId="0" xfId="1" applyNumberFormat="1"/>
    <xf numFmtId="41" fontId="3" fillId="0" borderId="0" xfId="1" applyNumberFormat="1"/>
    <xf numFmtId="165" fontId="3" fillId="0" borderId="0" xfId="2" applyNumberFormat="1" applyFont="1"/>
    <xf numFmtId="165" fontId="3" fillId="0" borderId="0" xfId="3" applyNumberFormat="1" applyFont="1" applyFill="1"/>
    <xf numFmtId="43" fontId="3" fillId="0" borderId="0" xfId="3" applyFont="1" applyFill="1"/>
    <xf numFmtId="165" fontId="3" fillId="0" borderId="0" xfId="3" quotePrefix="1" applyNumberFormat="1" applyFont="1" applyFill="1" applyAlignment="1">
      <alignment horizontal="left"/>
    </xf>
    <xf numFmtId="165" fontId="3" fillId="0" borderId="0" xfId="1" applyNumberFormat="1"/>
    <xf numFmtId="41" fontId="3" fillId="0" borderId="0" xfId="1" applyNumberFormat="1" applyFont="1"/>
    <xf numFmtId="0" fontId="3" fillId="0" borderId="0" xfId="1" applyFont="1"/>
    <xf numFmtId="165" fontId="4" fillId="0" borderId="0" xfId="2" applyNumberFormat="1" applyFont="1" applyBorder="1" applyAlignment="1">
      <alignment horizontal="center"/>
    </xf>
    <xf numFmtId="165" fontId="0" fillId="0" borderId="0" xfId="2" applyNumberFormat="1" applyFont="1"/>
    <xf numFmtId="165" fontId="4" fillId="0" borderId="0" xfId="2" applyNumberFormat="1" applyFont="1"/>
    <xf numFmtId="0" fontId="3" fillId="0" borderId="0" xfId="1" applyAlignment="1"/>
    <xf numFmtId="43" fontId="0" fillId="0" borderId="0" xfId="2" applyFont="1"/>
    <xf numFmtId="43" fontId="3" fillId="0" borderId="0" xfId="2" applyFont="1"/>
    <xf numFmtId="43" fontId="3" fillId="0" borderId="0" xfId="1" applyNumberFormat="1"/>
    <xf numFmtId="165" fontId="3" fillId="0" borderId="0" xfId="2" applyNumberFormat="1" applyFont="1" applyFill="1"/>
    <xf numFmtId="41" fontId="3" fillId="0" borderId="0" xfId="0" quotePrefix="1" applyNumberFormat="1" applyFont="1" applyFill="1" applyAlignment="1">
      <alignment horizontal="left"/>
    </xf>
    <xf numFmtId="41" fontId="3" fillId="0" borderId="0" xfId="0" applyNumberFormat="1" applyFont="1" applyFill="1"/>
    <xf numFmtId="41" fontId="3" fillId="0" borderId="0" xfId="0" applyNumberFormat="1" applyFont="1"/>
    <xf numFmtId="165" fontId="3" fillId="0" borderId="0" xfId="0" applyNumberFormat="1" applyFont="1"/>
    <xf numFmtId="41" fontId="4" fillId="0" borderId="0" xfId="0" applyNumberFormat="1" applyFont="1" applyFill="1"/>
    <xf numFmtId="41" fontId="4" fillId="0" borderId="0" xfId="0" applyNumberFormat="1" applyFont="1"/>
    <xf numFmtId="165" fontId="4" fillId="0" borderId="0" xfId="0" applyNumberFormat="1" applyFont="1"/>
    <xf numFmtId="0" fontId="3" fillId="0" borderId="0" xfId="0" applyFont="1"/>
    <xf numFmtId="37" fontId="5" fillId="0" borderId="0" xfId="0" applyNumberFormat="1" applyFont="1" applyFill="1" applyBorder="1"/>
    <xf numFmtId="166" fontId="3" fillId="0" borderId="0" xfId="0" applyNumberFormat="1" applyFont="1"/>
    <xf numFmtId="37" fontId="5" fillId="0" borderId="0" xfId="0" applyNumberFormat="1" applyFont="1" applyBorder="1"/>
    <xf numFmtId="165" fontId="4" fillId="0" borderId="0" xfId="0" applyNumberFormat="1" applyFont="1" applyBorder="1"/>
    <xf numFmtId="166" fontId="3" fillId="0" borderId="0" xfId="0" applyNumberFormat="1" applyFont="1" applyFill="1"/>
    <xf numFmtId="0" fontId="3" fillId="0" borderId="0" xfId="0" applyFont="1" applyFill="1"/>
    <xf numFmtId="14" fontId="0" fillId="0" borderId="0" xfId="0" applyNumberFormat="1"/>
    <xf numFmtId="19" fontId="0" fillId="0" borderId="0" xfId="0" applyNumberFormat="1"/>
    <xf numFmtId="41" fontId="6" fillId="0" borderId="0" xfId="0" applyNumberFormat="1" applyFont="1"/>
    <xf numFmtId="166" fontId="3" fillId="0" borderId="0" xfId="1" applyNumberFormat="1" applyFont="1"/>
    <xf numFmtId="166" fontId="6" fillId="0" borderId="0" xfId="0" applyNumberFormat="1" applyFont="1"/>
    <xf numFmtId="41" fontId="6" fillId="0" borderId="0" xfId="0" applyNumberFormat="1" applyFont="1" applyFill="1"/>
    <xf numFmtId="166" fontId="6" fillId="0" borderId="0" xfId="0" applyNumberFormat="1" applyFont="1" applyFill="1"/>
    <xf numFmtId="0" fontId="6" fillId="0" borderId="0" xfId="0" applyFont="1"/>
    <xf numFmtId="165" fontId="6" fillId="0" borderId="0" xfId="0" applyNumberFormat="1" applyFont="1" applyFill="1"/>
    <xf numFmtId="0" fontId="6" fillId="0" borderId="0" xfId="0" applyFont="1" applyFill="1"/>
    <xf numFmtId="165" fontId="6" fillId="0" borderId="0" xfId="0" applyNumberFormat="1" applyFont="1"/>
    <xf numFmtId="41" fontId="7" fillId="0" borderId="0" xfId="0" applyNumberFormat="1" applyFont="1"/>
    <xf numFmtId="165" fontId="3" fillId="0" borderId="0" xfId="1" applyNumberFormat="1" applyFont="1"/>
    <xf numFmtId="43" fontId="6" fillId="0" borderId="0" xfId="2" applyFont="1"/>
    <xf numFmtId="165" fontId="6" fillId="0" borderId="0" xfId="2" applyNumberFormat="1" applyFont="1"/>
    <xf numFmtId="37" fontId="6" fillId="0" borderId="0" xfId="0" applyNumberFormat="1" applyFont="1" applyBorder="1"/>
    <xf numFmtId="165" fontId="6" fillId="0" borderId="0" xfId="2" applyNumberFormat="1" applyFont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37" fontId="6" fillId="0" borderId="0" xfId="0" applyNumberFormat="1" applyFont="1" applyFill="1" applyBorder="1"/>
    <xf numFmtId="37" fontId="6" fillId="0" borderId="0" xfId="0" applyNumberFormat="1" applyFont="1" applyFill="1"/>
    <xf numFmtId="37" fontId="6" fillId="0" borderId="0" xfId="0" applyNumberFormat="1" applyFont="1"/>
  </cellXfs>
  <cellStyles count="4">
    <cellStyle name="Comma 2" xfId="2" xr:uid="{00000000-0005-0000-0000-000000000000}"/>
    <cellStyle name="Comma 2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77"/>
  <sheetViews>
    <sheetView tabSelected="1" topLeftCell="A16" zoomScaleNormal="100" workbookViewId="0">
      <selection activeCell="F31" sqref="F31"/>
    </sheetView>
  </sheetViews>
  <sheetFormatPr defaultColWidth="8.85546875" defaultRowHeight="12.75" x14ac:dyDescent="0.2"/>
  <cols>
    <col min="1" max="1" width="11.28515625" style="23" customWidth="1"/>
    <col min="2" max="2" width="1.7109375" style="15" customWidth="1"/>
    <col min="3" max="3" width="12.7109375" style="15" customWidth="1"/>
    <col min="4" max="4" width="14.28515625" style="15" bestFit="1" customWidth="1"/>
    <col min="5" max="5" width="14.28515625" style="15" customWidth="1"/>
    <col min="6" max="6" width="14.28515625" style="15" bestFit="1" customWidth="1"/>
    <col min="7" max="7" width="15.140625" style="15" customWidth="1"/>
    <col min="8" max="8" width="16.28515625" style="15" customWidth="1"/>
    <col min="9" max="12" width="12.7109375" style="15" customWidth="1"/>
    <col min="13" max="13" width="16.5703125" style="15" bestFit="1" customWidth="1"/>
    <col min="14" max="14" width="12.7109375" style="15" customWidth="1"/>
    <col min="15" max="15" width="14" style="15" customWidth="1"/>
    <col min="16" max="16" width="14.5703125" style="15" bestFit="1" customWidth="1"/>
    <col min="17" max="16384" width="8.85546875" style="15"/>
  </cols>
  <sheetData>
    <row r="1" spans="1:16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6" x14ac:dyDescent="0.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6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6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5"/>
    </row>
    <row r="5" spans="1:16" x14ac:dyDescent="0.2">
      <c r="A5" s="18" t="s">
        <v>3</v>
      </c>
    </row>
    <row r="6" spans="1:16" x14ac:dyDescent="0.2">
      <c r="A6" s="19" t="s">
        <v>4</v>
      </c>
    </row>
    <row r="8" spans="1:16" s="22" customFormat="1" ht="38.25" x14ac:dyDescent="0.2">
      <c r="A8" s="20" t="s">
        <v>5</v>
      </c>
      <c r="B8" s="21"/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12</v>
      </c>
      <c r="J8" s="21" t="s">
        <v>13</v>
      </c>
      <c r="K8" s="21" t="s">
        <v>14</v>
      </c>
      <c r="L8" s="21" t="s">
        <v>15</v>
      </c>
      <c r="M8" s="21" t="s">
        <v>16</v>
      </c>
      <c r="N8" s="21" t="s">
        <v>17</v>
      </c>
    </row>
    <row r="9" spans="1:16" ht="15" x14ac:dyDescent="0.25">
      <c r="A9" s="23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25">
        <v>26284288</v>
      </c>
      <c r="N9" s="31"/>
      <c r="P9" s="36"/>
    </row>
    <row r="10" spans="1:16" ht="15" x14ac:dyDescent="0.25">
      <c r="A10" s="10">
        <v>42795</v>
      </c>
      <c r="B10"/>
      <c r="C10" s="56">
        <v>98595789</v>
      </c>
      <c r="D10" s="25">
        <v>193083</v>
      </c>
      <c r="E10" s="25">
        <v>528812.5</v>
      </c>
      <c r="F10" s="25">
        <v>1057625</v>
      </c>
      <c r="G10" s="56">
        <f t="shared" ref="G10:G15" si="0">E10-D10</f>
        <v>335729.5</v>
      </c>
      <c r="H10" s="56">
        <f t="shared" ref="H10:H15" si="1">F10-D10</f>
        <v>864542</v>
      </c>
      <c r="I10" s="58">
        <v>0.35</v>
      </c>
      <c r="J10" s="58">
        <v>0.06</v>
      </c>
      <c r="K10" s="56">
        <f t="shared" ref="K10:K15" si="2">G10*I10+-L10*I10</f>
        <v>99349.942999999999</v>
      </c>
      <c r="L10" s="56">
        <f t="shared" ref="L10:L15" si="3">H10*J10</f>
        <v>51872.52</v>
      </c>
      <c r="M10" s="56">
        <f t="shared" ref="M10:M15" si="4">M9+K10+L10</f>
        <v>26435510.463</v>
      </c>
      <c r="N10" s="56">
        <v>0</v>
      </c>
      <c r="O10" s="37"/>
      <c r="P10" s="36"/>
    </row>
    <row r="11" spans="1:16" ht="15" x14ac:dyDescent="0.25">
      <c r="A11" s="12">
        <v>42826</v>
      </c>
      <c r="B11"/>
      <c r="C11" s="56">
        <v>98570159</v>
      </c>
      <c r="D11" s="25">
        <v>193033</v>
      </c>
      <c r="E11" s="25">
        <f>527041.1-648</f>
        <v>526393.1</v>
      </c>
      <c r="F11" s="25">
        <v>1056218</v>
      </c>
      <c r="G11" s="56">
        <f t="shared" si="0"/>
        <v>333360.09999999998</v>
      </c>
      <c r="H11" s="56">
        <f t="shared" si="1"/>
        <v>863185</v>
      </c>
      <c r="I11" s="58">
        <v>0.35</v>
      </c>
      <c r="J11" s="58">
        <v>0.06</v>
      </c>
      <c r="K11" s="56">
        <f t="shared" si="2"/>
        <v>98549.15</v>
      </c>
      <c r="L11" s="56">
        <f t="shared" si="3"/>
        <v>51791.1</v>
      </c>
      <c r="M11" s="56">
        <f t="shared" si="4"/>
        <v>26585850.713</v>
      </c>
      <c r="N11" s="56">
        <v>0</v>
      </c>
      <c r="O11" s="37"/>
      <c r="P11" s="36"/>
    </row>
    <row r="12" spans="1:16" ht="15" x14ac:dyDescent="0.25">
      <c r="A12" s="12">
        <v>42856</v>
      </c>
      <c r="B12"/>
      <c r="C12" s="56">
        <v>98570159</v>
      </c>
      <c r="D12" s="25">
        <v>193033</v>
      </c>
      <c r="E12" s="25">
        <f>527041.1-646</f>
        <v>526395.1</v>
      </c>
      <c r="F12" s="25">
        <v>1056218</v>
      </c>
      <c r="G12" s="56">
        <f t="shared" si="0"/>
        <v>333362.09999999998</v>
      </c>
      <c r="H12" s="56">
        <f t="shared" si="1"/>
        <v>863185</v>
      </c>
      <c r="I12" s="58">
        <v>0.35</v>
      </c>
      <c r="J12" s="58">
        <v>0.06</v>
      </c>
      <c r="K12" s="56">
        <f t="shared" si="2"/>
        <v>98549.849999999991</v>
      </c>
      <c r="L12" s="56">
        <f t="shared" si="3"/>
        <v>51791.1</v>
      </c>
      <c r="M12" s="56">
        <f t="shared" si="4"/>
        <v>26736191.663000003</v>
      </c>
      <c r="N12" s="56">
        <v>0</v>
      </c>
      <c r="O12" s="36"/>
      <c r="P12" s="36"/>
    </row>
    <row r="13" spans="1:16" ht="15" x14ac:dyDescent="0.25">
      <c r="A13" s="12">
        <v>42887</v>
      </c>
      <c r="B13"/>
      <c r="C13" s="56">
        <v>100046293</v>
      </c>
      <c r="D13" s="25">
        <v>194479</v>
      </c>
      <c r="E13" s="25">
        <f>590853.2+43927</f>
        <v>634780.19999999995</v>
      </c>
      <c r="F13" s="25">
        <v>1060831</v>
      </c>
      <c r="G13" s="56">
        <f t="shared" si="0"/>
        <v>440301.19999999995</v>
      </c>
      <c r="H13" s="56">
        <f t="shared" si="1"/>
        <v>866352</v>
      </c>
      <c r="I13" s="58">
        <v>0.35</v>
      </c>
      <c r="J13" s="58">
        <v>0.06</v>
      </c>
      <c r="K13" s="56">
        <f t="shared" si="2"/>
        <v>135912.02799999999</v>
      </c>
      <c r="L13" s="56">
        <f t="shared" si="3"/>
        <v>51981.119999999995</v>
      </c>
      <c r="M13" s="56">
        <f t="shared" si="4"/>
        <v>26924084.811000004</v>
      </c>
      <c r="N13" s="56">
        <v>0</v>
      </c>
      <c r="O13" s="38"/>
      <c r="P13" s="36"/>
    </row>
    <row r="14" spans="1:16" ht="15" x14ac:dyDescent="0.25">
      <c r="A14" s="12">
        <v>42917</v>
      </c>
      <c r="B14"/>
      <c r="C14" s="56">
        <v>100046293</v>
      </c>
      <c r="D14" s="25">
        <v>220936</v>
      </c>
      <c r="E14" s="25">
        <f>590853.2+43927+28534-28534+1578</f>
        <v>636358.19999999995</v>
      </c>
      <c r="F14" s="25">
        <f>1060831+7800-7800+221</f>
        <v>1061052</v>
      </c>
      <c r="G14" s="56">
        <f t="shared" si="0"/>
        <v>415422.19999999995</v>
      </c>
      <c r="H14" s="56">
        <f t="shared" si="1"/>
        <v>840116</v>
      </c>
      <c r="I14" s="58">
        <v>0.35</v>
      </c>
      <c r="J14" s="58">
        <v>0.06</v>
      </c>
      <c r="K14" s="56">
        <f t="shared" si="2"/>
        <v>127755.33399999996</v>
      </c>
      <c r="L14" s="56">
        <f t="shared" si="3"/>
        <v>50406.96</v>
      </c>
      <c r="M14" s="56">
        <f t="shared" si="4"/>
        <v>27102247.105000004</v>
      </c>
      <c r="N14" s="56">
        <v>0</v>
      </c>
      <c r="O14" s="24"/>
      <c r="P14" s="37"/>
    </row>
    <row r="15" spans="1:16" ht="15" x14ac:dyDescent="0.25">
      <c r="A15" s="12">
        <v>42948</v>
      </c>
      <c r="B15"/>
      <c r="C15" s="56">
        <v>100046293</v>
      </c>
      <c r="D15" s="25">
        <v>220936</v>
      </c>
      <c r="E15" s="25">
        <f>590853.2+43927+28534-28534+1578+1</f>
        <v>636359.19999999995</v>
      </c>
      <c r="F15" s="25">
        <f>1060831+7800-0.49-7800+221</f>
        <v>1061051.51</v>
      </c>
      <c r="G15" s="56">
        <f t="shared" si="0"/>
        <v>415423.19999999995</v>
      </c>
      <c r="H15" s="56">
        <f t="shared" si="1"/>
        <v>840115.51</v>
      </c>
      <c r="I15" s="58">
        <v>0.35</v>
      </c>
      <c r="J15" s="58">
        <v>0.06</v>
      </c>
      <c r="K15" s="56">
        <f t="shared" si="2"/>
        <v>127755.69428999997</v>
      </c>
      <c r="L15" s="56">
        <f t="shared" si="3"/>
        <v>50406.9306</v>
      </c>
      <c r="M15" s="56">
        <f t="shared" si="4"/>
        <v>27280409.729890004</v>
      </c>
      <c r="N15" s="56">
        <v>236626</v>
      </c>
      <c r="P15" s="36"/>
    </row>
    <row r="16" spans="1:16" ht="15" x14ac:dyDescent="0.25">
      <c r="A16" s="12">
        <v>42987</v>
      </c>
      <c r="B16"/>
      <c r="C16" s="30">
        <v>100046293</v>
      </c>
      <c r="D16" s="30">
        <v>220936</v>
      </c>
      <c r="E16" s="30">
        <v>636359</v>
      </c>
      <c r="F16" s="30">
        <v>1061052</v>
      </c>
      <c r="G16" s="30">
        <f t="shared" ref="G16:G33" si="5">E16-D16</f>
        <v>415423</v>
      </c>
      <c r="H16" s="30">
        <f t="shared" ref="H16:H33" si="6">F16-D16</f>
        <v>840116</v>
      </c>
      <c r="I16" s="57">
        <v>0.35</v>
      </c>
      <c r="J16" s="57">
        <v>0.06</v>
      </c>
      <c r="K16" s="30">
        <f t="shared" ref="K16:K19" si="7">G16*I16-L16*I16</f>
        <v>127755.61399999999</v>
      </c>
      <c r="L16" s="30">
        <f t="shared" ref="L16:L31" si="8">H16*J16</f>
        <v>50406.96</v>
      </c>
      <c r="M16" s="30">
        <f t="shared" ref="M16:M33" si="9">M15+K16+L16</f>
        <v>27458572.303890005</v>
      </c>
      <c r="N16" s="30">
        <v>235606.26</v>
      </c>
    </row>
    <row r="17" spans="1:14" ht="15" x14ac:dyDescent="0.25">
      <c r="A17" s="12">
        <v>43009</v>
      </c>
      <c r="B17"/>
      <c r="C17" s="30">
        <v>100049070</v>
      </c>
      <c r="D17" s="30">
        <v>220939</v>
      </c>
      <c r="E17" s="30">
        <v>636839</v>
      </c>
      <c r="F17" s="30">
        <v>1061087</v>
      </c>
      <c r="G17" s="30">
        <f t="shared" si="5"/>
        <v>415900</v>
      </c>
      <c r="H17" s="30">
        <f t="shared" si="6"/>
        <v>840148</v>
      </c>
      <c r="I17" s="57">
        <v>0.35</v>
      </c>
      <c r="J17" s="57">
        <v>0.06</v>
      </c>
      <c r="K17" s="30">
        <f t="shared" si="7"/>
        <v>127921.89200000001</v>
      </c>
      <c r="L17" s="30">
        <f t="shared" si="8"/>
        <v>50408.88</v>
      </c>
      <c r="M17" s="30">
        <f t="shared" si="9"/>
        <v>27636903.075890005</v>
      </c>
      <c r="N17" s="30">
        <v>234586.22</v>
      </c>
    </row>
    <row r="18" spans="1:14" ht="15" x14ac:dyDescent="0.25">
      <c r="A18" s="12">
        <v>43040</v>
      </c>
      <c r="B18"/>
      <c r="C18" s="30">
        <v>100049070</v>
      </c>
      <c r="D18" s="30">
        <v>220942</v>
      </c>
      <c r="E18" s="30">
        <v>636839</v>
      </c>
      <c r="F18" s="30">
        <v>1061087</v>
      </c>
      <c r="G18" s="30">
        <f t="shared" si="5"/>
        <v>415897</v>
      </c>
      <c r="H18" s="30">
        <f t="shared" si="6"/>
        <v>840145</v>
      </c>
      <c r="I18" s="57">
        <v>0.35</v>
      </c>
      <c r="J18" s="57">
        <v>0.06</v>
      </c>
      <c r="K18" s="30">
        <f t="shared" si="7"/>
        <v>127920.90499999998</v>
      </c>
      <c r="L18" s="30">
        <f t="shared" si="8"/>
        <v>50408.7</v>
      </c>
      <c r="M18" s="30">
        <f t="shared" si="9"/>
        <v>27815232.680890005</v>
      </c>
      <c r="N18" s="30">
        <v>233566.19</v>
      </c>
    </row>
    <row r="19" spans="1:14" ht="15" x14ac:dyDescent="0.25">
      <c r="A19" s="12">
        <v>43070</v>
      </c>
      <c r="B19"/>
      <c r="C19" s="30">
        <v>100049070</v>
      </c>
      <c r="D19" s="30">
        <v>220942</v>
      </c>
      <c r="E19" s="30">
        <v>636839</v>
      </c>
      <c r="F19" s="30">
        <v>1061087</v>
      </c>
      <c r="G19" s="30">
        <f t="shared" si="5"/>
        <v>415897</v>
      </c>
      <c r="H19" s="30">
        <f t="shared" si="6"/>
        <v>840145</v>
      </c>
      <c r="I19" s="57">
        <v>0.35</v>
      </c>
      <c r="J19" s="57">
        <v>0.06</v>
      </c>
      <c r="K19" s="30">
        <f t="shared" si="7"/>
        <v>127920.90499999998</v>
      </c>
      <c r="L19" s="30">
        <f t="shared" si="8"/>
        <v>50408.7</v>
      </c>
      <c r="M19" s="30">
        <f t="shared" si="9"/>
        <v>27993562.285890006</v>
      </c>
      <c r="N19" s="30">
        <v>232546.15</v>
      </c>
    </row>
    <row r="20" spans="1:14" ht="15" x14ac:dyDescent="0.25">
      <c r="A20" s="12">
        <v>43101</v>
      </c>
      <c r="B20"/>
      <c r="C20" s="30">
        <v>100049070</v>
      </c>
      <c r="D20" s="30">
        <v>220942</v>
      </c>
      <c r="E20" s="30">
        <v>105751</v>
      </c>
      <c r="F20" s="30">
        <v>211504.93</v>
      </c>
      <c r="G20" s="30">
        <f t="shared" si="5"/>
        <v>-115191</v>
      </c>
      <c r="H20" s="30">
        <f t="shared" si="6"/>
        <v>-9437.070000000007</v>
      </c>
      <c r="I20" s="57">
        <v>0.21</v>
      </c>
      <c r="J20" s="57">
        <v>0.05</v>
      </c>
      <c r="K20" s="30">
        <f>G20*I20-L20*I20-12954</f>
        <v>-37045.020765000001</v>
      </c>
      <c r="L20" s="30">
        <f t="shared" si="8"/>
        <v>-471.85350000000039</v>
      </c>
      <c r="M20" s="30">
        <f t="shared" si="9"/>
        <v>27956045.411625005</v>
      </c>
      <c r="N20" s="30">
        <v>247222.27</v>
      </c>
    </row>
    <row r="21" spans="1:14" ht="15" x14ac:dyDescent="0.25">
      <c r="A21" s="12">
        <v>43132</v>
      </c>
      <c r="B21"/>
      <c r="C21" s="30">
        <v>100049070</v>
      </c>
      <c r="D21" s="30">
        <v>220942</v>
      </c>
      <c r="E21" s="30">
        <v>105751</v>
      </c>
      <c r="F21" s="30">
        <v>211504.93</v>
      </c>
      <c r="G21" s="30">
        <f t="shared" si="5"/>
        <v>-115191</v>
      </c>
      <c r="H21" s="30">
        <f t="shared" si="6"/>
        <v>-9437.070000000007</v>
      </c>
      <c r="I21" s="57">
        <v>0.21</v>
      </c>
      <c r="J21" s="57">
        <v>0.05</v>
      </c>
      <c r="K21" s="30">
        <f>G21*I21-L21*I21-12954</f>
        <v>-37045.020765000001</v>
      </c>
      <c r="L21" s="30">
        <f t="shared" si="8"/>
        <v>-471.85350000000039</v>
      </c>
      <c r="M21" s="30">
        <f t="shared" si="9"/>
        <v>27918528.537360005</v>
      </c>
      <c r="N21" s="30">
        <v>246202.23999999999</v>
      </c>
    </row>
    <row r="22" spans="1:14" ht="15" x14ac:dyDescent="0.25">
      <c r="A22" s="12">
        <v>43160</v>
      </c>
      <c r="B22"/>
      <c r="C22" s="56">
        <v>100049070</v>
      </c>
      <c r="D22" s="25">
        <v>220942</v>
      </c>
      <c r="E22" s="25">
        <v>105751</v>
      </c>
      <c r="F22" s="25">
        <v>211504.93</v>
      </c>
      <c r="G22" s="25">
        <f t="shared" si="5"/>
        <v>-115191</v>
      </c>
      <c r="H22" s="25">
        <f t="shared" si="6"/>
        <v>-9437.070000000007</v>
      </c>
      <c r="I22" s="58">
        <v>0.21</v>
      </c>
      <c r="J22" s="58">
        <v>0.05</v>
      </c>
      <c r="K22" s="25">
        <f t="shared" ref="K22:K27" si="10">G22*I22-L22*I22-12955</f>
        <v>-37046.020765000001</v>
      </c>
      <c r="L22" s="25">
        <f t="shared" si="8"/>
        <v>-471.85350000000039</v>
      </c>
      <c r="M22" s="56">
        <f t="shared" si="9"/>
        <v>27881010.663095005</v>
      </c>
      <c r="N22" s="56">
        <v>236626.3</v>
      </c>
    </row>
    <row r="23" spans="1:14" ht="15" x14ac:dyDescent="0.25">
      <c r="A23" s="12">
        <v>43191</v>
      </c>
      <c r="B23"/>
      <c r="C23" s="56">
        <v>100049070</v>
      </c>
      <c r="D23" s="25">
        <v>220942</v>
      </c>
      <c r="E23" s="25">
        <v>105751</v>
      </c>
      <c r="F23" s="25">
        <v>211504.93</v>
      </c>
      <c r="G23" s="25">
        <f t="shared" si="5"/>
        <v>-115191</v>
      </c>
      <c r="H23" s="25">
        <f t="shared" si="6"/>
        <v>-9437.070000000007</v>
      </c>
      <c r="I23" s="58">
        <v>0.21</v>
      </c>
      <c r="J23" s="58">
        <v>0.05</v>
      </c>
      <c r="K23" s="25">
        <f t="shared" si="10"/>
        <v>-37046.020765000001</v>
      </c>
      <c r="L23" s="25">
        <f t="shared" si="8"/>
        <v>-471.85350000000039</v>
      </c>
      <c r="M23" s="56">
        <f t="shared" si="9"/>
        <v>27843492.788830005</v>
      </c>
      <c r="N23" s="56">
        <v>236626.3</v>
      </c>
    </row>
    <row r="24" spans="1:14" ht="15" x14ac:dyDescent="0.25">
      <c r="A24" s="12">
        <v>43221</v>
      </c>
      <c r="B24"/>
      <c r="C24" s="56">
        <v>100049070</v>
      </c>
      <c r="D24" s="25">
        <v>220942</v>
      </c>
      <c r="E24" s="25">
        <v>105751</v>
      </c>
      <c r="F24" s="25">
        <v>211504.93</v>
      </c>
      <c r="G24" s="25">
        <f t="shared" si="5"/>
        <v>-115191</v>
      </c>
      <c r="H24" s="25">
        <f t="shared" si="6"/>
        <v>-9437.070000000007</v>
      </c>
      <c r="I24" s="58">
        <v>0.21</v>
      </c>
      <c r="J24" s="58">
        <v>0.05</v>
      </c>
      <c r="K24" s="25">
        <f t="shared" si="10"/>
        <v>-37046.020765000001</v>
      </c>
      <c r="L24" s="25">
        <f t="shared" si="8"/>
        <v>-471.85350000000039</v>
      </c>
      <c r="M24" s="56">
        <f t="shared" si="9"/>
        <v>27805974.914565004</v>
      </c>
      <c r="N24" s="56">
        <v>236626.3</v>
      </c>
    </row>
    <row r="25" spans="1:14" ht="15" x14ac:dyDescent="0.25">
      <c r="A25" s="12">
        <v>43252</v>
      </c>
      <c r="B25"/>
      <c r="C25" s="56">
        <v>100049070</v>
      </c>
      <c r="D25" s="25">
        <v>220942</v>
      </c>
      <c r="E25" s="25">
        <v>105751</v>
      </c>
      <c r="F25" s="25">
        <v>211504.93</v>
      </c>
      <c r="G25" s="25">
        <f t="shared" si="5"/>
        <v>-115191</v>
      </c>
      <c r="H25" s="25">
        <f t="shared" si="6"/>
        <v>-9437.070000000007</v>
      </c>
      <c r="I25" s="58">
        <v>0.21</v>
      </c>
      <c r="J25" s="58">
        <v>0.05</v>
      </c>
      <c r="K25" s="25">
        <f t="shared" si="10"/>
        <v>-37046.020765000001</v>
      </c>
      <c r="L25" s="25">
        <f t="shared" si="8"/>
        <v>-471.85350000000039</v>
      </c>
      <c r="M25" s="56">
        <f t="shared" si="9"/>
        <v>27768457.040300004</v>
      </c>
      <c r="N25" s="56">
        <v>236626.3</v>
      </c>
    </row>
    <row r="26" spans="1:14" ht="15" x14ac:dyDescent="0.25">
      <c r="A26" s="12">
        <v>43282</v>
      </c>
      <c r="B26"/>
      <c r="C26" s="56">
        <v>100049070</v>
      </c>
      <c r="D26" s="25">
        <v>220942</v>
      </c>
      <c r="E26" s="25">
        <v>105751</v>
      </c>
      <c r="F26" s="25">
        <v>211504.93</v>
      </c>
      <c r="G26" s="25">
        <f t="shared" si="5"/>
        <v>-115191</v>
      </c>
      <c r="H26" s="25">
        <f t="shared" si="6"/>
        <v>-9437.070000000007</v>
      </c>
      <c r="I26" s="58">
        <v>0.21</v>
      </c>
      <c r="J26" s="58">
        <v>0.05</v>
      </c>
      <c r="K26" s="25">
        <f t="shared" si="10"/>
        <v>-37046.020765000001</v>
      </c>
      <c r="L26" s="25">
        <f t="shared" si="8"/>
        <v>-471.85350000000039</v>
      </c>
      <c r="M26" s="56">
        <f t="shared" si="9"/>
        <v>27730939.166035004</v>
      </c>
      <c r="N26" s="56">
        <v>239243.63</v>
      </c>
    </row>
    <row r="27" spans="1:14" ht="15" x14ac:dyDescent="0.25">
      <c r="A27" s="12">
        <v>43313</v>
      </c>
      <c r="B27"/>
      <c r="C27" s="56">
        <v>100049070</v>
      </c>
      <c r="D27" s="25">
        <v>220942</v>
      </c>
      <c r="E27" s="25">
        <v>105751</v>
      </c>
      <c r="F27" s="25">
        <v>211504.93</v>
      </c>
      <c r="G27" s="25">
        <f t="shared" si="5"/>
        <v>-115191</v>
      </c>
      <c r="H27" s="25">
        <f t="shared" si="6"/>
        <v>-9437.070000000007</v>
      </c>
      <c r="I27" s="58">
        <v>0.21</v>
      </c>
      <c r="J27" s="58">
        <v>0.05</v>
      </c>
      <c r="K27" s="25">
        <f t="shared" si="10"/>
        <v>-37046.020765000001</v>
      </c>
      <c r="L27" s="25">
        <f t="shared" si="8"/>
        <v>-471.85350000000039</v>
      </c>
      <c r="M27" s="56">
        <f t="shared" si="9"/>
        <v>27693421.291770004</v>
      </c>
      <c r="N27" s="56">
        <v>238207.96</v>
      </c>
    </row>
    <row r="28" spans="1:14" ht="15" x14ac:dyDescent="0.25">
      <c r="A28" s="10">
        <v>43352</v>
      </c>
      <c r="B28"/>
      <c r="C28" s="56">
        <v>100049070</v>
      </c>
      <c r="D28" s="25">
        <v>220942</v>
      </c>
      <c r="E28" s="25">
        <f>105752.46-61692.53*0-6</f>
        <v>105746.46</v>
      </c>
      <c r="F28" s="25">
        <v>211504.93</v>
      </c>
      <c r="G28" s="25">
        <f t="shared" si="5"/>
        <v>-115195.54</v>
      </c>
      <c r="H28" s="25">
        <f t="shared" si="6"/>
        <v>-9437.070000000007</v>
      </c>
      <c r="I28" s="58">
        <v>0.21</v>
      </c>
      <c r="J28" s="58">
        <v>0.05</v>
      </c>
      <c r="K28" s="25">
        <f>(G28*I28-L28*I28)-12955</f>
        <v>-37046.974165</v>
      </c>
      <c r="L28" s="25">
        <f t="shared" si="8"/>
        <v>-471.85350000000039</v>
      </c>
      <c r="M28" s="56">
        <f t="shared" si="9"/>
        <v>27655902.464105003</v>
      </c>
      <c r="N28" s="56">
        <v>146780.04</v>
      </c>
    </row>
    <row r="29" spans="1:14" ht="15" x14ac:dyDescent="0.25">
      <c r="A29" s="12">
        <v>43374</v>
      </c>
      <c r="B29"/>
      <c r="C29" s="56">
        <v>100049070</v>
      </c>
      <c r="D29" s="25">
        <v>220942</v>
      </c>
      <c r="E29" s="25">
        <f>105752.46-61692.53*0-2</f>
        <v>105750.46</v>
      </c>
      <c r="F29" s="25">
        <v>211504.93</v>
      </c>
      <c r="G29" s="25">
        <f t="shared" si="5"/>
        <v>-115191.54</v>
      </c>
      <c r="H29" s="25">
        <f t="shared" si="6"/>
        <v>-9437.070000000007</v>
      </c>
      <c r="I29" s="58">
        <v>0.21</v>
      </c>
      <c r="J29" s="58">
        <v>0.05</v>
      </c>
      <c r="K29" s="25">
        <f>(G29*I29-L29*I29)-12955</f>
        <v>-37046.134164999996</v>
      </c>
      <c r="L29" s="25">
        <f t="shared" si="8"/>
        <v>-471.85350000000039</v>
      </c>
      <c r="M29" s="56">
        <f t="shared" si="9"/>
        <v>27618384.476440001</v>
      </c>
      <c r="N29" s="56">
        <v>146125.79999999999</v>
      </c>
    </row>
    <row r="30" spans="1:14" ht="15" x14ac:dyDescent="0.25">
      <c r="A30" s="12">
        <v>43405</v>
      </c>
      <c r="B30"/>
      <c r="C30" s="56">
        <v>100049070</v>
      </c>
      <c r="D30" s="25">
        <v>220942</v>
      </c>
      <c r="E30" s="25">
        <f>105752.46-61692.53*0</f>
        <v>105752.46</v>
      </c>
      <c r="F30" s="25">
        <v>211504.93</v>
      </c>
      <c r="G30" s="25">
        <f t="shared" si="5"/>
        <v>-115189.54</v>
      </c>
      <c r="H30" s="25">
        <f t="shared" si="6"/>
        <v>-9437.070000000007</v>
      </c>
      <c r="I30" s="58">
        <v>0.21</v>
      </c>
      <c r="J30" s="58">
        <v>0.05</v>
      </c>
      <c r="K30" s="25">
        <f>(G30*I30-L30*I30)-12956</f>
        <v>-37046.714164999998</v>
      </c>
      <c r="L30" s="25">
        <f t="shared" si="8"/>
        <v>-471.85350000000039</v>
      </c>
      <c r="M30" s="56">
        <f t="shared" si="9"/>
        <v>27580865.908775002</v>
      </c>
      <c r="N30" s="56">
        <v>145471.56</v>
      </c>
    </row>
    <row r="31" spans="1:14" ht="15" x14ac:dyDescent="0.25">
      <c r="A31" s="12">
        <v>43435</v>
      </c>
      <c r="B31"/>
      <c r="C31" s="56">
        <v>100049070</v>
      </c>
      <c r="D31" s="25">
        <v>220942</v>
      </c>
      <c r="E31" s="25">
        <f>105752.46-61692.53*0+1</f>
        <v>105753.46</v>
      </c>
      <c r="F31" s="25">
        <v>211504.93</v>
      </c>
      <c r="G31" s="25">
        <f t="shared" si="5"/>
        <v>-115188.54</v>
      </c>
      <c r="H31" s="25">
        <f t="shared" si="6"/>
        <v>-9437.070000000007</v>
      </c>
      <c r="I31" s="58">
        <v>0.21</v>
      </c>
      <c r="J31" s="58">
        <v>0.05</v>
      </c>
      <c r="K31" s="25">
        <f>(G31*I31-L31*I31)-12956</f>
        <v>-37046.504164999998</v>
      </c>
      <c r="L31" s="25">
        <f t="shared" si="8"/>
        <v>-471.85350000000039</v>
      </c>
      <c r="M31" s="56">
        <f t="shared" si="9"/>
        <v>27543347.551109999</v>
      </c>
      <c r="N31" s="56">
        <v>144817.32</v>
      </c>
    </row>
    <row r="32" spans="1:14" ht="15" x14ac:dyDescent="0.25">
      <c r="A32" s="12">
        <v>43466</v>
      </c>
      <c r="B32"/>
      <c r="C32" s="56">
        <v>100049070</v>
      </c>
      <c r="D32" s="25">
        <v>220942</v>
      </c>
      <c r="E32" s="25">
        <f>93328.91-69323.95*0+4</f>
        <v>93332.91</v>
      </c>
      <c r="F32" s="25">
        <f>186657.83+2</f>
        <v>186659.83</v>
      </c>
      <c r="G32" s="25">
        <f t="shared" si="5"/>
        <v>-127609.09</v>
      </c>
      <c r="H32" s="25">
        <f t="shared" si="6"/>
        <v>-34282.170000000013</v>
      </c>
      <c r="I32" s="58">
        <v>0.21</v>
      </c>
      <c r="J32" s="58">
        <v>0.05</v>
      </c>
      <c r="K32" s="25">
        <f>(G32*I32+1714.21*I32)-14441</f>
        <v>-40878.924799999993</v>
      </c>
      <c r="L32" s="25">
        <f>(H32*J32)-118</f>
        <v>-1832.1085000000007</v>
      </c>
      <c r="M32" s="56">
        <f t="shared" si="9"/>
        <v>27500636.517809998</v>
      </c>
      <c r="N32" s="56">
        <f>144163.09+10564.43</f>
        <v>154727.51999999999</v>
      </c>
    </row>
    <row r="33" spans="1:14" ht="15" x14ac:dyDescent="0.25">
      <c r="A33" s="12">
        <v>43497</v>
      </c>
      <c r="B33"/>
      <c r="C33" s="56">
        <v>100049070</v>
      </c>
      <c r="D33" s="25">
        <v>220942</v>
      </c>
      <c r="E33" s="25">
        <f>93328.91-69323.95*0-4*0</f>
        <v>93328.91</v>
      </c>
      <c r="F33" s="25">
        <v>186657.83</v>
      </c>
      <c r="G33" s="25">
        <f t="shared" si="5"/>
        <v>-127613.09</v>
      </c>
      <c r="H33" s="25">
        <f t="shared" si="6"/>
        <v>-34284.170000000013</v>
      </c>
      <c r="I33" s="58">
        <v>0.21</v>
      </c>
      <c r="J33" s="58">
        <v>0.05</v>
      </c>
      <c r="K33" s="25">
        <f>(G33*I33+1714.21*I33)-14441</f>
        <v>-40879.764799999997</v>
      </c>
      <c r="L33" s="25">
        <f>(H33*J33)-118</f>
        <v>-1832.2085000000006</v>
      </c>
      <c r="M33" s="56">
        <f t="shared" si="9"/>
        <v>27457924.544509996</v>
      </c>
      <c r="N33" s="56">
        <f>153311.28+9214.05</f>
        <v>162525.32999999999</v>
      </c>
    </row>
    <row r="34" spans="1:14" x14ac:dyDescent="0.2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x14ac:dyDescent="0.2">
      <c r="C35" s="56" t="s">
        <v>57</v>
      </c>
      <c r="D35" s="25"/>
      <c r="E35" s="25"/>
      <c r="F35" s="25"/>
      <c r="G35" s="25"/>
      <c r="H35" s="25"/>
      <c r="I35" s="58"/>
      <c r="J35" s="58"/>
      <c r="K35" s="31"/>
      <c r="L35" s="31"/>
      <c r="M35" s="31"/>
      <c r="N35" s="31"/>
    </row>
    <row r="36" spans="1:14" x14ac:dyDescent="0.2">
      <c r="C36" s="56"/>
      <c r="D36" s="56"/>
      <c r="E36" s="56"/>
      <c r="F36" s="56"/>
      <c r="G36" s="56"/>
      <c r="H36" s="56"/>
      <c r="I36" s="56"/>
      <c r="J36" s="56"/>
      <c r="K36" s="31"/>
      <c r="L36" s="31"/>
      <c r="M36" s="31"/>
      <c r="N36" s="31"/>
    </row>
    <row r="37" spans="1:14" x14ac:dyDescent="0.2">
      <c r="C37" s="40" t="s">
        <v>20</v>
      </c>
      <c r="D37" s="26"/>
      <c r="E37" s="27"/>
      <c r="F37" s="27"/>
      <c r="G37" s="27"/>
      <c r="H37" s="61"/>
      <c r="I37" s="61"/>
      <c r="J37" s="61"/>
      <c r="K37" s="31"/>
      <c r="L37" s="31"/>
      <c r="M37" s="31"/>
      <c r="N37" s="31"/>
    </row>
    <row r="38" spans="1:14" x14ac:dyDescent="0.2">
      <c r="C38" s="40" t="s">
        <v>21</v>
      </c>
      <c r="D38" s="26"/>
      <c r="E38" s="27"/>
      <c r="F38" s="27"/>
      <c r="G38" s="27"/>
      <c r="H38" s="61"/>
      <c r="I38" s="61"/>
      <c r="J38" s="61"/>
      <c r="K38" s="31"/>
      <c r="L38" s="31"/>
      <c r="M38" s="31"/>
      <c r="N38" s="31"/>
    </row>
    <row r="39" spans="1:14" x14ac:dyDescent="0.2">
      <c r="C39" s="40" t="s">
        <v>58</v>
      </c>
      <c r="D39" s="26"/>
      <c r="E39" s="27"/>
      <c r="F39" s="27"/>
      <c r="G39" s="27"/>
      <c r="H39" s="61"/>
      <c r="I39" s="61"/>
      <c r="J39" s="61"/>
      <c r="K39" s="31"/>
      <c r="L39" s="31"/>
      <c r="M39" s="31"/>
      <c r="N39" s="31"/>
    </row>
    <row r="40" spans="1:14" x14ac:dyDescent="0.2">
      <c r="C40" s="59" t="s">
        <v>22</v>
      </c>
      <c r="D40" s="26"/>
      <c r="E40" s="27"/>
      <c r="F40" s="27"/>
      <c r="G40" s="27"/>
      <c r="H40" s="61"/>
      <c r="I40" s="61"/>
      <c r="J40" s="61"/>
      <c r="K40" s="31"/>
      <c r="L40" s="31"/>
      <c r="M40" s="31"/>
      <c r="N40" s="31"/>
    </row>
    <row r="41" spans="1:14" x14ac:dyDescent="0.2">
      <c r="C41" s="61"/>
      <c r="D41" s="61"/>
      <c r="E41" s="61"/>
      <c r="F41" s="61"/>
      <c r="G41" s="61"/>
      <c r="H41" s="61"/>
      <c r="I41" s="61"/>
      <c r="J41" s="61"/>
      <c r="K41" s="31"/>
      <c r="L41" s="31"/>
      <c r="M41" s="31"/>
      <c r="N41" s="31"/>
    </row>
    <row r="42" spans="1:14" x14ac:dyDescent="0.2">
      <c r="C42" s="59" t="s">
        <v>23</v>
      </c>
      <c r="D42" s="28" t="s">
        <v>24</v>
      </c>
      <c r="E42" s="27" t="s">
        <v>25</v>
      </c>
      <c r="F42" s="59" t="s">
        <v>26</v>
      </c>
      <c r="G42" s="60" t="s">
        <v>12</v>
      </c>
      <c r="H42" s="59" t="s">
        <v>27</v>
      </c>
      <c r="I42" s="61"/>
      <c r="J42" s="61"/>
      <c r="K42" s="31"/>
      <c r="L42" s="31"/>
      <c r="M42" s="31"/>
      <c r="N42" s="31"/>
    </row>
    <row r="43" spans="1:14" x14ac:dyDescent="0.2">
      <c r="C43" s="59">
        <f>18534899</f>
        <v>18534899</v>
      </c>
      <c r="D43" s="59">
        <v>220942</v>
      </c>
      <c r="E43" s="59">
        <f>69846+1</f>
        <v>69847</v>
      </c>
      <c r="F43" s="56">
        <f>E43-D43</f>
        <v>-151095</v>
      </c>
      <c r="G43" s="58">
        <v>0.21</v>
      </c>
      <c r="H43" s="64">
        <f>F43*G43</f>
        <v>-31729.949999999997</v>
      </c>
      <c r="I43" s="61"/>
      <c r="J43" s="61"/>
      <c r="K43" s="31"/>
      <c r="L43" s="31"/>
      <c r="M43" s="31"/>
      <c r="N43" s="31"/>
    </row>
    <row r="44" spans="1:14" x14ac:dyDescent="0.2">
      <c r="C44" s="59">
        <v>27802349</v>
      </c>
      <c r="D44" s="59"/>
      <c r="E44" s="59">
        <v>0</v>
      </c>
      <c r="F44" s="56">
        <f>E44-D44</f>
        <v>0</v>
      </c>
      <c r="G44" s="58">
        <v>0.21</v>
      </c>
      <c r="H44" s="64">
        <f>F44*G44</f>
        <v>0</v>
      </c>
      <c r="I44" s="61"/>
      <c r="J44" s="61"/>
      <c r="K44" s="31"/>
      <c r="L44" s="31"/>
      <c r="M44" s="31"/>
      <c r="N44" s="31"/>
    </row>
    <row r="45" spans="1:14" x14ac:dyDescent="0.2">
      <c r="C45" s="59">
        <f>-176214+-264321</f>
        <v>-440535</v>
      </c>
      <c r="D45" s="61"/>
      <c r="E45" s="59">
        <v>-718</v>
      </c>
      <c r="F45" s="56">
        <f t="shared" ref="F45:F56" si="11">E45</f>
        <v>-718</v>
      </c>
      <c r="G45" s="58">
        <v>0.21</v>
      </c>
      <c r="H45" s="64">
        <f t="shared" ref="H45:H56" si="12">F45*G45</f>
        <v>-150.78</v>
      </c>
      <c r="I45" s="61"/>
      <c r="J45" s="61"/>
      <c r="K45" s="31"/>
      <c r="L45" s="31"/>
      <c r="M45" s="31"/>
      <c r="N45" s="31"/>
    </row>
    <row r="46" spans="1:14" x14ac:dyDescent="0.2">
      <c r="C46" s="59">
        <f>526898</f>
        <v>526898</v>
      </c>
      <c r="D46" s="61"/>
      <c r="E46" s="59">
        <v>2321</v>
      </c>
      <c r="F46" s="56">
        <f t="shared" si="11"/>
        <v>2321</v>
      </c>
      <c r="G46" s="58">
        <v>0.21</v>
      </c>
      <c r="H46" s="64">
        <f t="shared" si="12"/>
        <v>487.40999999999997</v>
      </c>
      <c r="I46" s="61"/>
      <c r="J46" s="61"/>
      <c r="K46" s="31"/>
      <c r="L46" s="31"/>
      <c r="M46" s="31"/>
      <c r="N46" s="31"/>
    </row>
    <row r="47" spans="1:14" x14ac:dyDescent="0.2">
      <c r="C47" s="59">
        <v>790348</v>
      </c>
      <c r="D47" s="61"/>
      <c r="E47" s="59">
        <v>7684</v>
      </c>
      <c r="F47" s="56">
        <f t="shared" si="11"/>
        <v>7684</v>
      </c>
      <c r="G47" s="58">
        <v>0.21</v>
      </c>
      <c r="H47" s="64">
        <f t="shared" si="12"/>
        <v>1613.6399999999999</v>
      </c>
      <c r="I47" s="61"/>
      <c r="J47" s="61"/>
      <c r="K47" s="31"/>
      <c r="L47" s="31"/>
      <c r="M47" s="31"/>
      <c r="N47" s="31"/>
    </row>
    <row r="48" spans="1:14" x14ac:dyDescent="0.2">
      <c r="C48" s="59">
        <v>398743</v>
      </c>
      <c r="D48" s="61"/>
      <c r="E48" s="59">
        <v>1898</v>
      </c>
      <c r="F48" s="56">
        <f t="shared" si="11"/>
        <v>1898</v>
      </c>
      <c r="G48" s="58">
        <v>0.21</v>
      </c>
      <c r="H48" s="64">
        <f t="shared" si="12"/>
        <v>398.58</v>
      </c>
      <c r="I48" s="61"/>
      <c r="J48" s="61"/>
      <c r="K48" s="31"/>
      <c r="L48" s="31"/>
      <c r="M48" s="31"/>
      <c r="N48" s="31"/>
    </row>
    <row r="49" spans="3:14" x14ac:dyDescent="0.2">
      <c r="C49" s="59">
        <v>1064181</v>
      </c>
      <c r="D49" s="61"/>
      <c r="E49" s="59">
        <v>5066</v>
      </c>
      <c r="F49" s="56">
        <f t="shared" si="11"/>
        <v>5066</v>
      </c>
      <c r="G49" s="58">
        <v>0.21</v>
      </c>
      <c r="H49" s="64">
        <f t="shared" si="12"/>
        <v>1063.8599999999999</v>
      </c>
      <c r="I49" s="61"/>
      <c r="J49" s="61"/>
      <c r="K49" s="31"/>
      <c r="L49" s="31"/>
      <c r="M49" s="31"/>
      <c r="N49" s="31"/>
    </row>
    <row r="50" spans="3:14" x14ac:dyDescent="0.2">
      <c r="C50" s="59">
        <v>81522</v>
      </c>
      <c r="D50" s="61"/>
      <c r="E50" s="59">
        <v>388</v>
      </c>
      <c r="F50" s="56">
        <f t="shared" si="11"/>
        <v>388</v>
      </c>
      <c r="G50" s="58">
        <v>0.21</v>
      </c>
      <c r="H50" s="64">
        <f t="shared" si="12"/>
        <v>81.48</v>
      </c>
      <c r="I50" s="61"/>
      <c r="J50" s="61"/>
      <c r="K50" s="31"/>
      <c r="L50" s="31"/>
      <c r="M50" s="31"/>
      <c r="N50" s="31"/>
    </row>
    <row r="51" spans="3:14" x14ac:dyDescent="0.2">
      <c r="C51" s="59">
        <v>43567</v>
      </c>
      <c r="D51" s="61"/>
      <c r="E51" s="59">
        <v>207</v>
      </c>
      <c r="F51" s="56">
        <f t="shared" si="11"/>
        <v>207</v>
      </c>
      <c r="G51" s="58">
        <v>0.21</v>
      </c>
      <c r="H51" s="64">
        <f t="shared" si="12"/>
        <v>43.47</v>
      </c>
      <c r="I51" s="61"/>
      <c r="J51" s="61"/>
      <c r="K51" s="31"/>
      <c r="L51" s="31"/>
      <c r="M51" s="31"/>
      <c r="N51" s="31"/>
    </row>
    <row r="52" spans="3:14" x14ac:dyDescent="0.2">
      <c r="C52" s="59">
        <v>80051</v>
      </c>
      <c r="D52" s="61"/>
      <c r="E52" s="59">
        <v>381</v>
      </c>
      <c r="F52" s="56">
        <f t="shared" si="11"/>
        <v>381</v>
      </c>
      <c r="G52" s="58">
        <v>0.21</v>
      </c>
      <c r="H52" s="64">
        <f t="shared" si="12"/>
        <v>80.009999999999991</v>
      </c>
      <c r="I52" s="61"/>
      <c r="J52" s="61"/>
      <c r="K52" s="31"/>
      <c r="L52" s="31"/>
      <c r="M52" s="31"/>
      <c r="N52" s="31"/>
    </row>
    <row r="53" spans="3:14" x14ac:dyDescent="0.2">
      <c r="C53" s="59">
        <v>415872</v>
      </c>
      <c r="D53" s="61"/>
      <c r="E53" s="41">
        <v>2094</v>
      </c>
      <c r="F53" s="42">
        <f t="shared" si="11"/>
        <v>2094</v>
      </c>
      <c r="G53" s="58">
        <v>0.21</v>
      </c>
      <c r="H53" s="43">
        <f t="shared" si="12"/>
        <v>439.74</v>
      </c>
      <c r="I53" s="61"/>
      <c r="J53" s="61"/>
      <c r="K53" s="31"/>
      <c r="L53" s="31"/>
      <c r="M53" s="31"/>
      <c r="N53" s="31"/>
    </row>
    <row r="54" spans="3:14" x14ac:dyDescent="0.2">
      <c r="C54" s="59">
        <v>9056</v>
      </c>
      <c r="D54" s="61"/>
      <c r="E54" s="41">
        <v>46</v>
      </c>
      <c r="F54" s="42">
        <f t="shared" si="11"/>
        <v>46</v>
      </c>
      <c r="G54" s="58">
        <v>0.21</v>
      </c>
      <c r="H54" s="43">
        <f t="shared" si="12"/>
        <v>9.66</v>
      </c>
      <c r="I54" s="61"/>
      <c r="J54" s="61"/>
      <c r="K54" s="31"/>
      <c r="L54" s="31"/>
      <c r="M54" s="31"/>
      <c r="N54" s="31"/>
    </row>
    <row r="55" spans="3:14" x14ac:dyDescent="0.2">
      <c r="C55" s="59">
        <v>725252</v>
      </c>
      <c r="D55" s="61"/>
      <c r="E55" s="41">
        <v>4107</v>
      </c>
      <c r="F55" s="42">
        <f t="shared" si="11"/>
        <v>4107</v>
      </c>
      <c r="G55" s="58">
        <v>0.21</v>
      </c>
      <c r="H55" s="43">
        <f t="shared" si="12"/>
        <v>862.46999999999991</v>
      </c>
      <c r="I55" s="61"/>
      <c r="J55" s="61"/>
      <c r="K55" s="31"/>
      <c r="L55" s="31"/>
      <c r="M55" s="31"/>
      <c r="N55" s="31"/>
    </row>
    <row r="56" spans="3:14" ht="15" x14ac:dyDescent="0.35">
      <c r="C56" s="44">
        <v>1388</v>
      </c>
      <c r="D56" s="61"/>
      <c r="E56" s="44">
        <v>8</v>
      </c>
      <c r="F56" s="45">
        <f t="shared" si="11"/>
        <v>8</v>
      </c>
      <c r="G56" s="58">
        <v>0.21</v>
      </c>
      <c r="H56" s="46">
        <f t="shared" si="12"/>
        <v>1.68</v>
      </c>
      <c r="I56" s="61"/>
      <c r="J56" s="61"/>
      <c r="K56" s="31"/>
      <c r="L56" s="31"/>
      <c r="M56" s="31"/>
      <c r="N56" s="31"/>
    </row>
    <row r="57" spans="3:14" x14ac:dyDescent="0.2">
      <c r="C57" s="56">
        <f>SUM(C43:C56)</f>
        <v>50033591</v>
      </c>
      <c r="D57" s="61"/>
      <c r="E57" s="59">
        <f>SUM(E43:E56)</f>
        <v>93329</v>
      </c>
      <c r="F57" s="59">
        <f>SUM(F43:F56)</f>
        <v>-127613</v>
      </c>
      <c r="G57" s="47" t="s">
        <v>28</v>
      </c>
      <c r="H57" s="64">
        <f>SUM(H43:H56)</f>
        <v>-26798.729999999992</v>
      </c>
      <c r="I57" s="61"/>
      <c r="J57" s="61"/>
      <c r="K57" s="31"/>
      <c r="L57" s="31"/>
      <c r="M57" s="31"/>
      <c r="N57" s="31"/>
    </row>
    <row r="58" spans="3:14" ht="15" x14ac:dyDescent="0.35">
      <c r="C58" s="61"/>
      <c r="D58" s="61"/>
      <c r="E58" s="56"/>
      <c r="F58" s="56"/>
      <c r="G58" s="47" t="s">
        <v>29</v>
      </c>
      <c r="H58" s="46">
        <f>-H75*0.21</f>
        <v>359.98199999999997</v>
      </c>
      <c r="I58" s="61"/>
      <c r="J58" s="61"/>
      <c r="K58" s="31"/>
      <c r="L58" s="31"/>
      <c r="M58" s="31"/>
      <c r="N58" s="31"/>
    </row>
    <row r="59" spans="3:14" x14ac:dyDescent="0.2">
      <c r="C59" s="61"/>
      <c r="D59" s="61"/>
      <c r="E59" s="61"/>
      <c r="F59" s="61"/>
      <c r="G59" s="61"/>
      <c r="H59" s="64">
        <f>H57+H58</f>
        <v>-26438.747999999992</v>
      </c>
      <c r="I59" s="61"/>
      <c r="J59" s="61"/>
      <c r="K59" s="31"/>
      <c r="L59" s="31"/>
      <c r="M59" s="31"/>
      <c r="N59" s="31"/>
    </row>
    <row r="60" spans="3:14" x14ac:dyDescent="0.2">
      <c r="C60" s="61"/>
      <c r="D60" s="61"/>
      <c r="E60" s="61"/>
      <c r="F60" s="61"/>
      <c r="G60" s="61"/>
      <c r="H60" s="64">
        <f>-H59+K33</f>
        <v>-14441.016800000005</v>
      </c>
      <c r="I60" s="63" t="s">
        <v>59</v>
      </c>
      <c r="J60" s="61"/>
      <c r="K60" s="31"/>
      <c r="L60" s="31"/>
      <c r="M60" s="31"/>
      <c r="N60" s="31"/>
    </row>
    <row r="61" spans="3:14" x14ac:dyDescent="0.2">
      <c r="C61" s="59" t="s">
        <v>30</v>
      </c>
      <c r="D61" s="26" t="s">
        <v>24</v>
      </c>
      <c r="E61" s="27" t="s">
        <v>31</v>
      </c>
      <c r="F61" s="59" t="s">
        <v>32</v>
      </c>
      <c r="G61" s="60" t="s">
        <v>13</v>
      </c>
      <c r="H61" s="59" t="s">
        <v>33</v>
      </c>
      <c r="I61" s="61"/>
      <c r="J61" s="61"/>
      <c r="K61" s="31"/>
      <c r="L61" s="31"/>
      <c r="M61" s="31"/>
      <c r="N61" s="31"/>
    </row>
    <row r="62" spans="3:14" x14ac:dyDescent="0.2">
      <c r="C62" s="59">
        <v>37069798</v>
      </c>
      <c r="D62" s="56">
        <f>D43</f>
        <v>220942</v>
      </c>
      <c r="E62" s="56">
        <v>139691</v>
      </c>
      <c r="F62" s="56">
        <f>E62-D62</f>
        <v>-81251</v>
      </c>
      <c r="G62" s="58">
        <v>0.05</v>
      </c>
      <c r="H62" s="64">
        <f>F62*G62</f>
        <v>-4062.55</v>
      </c>
      <c r="I62" s="61"/>
      <c r="J62" s="61"/>
      <c r="K62" s="31"/>
      <c r="L62" s="31"/>
      <c r="M62" s="31"/>
      <c r="N62" s="31"/>
    </row>
    <row r="63" spans="3:14" x14ac:dyDescent="0.2">
      <c r="C63" s="59">
        <v>55076054</v>
      </c>
      <c r="D63" s="61"/>
      <c r="E63" s="56">
        <v>0</v>
      </c>
      <c r="F63" s="56">
        <f>E63</f>
        <v>0</v>
      </c>
      <c r="G63" s="58">
        <v>0.05</v>
      </c>
      <c r="H63" s="64">
        <f t="shared" ref="H63:H74" si="13">F63*G63</f>
        <v>0</v>
      </c>
      <c r="I63" s="61"/>
      <c r="J63" s="61"/>
      <c r="K63" s="31"/>
      <c r="L63" s="31"/>
      <c r="M63" s="31"/>
      <c r="N63" s="31"/>
    </row>
    <row r="64" spans="3:14" x14ac:dyDescent="0.2">
      <c r="C64" s="59">
        <v>-352428</v>
      </c>
      <c r="D64" s="61"/>
      <c r="E64" s="56">
        <v>-1435</v>
      </c>
      <c r="F64" s="56">
        <f t="shared" ref="F64:F74" si="14">E64</f>
        <v>-1435</v>
      </c>
      <c r="G64" s="58">
        <v>0.05</v>
      </c>
      <c r="H64" s="64">
        <f t="shared" si="13"/>
        <v>-71.75</v>
      </c>
      <c r="I64" s="61"/>
      <c r="J64" s="61"/>
      <c r="K64" s="31"/>
      <c r="L64" s="31"/>
      <c r="M64" s="31"/>
      <c r="N64" s="31"/>
    </row>
    <row r="65" spans="3:14" x14ac:dyDescent="0.2">
      <c r="C65" s="59">
        <v>1053797</v>
      </c>
      <c r="D65" s="61"/>
      <c r="E65" s="56">
        <v>4641</v>
      </c>
      <c r="F65" s="56">
        <f t="shared" si="14"/>
        <v>4641</v>
      </c>
      <c r="G65" s="58">
        <v>0.05</v>
      </c>
      <c r="H65" s="64">
        <f t="shared" si="13"/>
        <v>232.05</v>
      </c>
      <c r="I65" s="61"/>
      <c r="J65" s="61"/>
      <c r="K65" s="31"/>
      <c r="L65" s="31"/>
      <c r="M65" s="31"/>
      <c r="N65" s="31"/>
    </row>
    <row r="66" spans="3:14" x14ac:dyDescent="0.2">
      <c r="C66" s="59">
        <v>1580696</v>
      </c>
      <c r="D66" s="61"/>
      <c r="E66" s="56">
        <v>15368</v>
      </c>
      <c r="F66" s="56">
        <f t="shared" si="14"/>
        <v>15368</v>
      </c>
      <c r="G66" s="58">
        <v>0.05</v>
      </c>
      <c r="H66" s="64">
        <f t="shared" si="13"/>
        <v>768.40000000000009</v>
      </c>
      <c r="I66" s="61"/>
      <c r="J66" s="61"/>
      <c r="K66" s="31"/>
      <c r="L66" s="31"/>
      <c r="M66" s="31"/>
      <c r="N66" s="31"/>
    </row>
    <row r="67" spans="3:14" x14ac:dyDescent="0.2">
      <c r="C67" s="59">
        <v>797485</v>
      </c>
      <c r="D67" s="61"/>
      <c r="E67" s="56">
        <v>3797</v>
      </c>
      <c r="F67" s="56">
        <f t="shared" si="14"/>
        <v>3797</v>
      </c>
      <c r="G67" s="58">
        <v>0.05</v>
      </c>
      <c r="H67" s="64">
        <f t="shared" si="13"/>
        <v>189.85000000000002</v>
      </c>
      <c r="I67" s="61"/>
      <c r="J67" s="61"/>
      <c r="K67" s="31"/>
      <c r="L67" s="31"/>
      <c r="M67" s="31"/>
      <c r="N67" s="31"/>
    </row>
    <row r="68" spans="3:14" x14ac:dyDescent="0.2">
      <c r="C68" s="59">
        <v>2291406</v>
      </c>
      <c r="D68" s="61"/>
      <c r="E68" s="56">
        <v>10910</v>
      </c>
      <c r="F68" s="56">
        <f t="shared" si="14"/>
        <v>10910</v>
      </c>
      <c r="G68" s="58">
        <v>0.05</v>
      </c>
      <c r="H68" s="64">
        <f t="shared" si="13"/>
        <v>545.5</v>
      </c>
      <c r="I68" s="61"/>
      <c r="J68" s="61"/>
      <c r="K68" s="31"/>
      <c r="L68" s="31"/>
      <c r="M68" s="31"/>
      <c r="N68" s="31"/>
    </row>
    <row r="69" spans="3:14" x14ac:dyDescent="0.2">
      <c r="C69" s="59">
        <v>87134</v>
      </c>
      <c r="D69" s="61"/>
      <c r="E69" s="56">
        <v>415</v>
      </c>
      <c r="F69" s="56">
        <f t="shared" si="14"/>
        <v>415</v>
      </c>
      <c r="G69" s="58">
        <v>0.05</v>
      </c>
      <c r="H69" s="64">
        <f t="shared" si="13"/>
        <v>20.75</v>
      </c>
      <c r="I69" s="61"/>
      <c r="J69" s="61"/>
      <c r="K69" s="31"/>
      <c r="L69" s="31"/>
      <c r="M69" s="31"/>
      <c r="N69" s="31"/>
    </row>
    <row r="70" spans="3:14" x14ac:dyDescent="0.2">
      <c r="C70" s="59">
        <v>160101</v>
      </c>
      <c r="D70" s="61"/>
      <c r="E70" s="56">
        <v>762</v>
      </c>
      <c r="F70" s="56">
        <f t="shared" si="14"/>
        <v>762</v>
      </c>
      <c r="G70" s="58">
        <v>0.05</v>
      </c>
      <c r="H70" s="64">
        <f t="shared" si="13"/>
        <v>38.1</v>
      </c>
      <c r="I70" s="61"/>
      <c r="J70" s="61"/>
      <c r="K70" s="31"/>
      <c r="L70" s="31"/>
      <c r="M70" s="31"/>
      <c r="N70" s="31"/>
    </row>
    <row r="71" spans="3:14" x14ac:dyDescent="0.2">
      <c r="C71" s="59">
        <v>813634</v>
      </c>
      <c r="D71" s="61"/>
      <c r="E71" s="56">
        <v>4188</v>
      </c>
      <c r="F71" s="56">
        <f t="shared" si="14"/>
        <v>4188</v>
      </c>
      <c r="G71" s="58">
        <v>0.05</v>
      </c>
      <c r="H71" s="64">
        <f t="shared" si="13"/>
        <v>209.4</v>
      </c>
      <c r="I71" s="61"/>
      <c r="J71" s="61"/>
      <c r="K71" s="31"/>
      <c r="L71" s="31"/>
      <c r="M71" s="31"/>
      <c r="N71" s="31"/>
    </row>
    <row r="72" spans="3:14" x14ac:dyDescent="0.2">
      <c r="C72" s="59">
        <v>18111</v>
      </c>
      <c r="D72" s="61"/>
      <c r="E72" s="42">
        <v>93</v>
      </c>
      <c r="F72" s="42">
        <f t="shared" si="14"/>
        <v>93</v>
      </c>
      <c r="G72" s="58">
        <v>0.05</v>
      </c>
      <c r="H72" s="43">
        <f t="shared" si="13"/>
        <v>4.6500000000000004</v>
      </c>
      <c r="I72" s="61"/>
      <c r="J72" s="61"/>
      <c r="K72" s="31"/>
      <c r="L72" s="31"/>
      <c r="M72" s="31"/>
      <c r="N72" s="31"/>
    </row>
    <row r="73" spans="3:14" x14ac:dyDescent="0.2">
      <c r="C73" s="59">
        <v>1450504</v>
      </c>
      <c r="D73" s="61"/>
      <c r="E73" s="42">
        <v>8213</v>
      </c>
      <c r="F73" s="42">
        <f t="shared" si="14"/>
        <v>8213</v>
      </c>
      <c r="G73" s="58">
        <v>0.05</v>
      </c>
      <c r="H73" s="43">
        <f t="shared" si="13"/>
        <v>410.65000000000003</v>
      </c>
      <c r="I73" s="61"/>
      <c r="J73" s="61"/>
      <c r="K73" s="31"/>
      <c r="L73" s="31"/>
      <c r="M73" s="31"/>
      <c r="N73" s="31"/>
    </row>
    <row r="74" spans="3:14" ht="15" x14ac:dyDescent="0.35">
      <c r="C74" s="44">
        <v>2777</v>
      </c>
      <c r="D74" s="61"/>
      <c r="E74" s="45">
        <v>15</v>
      </c>
      <c r="F74" s="45">
        <f t="shared" si="14"/>
        <v>15</v>
      </c>
      <c r="G74" s="58">
        <v>0.05</v>
      </c>
      <c r="H74" s="46">
        <f t="shared" si="13"/>
        <v>0.75</v>
      </c>
      <c r="I74" s="61"/>
      <c r="J74" s="61"/>
      <c r="K74" s="31"/>
      <c r="L74" s="31"/>
      <c r="M74" s="31"/>
      <c r="N74" s="31"/>
    </row>
    <row r="75" spans="3:14" x14ac:dyDescent="0.2">
      <c r="C75" s="56">
        <f>SUM(C62:C74)</f>
        <v>100049069</v>
      </c>
      <c r="D75" s="61"/>
      <c r="E75" s="56">
        <f>SUM(E62:E74)</f>
        <v>186658</v>
      </c>
      <c r="F75" s="56">
        <f>SUM(F62:F74)</f>
        <v>-34284</v>
      </c>
      <c r="G75" s="61"/>
      <c r="H75" s="56">
        <f>SUM(H62:H74)</f>
        <v>-1714.1999999999998</v>
      </c>
      <c r="I75" s="61"/>
      <c r="J75" s="61"/>
      <c r="K75" s="31"/>
      <c r="L75" s="31"/>
      <c r="M75" s="31"/>
      <c r="N75" s="31"/>
    </row>
    <row r="76" spans="3:14" x14ac:dyDescent="0.2">
      <c r="C76" s="61"/>
      <c r="D76" s="61"/>
      <c r="E76" s="56"/>
      <c r="F76" s="56"/>
      <c r="G76" s="61"/>
      <c r="H76" s="56">
        <f>-H75+L33</f>
        <v>-118.00850000000082</v>
      </c>
      <c r="I76" s="63" t="s">
        <v>59</v>
      </c>
      <c r="J76" s="61"/>
      <c r="K76" s="31"/>
      <c r="L76" s="31"/>
      <c r="M76" s="31"/>
      <c r="N76" s="31"/>
    </row>
    <row r="77" spans="3:14" x14ac:dyDescent="0.2">
      <c r="C77" s="61"/>
      <c r="D77" s="61"/>
      <c r="E77" s="61"/>
      <c r="F77" s="61"/>
      <c r="G77" s="61"/>
      <c r="H77" s="61"/>
      <c r="I77" s="61"/>
      <c r="J77" s="61"/>
      <c r="K77" s="31"/>
      <c r="L77" s="31"/>
      <c r="M77" s="31"/>
      <c r="N77" s="31"/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&amp;P of &amp;N
Williams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P53"/>
  <sheetViews>
    <sheetView topLeftCell="C1" zoomScaleNormal="100" workbookViewId="0">
      <selection activeCell="F31" sqref="F31"/>
    </sheetView>
  </sheetViews>
  <sheetFormatPr defaultColWidth="8.85546875" defaultRowHeight="12.75" x14ac:dyDescent="0.2"/>
  <cols>
    <col min="1" max="1" width="11.28515625" style="23" customWidth="1"/>
    <col min="2" max="2" width="1.7109375" style="15" customWidth="1"/>
    <col min="3" max="3" width="12.7109375" style="15" customWidth="1"/>
    <col min="4" max="4" width="14.28515625" style="15" bestFit="1" customWidth="1"/>
    <col min="5" max="5" width="14.28515625" style="15" customWidth="1"/>
    <col min="6" max="6" width="14.28515625" style="15" bestFit="1" customWidth="1"/>
    <col min="7" max="7" width="14.28515625" style="15" customWidth="1"/>
    <col min="8" max="8" width="15.5703125" style="15" customWidth="1"/>
    <col min="9" max="12" width="12.7109375" style="15" customWidth="1"/>
    <col min="13" max="13" width="16.5703125" style="15" bestFit="1" customWidth="1"/>
    <col min="14" max="14" width="12.7109375" style="15" customWidth="1"/>
    <col min="15" max="15" width="11.28515625" style="15" customWidth="1"/>
    <col min="16" max="16" width="14.5703125" style="15" bestFit="1" customWidth="1"/>
    <col min="17" max="16384" width="8.85546875" style="15"/>
  </cols>
  <sheetData>
    <row r="1" spans="1:16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6" x14ac:dyDescent="0.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6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6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5"/>
    </row>
    <row r="5" spans="1:16" x14ac:dyDescent="0.2">
      <c r="A5" s="18" t="s">
        <v>52</v>
      </c>
    </row>
    <row r="6" spans="1:16" x14ac:dyDescent="0.2">
      <c r="A6" s="19" t="s">
        <v>53</v>
      </c>
    </row>
    <row r="8" spans="1:16" s="22" customFormat="1" ht="38.25" x14ac:dyDescent="0.2">
      <c r="A8" s="20" t="s">
        <v>5</v>
      </c>
      <c r="B8" s="21"/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38</v>
      </c>
      <c r="J8" s="21" t="s">
        <v>39</v>
      </c>
      <c r="K8" s="21" t="s">
        <v>14</v>
      </c>
      <c r="L8" s="21" t="s">
        <v>15</v>
      </c>
      <c r="M8" s="21" t="s">
        <v>16</v>
      </c>
      <c r="N8" s="21" t="s">
        <v>17</v>
      </c>
    </row>
    <row r="9" spans="1:16" x14ac:dyDescent="0.2">
      <c r="A9" s="23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25"/>
      <c r="N9" s="31"/>
    </row>
    <row r="10" spans="1:16" ht="15" x14ac:dyDescent="0.25">
      <c r="A10" s="10">
        <v>42795</v>
      </c>
      <c r="B10"/>
      <c r="C10" s="56">
        <v>2772037</v>
      </c>
      <c r="D10" s="25">
        <v>2437</v>
      </c>
      <c r="E10" s="25">
        <f>119832.9+19543</f>
        <v>139375.9</v>
      </c>
      <c r="F10" s="25">
        <f>8662.62+19543</f>
        <v>28205.620000000003</v>
      </c>
      <c r="G10" s="25">
        <f>E10-D10</f>
        <v>136938.9</v>
      </c>
      <c r="H10" s="56">
        <f>F10-D10</f>
        <v>25768.620000000003</v>
      </c>
      <c r="I10" s="58">
        <v>0.35</v>
      </c>
      <c r="J10" s="58">
        <v>0.06</v>
      </c>
      <c r="K10" s="56">
        <f>G10*I10-L10*I10</f>
        <v>47387.473979999995</v>
      </c>
      <c r="L10" s="56">
        <f>H10*J10</f>
        <v>1546.1172000000001</v>
      </c>
      <c r="M10" s="56">
        <f>M9+K10+L10</f>
        <v>48933.591179999996</v>
      </c>
      <c r="N10" s="56">
        <v>0</v>
      </c>
      <c r="P10" s="24"/>
    </row>
    <row r="11" spans="1:16" ht="15" x14ac:dyDescent="0.25">
      <c r="A11" s="12">
        <v>42826</v>
      </c>
      <c r="B11"/>
      <c r="C11" s="56">
        <v>2772037</v>
      </c>
      <c r="D11" s="25">
        <v>4874</v>
      </c>
      <c r="E11" s="25">
        <f>119832.9+19543+2438</f>
        <v>141813.9</v>
      </c>
      <c r="F11" s="25">
        <f>8662.62+19543+2438</f>
        <v>30643.620000000003</v>
      </c>
      <c r="G11" s="25">
        <f t="shared" ref="G11:G15" si="0">E11-D11</f>
        <v>136939.9</v>
      </c>
      <c r="H11" s="56">
        <f t="shared" ref="H11:H15" si="1">F11-D11</f>
        <v>25769.620000000003</v>
      </c>
      <c r="I11" s="58">
        <v>0.35</v>
      </c>
      <c r="J11" s="58">
        <v>0.06</v>
      </c>
      <c r="K11" s="56">
        <f t="shared" ref="K11:K15" si="2">G11*I11-L11*I11</f>
        <v>47387.802979999993</v>
      </c>
      <c r="L11" s="56">
        <f t="shared" ref="L11:L15" si="3">H11*J11</f>
        <v>1546.1772000000001</v>
      </c>
      <c r="M11" s="56">
        <f t="shared" ref="M11:M15" si="4">M10+K11+L11</f>
        <v>97867.571360000002</v>
      </c>
      <c r="N11" s="56">
        <v>0</v>
      </c>
      <c r="O11" s="24"/>
      <c r="P11" s="36"/>
    </row>
    <row r="12" spans="1:16" ht="15" x14ac:dyDescent="0.25">
      <c r="A12" s="12">
        <v>42856</v>
      </c>
      <c r="B12"/>
      <c r="C12" s="56">
        <v>2772037</v>
      </c>
      <c r="D12" s="25">
        <v>4874</v>
      </c>
      <c r="E12" s="25">
        <f t="shared" ref="E12:E13" si="5">119832.9+19543+2438</f>
        <v>141813.9</v>
      </c>
      <c r="F12" s="25">
        <f t="shared" ref="F12:F13" si="6">8662.62+19543+2438</f>
        <v>30643.620000000003</v>
      </c>
      <c r="G12" s="25">
        <f t="shared" si="0"/>
        <v>136939.9</v>
      </c>
      <c r="H12" s="56">
        <f t="shared" si="1"/>
        <v>25769.620000000003</v>
      </c>
      <c r="I12" s="58">
        <v>0.35</v>
      </c>
      <c r="J12" s="58">
        <v>0.06</v>
      </c>
      <c r="K12" s="56">
        <f t="shared" si="2"/>
        <v>47387.802979999993</v>
      </c>
      <c r="L12" s="56">
        <f t="shared" si="3"/>
        <v>1546.1772000000001</v>
      </c>
      <c r="M12" s="56">
        <f t="shared" si="4"/>
        <v>146801.55153999999</v>
      </c>
      <c r="N12" s="56">
        <v>0</v>
      </c>
      <c r="O12" s="36"/>
    </row>
    <row r="13" spans="1:16" ht="15" x14ac:dyDescent="0.25">
      <c r="A13" s="12">
        <v>42887</v>
      </c>
      <c r="B13"/>
      <c r="C13" s="56">
        <v>2772037</v>
      </c>
      <c r="D13" s="25">
        <v>4874</v>
      </c>
      <c r="E13" s="25">
        <f t="shared" si="5"/>
        <v>141813.9</v>
      </c>
      <c r="F13" s="25">
        <f t="shared" si="6"/>
        <v>30643.620000000003</v>
      </c>
      <c r="G13" s="25">
        <f t="shared" si="0"/>
        <v>136939.9</v>
      </c>
      <c r="H13" s="56">
        <f t="shared" si="1"/>
        <v>25769.620000000003</v>
      </c>
      <c r="I13" s="58">
        <v>0.35</v>
      </c>
      <c r="J13" s="58">
        <v>0.06</v>
      </c>
      <c r="K13" s="56">
        <f t="shared" si="2"/>
        <v>47387.802979999993</v>
      </c>
      <c r="L13" s="56">
        <f t="shared" si="3"/>
        <v>1546.1772000000001</v>
      </c>
      <c r="M13" s="56">
        <f t="shared" si="4"/>
        <v>195735.53172</v>
      </c>
      <c r="N13" s="56">
        <v>0</v>
      </c>
      <c r="O13" s="24"/>
    </row>
    <row r="14" spans="1:16" ht="15" x14ac:dyDescent="0.25">
      <c r="A14" s="12">
        <v>42917</v>
      </c>
      <c r="B14"/>
      <c r="C14" s="56">
        <v>2772037</v>
      </c>
      <c r="D14" s="25">
        <v>5498</v>
      </c>
      <c r="E14" s="25">
        <f>119832.9+19543+2438+624-624</f>
        <v>141813.9</v>
      </c>
      <c r="F14" s="25">
        <f>8662.62+19543+2438+624-624</f>
        <v>30643.620000000003</v>
      </c>
      <c r="G14" s="25">
        <f t="shared" si="0"/>
        <v>136315.9</v>
      </c>
      <c r="H14" s="56">
        <f t="shared" si="1"/>
        <v>25145.620000000003</v>
      </c>
      <c r="I14" s="58">
        <v>0.35</v>
      </c>
      <c r="J14" s="58">
        <v>0.06</v>
      </c>
      <c r="K14" s="56">
        <f t="shared" si="2"/>
        <v>47182.506979999998</v>
      </c>
      <c r="L14" s="56">
        <f t="shared" si="3"/>
        <v>1508.7372</v>
      </c>
      <c r="M14" s="56">
        <f t="shared" si="4"/>
        <v>244426.77590000001</v>
      </c>
      <c r="N14" s="56">
        <v>0</v>
      </c>
      <c r="O14" s="36"/>
    </row>
    <row r="15" spans="1:16" ht="15" x14ac:dyDescent="0.25">
      <c r="A15" s="12">
        <v>42948</v>
      </c>
      <c r="B15"/>
      <c r="C15" s="56">
        <v>2772037</v>
      </c>
      <c r="D15" s="25">
        <v>5498</v>
      </c>
      <c r="E15" s="25">
        <f>119832.9+19543+2438+624+0.4-624+1</f>
        <v>141815.29999999999</v>
      </c>
      <c r="F15" s="25">
        <f>8662.62+19543+2438+624+0.4-624</f>
        <v>30644.020000000004</v>
      </c>
      <c r="G15" s="25">
        <f t="shared" si="0"/>
        <v>136317.29999999999</v>
      </c>
      <c r="H15" s="56">
        <f t="shared" si="1"/>
        <v>25146.020000000004</v>
      </c>
      <c r="I15" s="58">
        <v>0.35</v>
      </c>
      <c r="J15" s="58">
        <v>0.06</v>
      </c>
      <c r="K15" s="56">
        <f t="shared" si="2"/>
        <v>47182.98857999999</v>
      </c>
      <c r="L15" s="56">
        <f t="shared" si="3"/>
        <v>1508.7612000000001</v>
      </c>
      <c r="M15" s="56">
        <f t="shared" si="4"/>
        <v>293118.52568000002</v>
      </c>
      <c r="N15" s="56">
        <v>0</v>
      </c>
      <c r="O15" s="24"/>
    </row>
    <row r="16" spans="1:16" ht="15" x14ac:dyDescent="0.25">
      <c r="A16" s="10">
        <v>42987</v>
      </c>
      <c r="B16"/>
      <c r="C16" s="56">
        <v>3077193</v>
      </c>
      <c r="D16" s="25">
        <v>5800</v>
      </c>
      <c r="E16" s="25">
        <v>183981</v>
      </c>
      <c r="F16" s="25">
        <v>13256</v>
      </c>
      <c r="G16" s="56">
        <f t="shared" ref="G16:G33" si="7">E16-D16</f>
        <v>178181</v>
      </c>
      <c r="H16" s="56">
        <f t="shared" ref="H16:H33" si="8">F16-D16</f>
        <v>7456</v>
      </c>
      <c r="I16" s="58">
        <v>0.35</v>
      </c>
      <c r="J16" s="58">
        <v>0.06</v>
      </c>
      <c r="K16" s="56">
        <f t="shared" ref="K16:K19" si="9">G16*I16-L16*I16</f>
        <v>62206.773999999998</v>
      </c>
      <c r="L16" s="56">
        <f t="shared" ref="L16:L19" si="10">H16*J16</f>
        <v>447.35999999999996</v>
      </c>
      <c r="M16" s="56">
        <f t="shared" ref="M16:M33" si="11">M15+K16+L16</f>
        <v>355772.65967999998</v>
      </c>
      <c r="N16" s="56">
        <v>0</v>
      </c>
      <c r="O16" s="29"/>
    </row>
    <row r="17" spans="1:14" ht="15" x14ac:dyDescent="0.25">
      <c r="A17" s="12">
        <v>43009</v>
      </c>
      <c r="B17"/>
      <c r="C17" s="56">
        <v>3077193</v>
      </c>
      <c r="D17" s="25">
        <v>6103</v>
      </c>
      <c r="E17" s="25">
        <v>184318</v>
      </c>
      <c r="F17" s="25">
        <v>13256</v>
      </c>
      <c r="G17" s="56">
        <f t="shared" si="7"/>
        <v>178215</v>
      </c>
      <c r="H17" s="56">
        <f t="shared" si="8"/>
        <v>7153</v>
      </c>
      <c r="I17" s="58">
        <v>0.35</v>
      </c>
      <c r="J17" s="58">
        <v>0.06</v>
      </c>
      <c r="K17" s="56">
        <f t="shared" si="9"/>
        <v>62225.036999999989</v>
      </c>
      <c r="L17" s="56">
        <f t="shared" si="10"/>
        <v>429.18</v>
      </c>
      <c r="M17" s="59">
        <f t="shared" si="11"/>
        <v>418426.87667999999</v>
      </c>
      <c r="N17" s="56">
        <v>0</v>
      </c>
    </row>
    <row r="18" spans="1:14" ht="15" x14ac:dyDescent="0.25">
      <c r="A18" s="12">
        <v>43040</v>
      </c>
      <c r="B18"/>
      <c r="C18" s="56">
        <v>3077193</v>
      </c>
      <c r="D18" s="25">
        <v>6103</v>
      </c>
      <c r="E18" s="25">
        <v>184315</v>
      </c>
      <c r="F18" s="25">
        <v>13256</v>
      </c>
      <c r="G18" s="56">
        <f t="shared" si="7"/>
        <v>178212</v>
      </c>
      <c r="H18" s="56">
        <f t="shared" si="8"/>
        <v>7153</v>
      </c>
      <c r="I18" s="58">
        <v>0.35</v>
      </c>
      <c r="J18" s="58">
        <v>0.06</v>
      </c>
      <c r="K18" s="56">
        <f t="shared" si="9"/>
        <v>62223.986999999994</v>
      </c>
      <c r="L18" s="56">
        <f t="shared" si="10"/>
        <v>429.18</v>
      </c>
      <c r="M18" s="56">
        <f>M17+K18+L18+1</f>
        <v>481081.04367999994</v>
      </c>
      <c r="N18" s="56">
        <v>0</v>
      </c>
    </row>
    <row r="19" spans="1:14" ht="15" x14ac:dyDescent="0.25">
      <c r="A19" s="12">
        <v>43070</v>
      </c>
      <c r="B19"/>
      <c r="C19" s="56">
        <v>3077193</v>
      </c>
      <c r="D19" s="25">
        <v>6103</v>
      </c>
      <c r="E19" s="25">
        <v>184315</v>
      </c>
      <c r="F19" s="25">
        <v>13256</v>
      </c>
      <c r="G19" s="56">
        <f t="shared" si="7"/>
        <v>178212</v>
      </c>
      <c r="H19" s="56">
        <f t="shared" si="8"/>
        <v>7153</v>
      </c>
      <c r="I19" s="58">
        <v>0.35</v>
      </c>
      <c r="J19" s="58">
        <v>0.06</v>
      </c>
      <c r="K19" s="56">
        <f t="shared" si="9"/>
        <v>62223.986999999994</v>
      </c>
      <c r="L19" s="56">
        <f t="shared" si="10"/>
        <v>429.18</v>
      </c>
      <c r="M19" s="56">
        <f t="shared" si="11"/>
        <v>543734.21068000002</v>
      </c>
      <c r="N19" s="56">
        <v>0</v>
      </c>
    </row>
    <row r="20" spans="1:14" ht="15" x14ac:dyDescent="0.25">
      <c r="A20" s="12">
        <v>43101</v>
      </c>
      <c r="B20"/>
      <c r="C20" s="56">
        <v>3077193</v>
      </c>
      <c r="D20" s="25">
        <v>6103</v>
      </c>
      <c r="E20" s="25">
        <v>9256</v>
      </c>
      <c r="F20" s="25">
        <f>18511.88</f>
        <v>18511.88</v>
      </c>
      <c r="G20" s="56">
        <f t="shared" si="7"/>
        <v>3153</v>
      </c>
      <c r="H20" s="56">
        <f t="shared" si="8"/>
        <v>12408.880000000001</v>
      </c>
      <c r="I20" s="58">
        <v>0.21</v>
      </c>
      <c r="J20" s="58">
        <v>0.05</v>
      </c>
      <c r="K20" s="56">
        <f>G20*I20-L20*I20-697-26</f>
        <v>-164.49324000000001</v>
      </c>
      <c r="L20" s="56">
        <f>H20*J20-127</f>
        <v>493.44400000000007</v>
      </c>
      <c r="M20" s="56">
        <f t="shared" si="11"/>
        <v>544063.16144000005</v>
      </c>
      <c r="N20" s="56">
        <v>0</v>
      </c>
    </row>
    <row r="21" spans="1:14" ht="15" x14ac:dyDescent="0.25">
      <c r="A21" s="12">
        <v>43132</v>
      </c>
      <c r="B21"/>
      <c r="C21" s="56">
        <v>3077193</v>
      </c>
      <c r="D21" s="25">
        <v>6103</v>
      </c>
      <c r="E21" s="25">
        <v>9256</v>
      </c>
      <c r="F21" s="25">
        <f>18511.88</f>
        <v>18511.88</v>
      </c>
      <c r="G21" s="56">
        <f t="shared" si="7"/>
        <v>3153</v>
      </c>
      <c r="H21" s="56">
        <f t="shared" si="8"/>
        <v>12408.880000000001</v>
      </c>
      <c r="I21" s="58">
        <v>0.21</v>
      </c>
      <c r="J21" s="58">
        <v>0.05</v>
      </c>
      <c r="K21" s="56">
        <f t="shared" ref="K21:K33" si="12">G21*I21-L21*I21</f>
        <v>531.83676000000003</v>
      </c>
      <c r="L21" s="56">
        <f t="shared" ref="L21:L33" si="13">H21*J21</f>
        <v>620.44400000000007</v>
      </c>
      <c r="M21" s="56">
        <f t="shared" si="11"/>
        <v>545215.44220000005</v>
      </c>
      <c r="N21" s="56">
        <v>0</v>
      </c>
    </row>
    <row r="22" spans="1:14" ht="15" x14ac:dyDescent="0.25">
      <c r="A22" s="12">
        <v>43160</v>
      </c>
      <c r="B22"/>
      <c r="C22" s="56">
        <v>3077193</v>
      </c>
      <c r="D22" s="25">
        <v>6103</v>
      </c>
      <c r="E22" s="25">
        <v>9256</v>
      </c>
      <c r="F22" s="25">
        <v>18511.88</v>
      </c>
      <c r="G22" s="56">
        <f t="shared" si="7"/>
        <v>3153</v>
      </c>
      <c r="H22" s="56">
        <f t="shared" si="8"/>
        <v>12408.880000000001</v>
      </c>
      <c r="I22" s="58">
        <v>0.21</v>
      </c>
      <c r="J22" s="58">
        <v>0.05</v>
      </c>
      <c r="K22" s="56">
        <f t="shared" si="12"/>
        <v>531.83676000000003</v>
      </c>
      <c r="L22" s="56">
        <f t="shared" si="13"/>
        <v>620.44400000000007</v>
      </c>
      <c r="M22" s="56">
        <f>M21+K22+L22-1</f>
        <v>546366.72296000004</v>
      </c>
      <c r="N22" s="56">
        <v>0</v>
      </c>
    </row>
    <row r="23" spans="1:14" ht="15" x14ac:dyDescent="0.25">
      <c r="A23" s="12">
        <v>43191</v>
      </c>
      <c r="B23"/>
      <c r="C23" s="56">
        <v>3077193</v>
      </c>
      <c r="D23" s="25">
        <v>6103</v>
      </c>
      <c r="E23" s="25">
        <v>9256</v>
      </c>
      <c r="F23" s="25">
        <v>18511.88</v>
      </c>
      <c r="G23" s="56">
        <f t="shared" si="7"/>
        <v>3153</v>
      </c>
      <c r="H23" s="56">
        <f t="shared" si="8"/>
        <v>12408.880000000001</v>
      </c>
      <c r="I23" s="58">
        <v>0.21</v>
      </c>
      <c r="J23" s="58">
        <v>0.05</v>
      </c>
      <c r="K23" s="56">
        <f t="shared" si="12"/>
        <v>531.83676000000003</v>
      </c>
      <c r="L23" s="56">
        <f t="shared" si="13"/>
        <v>620.44400000000007</v>
      </c>
      <c r="M23" s="59">
        <f>M22+K23+L23+1</f>
        <v>547520.00372000004</v>
      </c>
      <c r="N23" s="56">
        <v>0</v>
      </c>
    </row>
    <row r="24" spans="1:14" ht="15" x14ac:dyDescent="0.25">
      <c r="A24" s="12">
        <v>43221</v>
      </c>
      <c r="B24"/>
      <c r="C24" s="56">
        <v>3077193</v>
      </c>
      <c r="D24" s="25">
        <v>6103</v>
      </c>
      <c r="E24" s="25">
        <v>9256</v>
      </c>
      <c r="F24" s="25">
        <v>18511.88</v>
      </c>
      <c r="G24" s="56">
        <f t="shared" si="7"/>
        <v>3153</v>
      </c>
      <c r="H24" s="56">
        <f t="shared" si="8"/>
        <v>12408.880000000001</v>
      </c>
      <c r="I24" s="58">
        <v>0.21</v>
      </c>
      <c r="J24" s="58">
        <v>0.05</v>
      </c>
      <c r="K24" s="56">
        <f t="shared" si="12"/>
        <v>531.83676000000003</v>
      </c>
      <c r="L24" s="56">
        <f t="shared" si="13"/>
        <v>620.44400000000007</v>
      </c>
      <c r="M24" s="56">
        <f t="shared" si="11"/>
        <v>548672.28448000003</v>
      </c>
      <c r="N24" s="56">
        <v>0</v>
      </c>
    </row>
    <row r="25" spans="1:14" ht="15" x14ac:dyDescent="0.25">
      <c r="A25" s="12">
        <v>43252</v>
      </c>
      <c r="B25"/>
      <c r="C25" s="56">
        <v>3077193</v>
      </c>
      <c r="D25" s="25">
        <v>6103</v>
      </c>
      <c r="E25" s="25">
        <v>9256</v>
      </c>
      <c r="F25" s="25">
        <v>18511.88</v>
      </c>
      <c r="G25" s="56">
        <f t="shared" si="7"/>
        <v>3153</v>
      </c>
      <c r="H25" s="56">
        <f t="shared" si="8"/>
        <v>12408.880000000001</v>
      </c>
      <c r="I25" s="58">
        <v>0.21</v>
      </c>
      <c r="J25" s="58">
        <v>0.05</v>
      </c>
      <c r="K25" s="56">
        <f t="shared" si="12"/>
        <v>531.83676000000003</v>
      </c>
      <c r="L25" s="56">
        <f t="shared" si="13"/>
        <v>620.44400000000007</v>
      </c>
      <c r="M25" s="56">
        <f>M24+K25+L25-1</f>
        <v>549823.56524000003</v>
      </c>
      <c r="N25" s="56">
        <v>0</v>
      </c>
    </row>
    <row r="26" spans="1:14" ht="15" x14ac:dyDescent="0.25">
      <c r="A26" s="12">
        <v>43282</v>
      </c>
      <c r="B26"/>
      <c r="C26" s="56">
        <v>3077193</v>
      </c>
      <c r="D26" s="25">
        <v>6103</v>
      </c>
      <c r="E26" s="25">
        <v>9256</v>
      </c>
      <c r="F26" s="25">
        <v>18511.88</v>
      </c>
      <c r="G26" s="56">
        <f t="shared" si="7"/>
        <v>3153</v>
      </c>
      <c r="H26" s="56">
        <f t="shared" si="8"/>
        <v>12408.880000000001</v>
      </c>
      <c r="I26" s="58">
        <v>0.21</v>
      </c>
      <c r="J26" s="58">
        <v>0.05</v>
      </c>
      <c r="K26" s="56">
        <f t="shared" si="12"/>
        <v>531.83676000000003</v>
      </c>
      <c r="L26" s="56">
        <f t="shared" si="13"/>
        <v>620.44400000000007</v>
      </c>
      <c r="M26" s="56">
        <f t="shared" si="11"/>
        <v>550975.84600000002</v>
      </c>
      <c r="N26" s="56">
        <v>0</v>
      </c>
    </row>
    <row r="27" spans="1:14" ht="15" x14ac:dyDescent="0.25">
      <c r="A27" s="12">
        <v>43313</v>
      </c>
      <c r="B27"/>
      <c r="C27" s="56">
        <v>3077193</v>
      </c>
      <c r="D27" s="25">
        <v>6103</v>
      </c>
      <c r="E27" s="25">
        <v>9256</v>
      </c>
      <c r="F27" s="25">
        <v>18511.88</v>
      </c>
      <c r="G27" s="56">
        <f t="shared" si="7"/>
        <v>3153</v>
      </c>
      <c r="H27" s="56">
        <f t="shared" si="8"/>
        <v>12408.880000000001</v>
      </c>
      <c r="I27" s="58">
        <v>0.21</v>
      </c>
      <c r="J27" s="58">
        <v>0.05</v>
      </c>
      <c r="K27" s="56">
        <f t="shared" si="12"/>
        <v>531.83676000000003</v>
      </c>
      <c r="L27" s="56">
        <f t="shared" si="13"/>
        <v>620.44400000000007</v>
      </c>
      <c r="M27" s="56">
        <f>M26+K27+L27+1</f>
        <v>552129.12676000001</v>
      </c>
      <c r="N27" s="56">
        <v>0</v>
      </c>
    </row>
    <row r="28" spans="1:14" ht="15" x14ac:dyDescent="0.25">
      <c r="A28" s="10">
        <v>43352</v>
      </c>
      <c r="B28"/>
      <c r="C28" s="56">
        <v>3077193</v>
      </c>
      <c r="D28" s="25">
        <v>6103</v>
      </c>
      <c r="E28" s="25">
        <v>9255.94</v>
      </c>
      <c r="F28" s="25">
        <v>18511.88</v>
      </c>
      <c r="G28" s="56">
        <f t="shared" si="7"/>
        <v>3152.9400000000005</v>
      </c>
      <c r="H28" s="56">
        <f t="shared" si="8"/>
        <v>12408.880000000001</v>
      </c>
      <c r="I28" s="58">
        <v>0.21</v>
      </c>
      <c r="J28" s="58">
        <v>0.05</v>
      </c>
      <c r="K28" s="56">
        <f t="shared" si="12"/>
        <v>531.82416000000012</v>
      </c>
      <c r="L28" s="56">
        <f t="shared" si="13"/>
        <v>620.44400000000007</v>
      </c>
      <c r="M28" s="56">
        <f t="shared" si="11"/>
        <v>553281.39491999999</v>
      </c>
      <c r="N28" s="56">
        <v>0</v>
      </c>
    </row>
    <row r="29" spans="1:14" ht="15" x14ac:dyDescent="0.25">
      <c r="A29" s="12">
        <v>43374</v>
      </c>
      <c r="B29"/>
      <c r="C29" s="56">
        <v>3077193</v>
      </c>
      <c r="D29" s="25">
        <v>6103</v>
      </c>
      <c r="E29" s="25">
        <v>9255.94</v>
      </c>
      <c r="F29" s="25">
        <v>18511.88</v>
      </c>
      <c r="G29" s="56">
        <f t="shared" si="7"/>
        <v>3152.9400000000005</v>
      </c>
      <c r="H29" s="56">
        <f t="shared" si="8"/>
        <v>12408.880000000001</v>
      </c>
      <c r="I29" s="58">
        <v>0.21</v>
      </c>
      <c r="J29" s="58">
        <v>0.05</v>
      </c>
      <c r="K29" s="56">
        <f t="shared" si="12"/>
        <v>531.82416000000012</v>
      </c>
      <c r="L29" s="56">
        <f t="shared" si="13"/>
        <v>620.44400000000007</v>
      </c>
      <c r="M29" s="59">
        <f t="shared" si="11"/>
        <v>554433.66307999997</v>
      </c>
      <c r="N29" s="56">
        <v>0</v>
      </c>
    </row>
    <row r="30" spans="1:14" ht="15" x14ac:dyDescent="0.25">
      <c r="A30" s="12">
        <v>43405</v>
      </c>
      <c r="B30"/>
      <c r="C30" s="56">
        <v>3077193</v>
      </c>
      <c r="D30" s="25">
        <v>6103</v>
      </c>
      <c r="E30" s="25">
        <v>9255.94</v>
      </c>
      <c r="F30" s="25">
        <v>18511.88</v>
      </c>
      <c r="G30" s="56">
        <f t="shared" si="7"/>
        <v>3152.9400000000005</v>
      </c>
      <c r="H30" s="56">
        <f t="shared" si="8"/>
        <v>12408.880000000001</v>
      </c>
      <c r="I30" s="58">
        <v>0.21</v>
      </c>
      <c r="J30" s="58">
        <v>0.05</v>
      </c>
      <c r="K30" s="56">
        <f t="shared" si="12"/>
        <v>531.82416000000012</v>
      </c>
      <c r="L30" s="56">
        <f t="shared" si="13"/>
        <v>620.44400000000007</v>
      </c>
      <c r="M30" s="56">
        <f t="shared" si="11"/>
        <v>555585.93123999995</v>
      </c>
      <c r="N30" s="56">
        <v>0</v>
      </c>
    </row>
    <row r="31" spans="1:14" ht="15" x14ac:dyDescent="0.25">
      <c r="A31" s="12">
        <v>43435</v>
      </c>
      <c r="B31"/>
      <c r="C31" s="56">
        <v>3077193</v>
      </c>
      <c r="D31" s="25">
        <v>6103</v>
      </c>
      <c r="E31" s="25">
        <v>9255.94</v>
      </c>
      <c r="F31" s="25">
        <v>18511.88</v>
      </c>
      <c r="G31" s="56">
        <f t="shared" si="7"/>
        <v>3152.9400000000005</v>
      </c>
      <c r="H31" s="56">
        <f t="shared" si="8"/>
        <v>12408.880000000001</v>
      </c>
      <c r="I31" s="58">
        <v>0.21</v>
      </c>
      <c r="J31" s="58">
        <v>0.05</v>
      </c>
      <c r="K31" s="56">
        <f t="shared" si="12"/>
        <v>531.82416000000012</v>
      </c>
      <c r="L31" s="56">
        <f t="shared" si="13"/>
        <v>620.44400000000007</v>
      </c>
      <c r="M31" s="56">
        <f t="shared" si="11"/>
        <v>556738.19939999992</v>
      </c>
      <c r="N31" s="56">
        <v>0</v>
      </c>
    </row>
    <row r="32" spans="1:14" ht="15" x14ac:dyDescent="0.25">
      <c r="A32" s="12">
        <v>43466</v>
      </c>
      <c r="B32"/>
      <c r="C32" s="56">
        <v>3077193</v>
      </c>
      <c r="D32" s="25">
        <v>6103</v>
      </c>
      <c r="E32" s="25">
        <f>8561.01-2</f>
        <v>8559.01</v>
      </c>
      <c r="F32" s="25">
        <v>17122.02</v>
      </c>
      <c r="G32" s="56">
        <f t="shared" si="7"/>
        <v>2456.0100000000002</v>
      </c>
      <c r="H32" s="56">
        <f t="shared" si="8"/>
        <v>11019.02</v>
      </c>
      <c r="I32" s="58">
        <v>0.21</v>
      </c>
      <c r="J32" s="58">
        <v>0.05</v>
      </c>
      <c r="K32" s="56">
        <f t="shared" si="12"/>
        <v>400.06239000000005</v>
      </c>
      <c r="L32" s="56">
        <f t="shared" si="13"/>
        <v>550.95100000000002</v>
      </c>
      <c r="M32" s="56">
        <f t="shared" si="11"/>
        <v>557689.2127899999</v>
      </c>
      <c r="N32" s="56">
        <v>0</v>
      </c>
    </row>
    <row r="33" spans="1:14" ht="15" x14ac:dyDescent="0.25">
      <c r="A33" s="12">
        <v>43497</v>
      </c>
      <c r="B33"/>
      <c r="C33" s="56">
        <v>3077193</v>
      </c>
      <c r="D33" s="25">
        <v>6103</v>
      </c>
      <c r="E33" s="25">
        <f>8561.01</f>
        <v>8561.01</v>
      </c>
      <c r="F33" s="25">
        <v>17122.02</v>
      </c>
      <c r="G33" s="56">
        <f t="shared" si="7"/>
        <v>2458.0100000000002</v>
      </c>
      <c r="H33" s="56">
        <f t="shared" si="8"/>
        <v>11019.02</v>
      </c>
      <c r="I33" s="58">
        <v>0.21</v>
      </c>
      <c r="J33" s="58">
        <v>0.05</v>
      </c>
      <c r="K33" s="56">
        <f t="shared" si="12"/>
        <v>400.48239000000001</v>
      </c>
      <c r="L33" s="56">
        <f t="shared" si="13"/>
        <v>550.95100000000002</v>
      </c>
      <c r="M33" s="56">
        <f t="shared" si="11"/>
        <v>558640.64617999992</v>
      </c>
      <c r="N33" s="56">
        <v>0</v>
      </c>
    </row>
    <row r="35" spans="1:14" x14ac:dyDescent="0.2">
      <c r="C35" s="40" t="s">
        <v>64</v>
      </c>
      <c r="D35" s="61"/>
      <c r="E35" s="61"/>
      <c r="F35" s="61"/>
      <c r="G35" s="61"/>
      <c r="H35" s="61"/>
      <c r="I35" s="61"/>
      <c r="J35" s="61"/>
    </row>
    <row r="36" spans="1:14" x14ac:dyDescent="0.2">
      <c r="C36" s="40" t="s">
        <v>21</v>
      </c>
      <c r="D36" s="61"/>
      <c r="E36" s="61"/>
      <c r="F36" s="61"/>
      <c r="G36" s="61"/>
      <c r="H36" s="61"/>
      <c r="I36" s="61"/>
      <c r="J36" s="61"/>
    </row>
    <row r="37" spans="1:14" x14ac:dyDescent="0.2">
      <c r="C37" s="40" t="s">
        <v>58</v>
      </c>
      <c r="D37" s="61"/>
      <c r="E37" s="61"/>
      <c r="F37" s="61"/>
      <c r="G37" s="61"/>
      <c r="H37" s="61"/>
      <c r="I37" s="61"/>
      <c r="J37" s="61"/>
    </row>
    <row r="38" spans="1:14" x14ac:dyDescent="0.2">
      <c r="C38" s="59" t="s">
        <v>22</v>
      </c>
      <c r="D38" s="61"/>
      <c r="E38" s="61"/>
      <c r="F38" s="61"/>
      <c r="G38" s="61"/>
      <c r="H38" s="61"/>
      <c r="I38" s="61"/>
      <c r="J38" s="61"/>
    </row>
    <row r="39" spans="1:14" x14ac:dyDescent="0.2">
      <c r="C39" s="61"/>
      <c r="D39" s="61"/>
      <c r="E39" s="61"/>
      <c r="F39" s="61"/>
      <c r="G39" s="61"/>
      <c r="H39" s="61"/>
      <c r="I39" s="61"/>
      <c r="J39" s="61"/>
    </row>
    <row r="40" spans="1:14" x14ac:dyDescent="0.2">
      <c r="C40" s="59" t="s">
        <v>23</v>
      </c>
      <c r="D40" s="28" t="s">
        <v>24</v>
      </c>
      <c r="E40" s="27" t="s">
        <v>25</v>
      </c>
      <c r="F40" s="59" t="s">
        <v>26</v>
      </c>
      <c r="G40" s="60" t="s">
        <v>12</v>
      </c>
      <c r="H40" s="59" t="s">
        <v>27</v>
      </c>
      <c r="I40" s="61"/>
      <c r="J40" s="61"/>
    </row>
    <row r="41" spans="1:14" x14ac:dyDescent="0.2">
      <c r="C41" s="56">
        <v>1386019</v>
      </c>
      <c r="D41" s="56">
        <f>D33</f>
        <v>6103</v>
      </c>
      <c r="E41" s="59">
        <v>7712</v>
      </c>
      <c r="F41" s="56">
        <f>E41-D41</f>
        <v>1609</v>
      </c>
      <c r="G41" s="58">
        <v>0.21</v>
      </c>
      <c r="H41" s="56">
        <f>F41*G41</f>
        <v>337.89</v>
      </c>
      <c r="I41" s="61"/>
      <c r="J41" s="61"/>
    </row>
    <row r="42" spans="1:14" ht="15" x14ac:dyDescent="0.35">
      <c r="C42" s="65">
        <v>152578</v>
      </c>
      <c r="D42" s="56"/>
      <c r="E42" s="45">
        <v>849</v>
      </c>
      <c r="F42" s="45">
        <f>E42</f>
        <v>849</v>
      </c>
      <c r="G42" s="58">
        <v>0.21</v>
      </c>
      <c r="H42" s="45">
        <f>F42*G42</f>
        <v>178.29</v>
      </c>
      <c r="I42" s="61"/>
      <c r="J42" s="61"/>
    </row>
    <row r="43" spans="1:14" x14ac:dyDescent="0.2">
      <c r="C43" s="56">
        <f>SUM(C41:C42)</f>
        <v>1538597</v>
      </c>
      <c r="D43" s="61"/>
      <c r="E43" s="64">
        <f>SUM(E41:E42)</f>
        <v>8561</v>
      </c>
      <c r="F43" s="64">
        <f>SUM(F41:F42)</f>
        <v>2458</v>
      </c>
      <c r="G43" s="47" t="s">
        <v>28</v>
      </c>
      <c r="H43" s="64">
        <f>SUM(H41:H42)</f>
        <v>516.17999999999995</v>
      </c>
      <c r="I43" s="61"/>
      <c r="J43" s="61"/>
    </row>
    <row r="44" spans="1:14" ht="15" x14ac:dyDescent="0.35">
      <c r="C44" s="61"/>
      <c r="D44" s="61"/>
      <c r="E44" s="61"/>
      <c r="F44" s="61"/>
      <c r="G44" s="47" t="s">
        <v>29</v>
      </c>
      <c r="H44" s="45">
        <f>-H50*0.21</f>
        <v>-115.6995</v>
      </c>
      <c r="I44" s="61"/>
      <c r="J44" s="61"/>
    </row>
    <row r="45" spans="1:14" x14ac:dyDescent="0.2">
      <c r="C45" s="61"/>
      <c r="D45" s="61"/>
      <c r="E45" s="61"/>
      <c r="F45" s="61"/>
      <c r="G45" s="61"/>
      <c r="H45" s="56">
        <f>H43+H44</f>
        <v>400.48049999999995</v>
      </c>
      <c r="I45" s="61"/>
      <c r="J45" s="61"/>
    </row>
    <row r="46" spans="1:14" x14ac:dyDescent="0.2">
      <c r="C46" s="61"/>
      <c r="D46" s="61"/>
      <c r="E46" s="61"/>
      <c r="F46" s="61"/>
      <c r="G46" s="61"/>
      <c r="H46" s="59">
        <f>H45-K33</f>
        <v>-1.8900000000598993E-3</v>
      </c>
      <c r="I46" s="61"/>
      <c r="J46" s="61"/>
    </row>
    <row r="47" spans="1:14" x14ac:dyDescent="0.2">
      <c r="C47" s="59" t="s">
        <v>30</v>
      </c>
      <c r="D47" s="26" t="s">
        <v>24</v>
      </c>
      <c r="E47" s="27" t="s">
        <v>31</v>
      </c>
      <c r="F47" s="59" t="s">
        <v>32</v>
      </c>
      <c r="G47" s="60" t="s">
        <v>13</v>
      </c>
      <c r="H47" s="59" t="s">
        <v>33</v>
      </c>
      <c r="I47" s="61"/>
      <c r="J47" s="61"/>
    </row>
    <row r="48" spans="1:14" x14ac:dyDescent="0.2">
      <c r="C48" s="56">
        <v>2772037</v>
      </c>
      <c r="D48" s="56">
        <f>D41</f>
        <v>6103</v>
      </c>
      <c r="E48" s="56">
        <v>15424</v>
      </c>
      <c r="F48" s="56">
        <f>E48-D48</f>
        <v>9321</v>
      </c>
      <c r="G48" s="58">
        <v>0.05</v>
      </c>
      <c r="H48" s="56">
        <f>F48*G48</f>
        <v>466.05</v>
      </c>
      <c r="I48" s="61"/>
      <c r="J48" s="61"/>
    </row>
    <row r="49" spans="3:10" ht="15" x14ac:dyDescent="0.35">
      <c r="C49" s="65">
        <v>305156</v>
      </c>
      <c r="D49" s="56"/>
      <c r="E49" s="45">
        <v>1698</v>
      </c>
      <c r="F49" s="45">
        <f t="shared" ref="F49" si="14">E49</f>
        <v>1698</v>
      </c>
      <c r="G49" s="58">
        <v>0.05</v>
      </c>
      <c r="H49" s="45">
        <f t="shared" ref="H49" si="15">F49*G49</f>
        <v>84.9</v>
      </c>
      <c r="I49" s="61"/>
      <c r="J49" s="61"/>
    </row>
    <row r="50" spans="3:10" x14ac:dyDescent="0.2">
      <c r="C50" s="56">
        <f>SUM(C48:C49)</f>
        <v>3077193</v>
      </c>
      <c r="D50" s="61"/>
      <c r="E50" s="56">
        <f>E48+E49</f>
        <v>17122</v>
      </c>
      <c r="F50" s="56">
        <f>F48+F49</f>
        <v>11019</v>
      </c>
      <c r="G50" s="61"/>
      <c r="H50" s="56">
        <f>H48+H49</f>
        <v>550.95000000000005</v>
      </c>
      <c r="I50" s="61"/>
      <c r="J50" s="61"/>
    </row>
    <row r="51" spans="3:10" x14ac:dyDescent="0.2">
      <c r="C51" s="61"/>
      <c r="D51" s="61"/>
      <c r="E51" s="61"/>
      <c r="F51" s="61"/>
      <c r="G51" s="61"/>
      <c r="H51" s="56">
        <f>H50-L33</f>
        <v>-9.9999999997635314E-4</v>
      </c>
      <c r="I51" s="61"/>
      <c r="J51" s="61"/>
    </row>
    <row r="52" spans="3:10" x14ac:dyDescent="0.2">
      <c r="C52" s="31"/>
      <c r="D52" s="31"/>
      <c r="E52" s="31"/>
      <c r="F52" s="31"/>
      <c r="G52" s="31"/>
      <c r="H52" s="31"/>
      <c r="I52" s="31"/>
      <c r="J52" s="31"/>
    </row>
    <row r="53" spans="3:10" x14ac:dyDescent="0.2">
      <c r="C53" s="31"/>
      <c r="D53" s="31"/>
      <c r="E53" s="31"/>
      <c r="F53" s="31"/>
      <c r="G53" s="31"/>
      <c r="H53" s="31"/>
      <c r="I53" s="31"/>
      <c r="J53" s="31"/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&amp;P of &amp;N
Williams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59"/>
  <sheetViews>
    <sheetView topLeftCell="C1" zoomScaleNormal="100" workbookViewId="0">
      <selection activeCell="F31" sqref="F31"/>
    </sheetView>
  </sheetViews>
  <sheetFormatPr defaultRowHeight="15" x14ac:dyDescent="0.25"/>
  <cols>
    <col min="1" max="1" width="11.28515625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</cols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5" t="s">
        <v>52</v>
      </c>
    </row>
    <row r="6" spans="1:14" x14ac:dyDescent="0.25">
      <c r="A6" s="6" t="s">
        <v>56</v>
      </c>
    </row>
    <row r="7" spans="1:14" x14ac:dyDescent="0.25">
      <c r="A7" s="7"/>
    </row>
    <row r="8" spans="1:14" ht="39" x14ac:dyDescent="0.25">
      <c r="A8" s="8" t="s">
        <v>5</v>
      </c>
      <c r="B8" s="9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  <c r="N8" s="9" t="s">
        <v>17</v>
      </c>
    </row>
    <row r="9" spans="1:14" x14ac:dyDescent="0.25">
      <c r="A9" s="23" t="s">
        <v>18</v>
      </c>
      <c r="B9" s="15"/>
      <c r="C9" s="31"/>
      <c r="D9" s="31"/>
      <c r="E9" s="31"/>
      <c r="F9" s="31"/>
      <c r="G9" s="31"/>
      <c r="H9" s="31"/>
      <c r="I9" s="31"/>
      <c r="J9" s="31"/>
      <c r="K9" s="31"/>
      <c r="L9" s="31"/>
      <c r="M9" s="25"/>
      <c r="N9" s="31"/>
    </row>
    <row r="10" spans="1:14" x14ac:dyDescent="0.25">
      <c r="A10" s="10">
        <v>42795</v>
      </c>
      <c r="B10" s="15"/>
      <c r="C10" s="30"/>
      <c r="D10" s="25"/>
      <c r="E10" s="25"/>
      <c r="F10" s="25"/>
      <c r="G10" s="56">
        <f t="shared" ref="G10:G15" si="0">E10-D10</f>
        <v>0</v>
      </c>
      <c r="H10" s="56">
        <f t="shared" ref="H10:H15" si="1">F10-D10</f>
        <v>0</v>
      </c>
      <c r="I10" s="57">
        <v>0.35</v>
      </c>
      <c r="J10" s="57">
        <v>0.06</v>
      </c>
      <c r="K10" s="56">
        <f t="shared" ref="K10:K15" si="2">G10*I10-L10*I10</f>
        <v>0</v>
      </c>
      <c r="L10" s="56">
        <f t="shared" ref="L10:L15" si="3">H10*J10</f>
        <v>0</v>
      </c>
      <c r="M10" s="30">
        <v>0</v>
      </c>
      <c r="N10" s="30">
        <v>0</v>
      </c>
    </row>
    <row r="11" spans="1:14" x14ac:dyDescent="0.25">
      <c r="A11" s="12">
        <v>42826</v>
      </c>
      <c r="B11" s="15"/>
      <c r="C11" s="30"/>
      <c r="D11" s="25"/>
      <c r="E11" s="25"/>
      <c r="F11" s="25"/>
      <c r="G11" s="56">
        <f t="shared" si="0"/>
        <v>0</v>
      </c>
      <c r="H11" s="56">
        <f t="shared" si="1"/>
        <v>0</v>
      </c>
      <c r="I11" s="57">
        <v>0.35</v>
      </c>
      <c r="J11" s="57">
        <v>0.06</v>
      </c>
      <c r="K11" s="56">
        <f t="shared" si="2"/>
        <v>0</v>
      </c>
      <c r="L11" s="56">
        <f t="shared" si="3"/>
        <v>0</v>
      </c>
      <c r="M11" s="30">
        <v>0</v>
      </c>
      <c r="N11" s="30">
        <v>0</v>
      </c>
    </row>
    <row r="12" spans="1:14" x14ac:dyDescent="0.25">
      <c r="A12" s="12">
        <v>42856</v>
      </c>
      <c r="B12" s="15"/>
      <c r="C12" s="30"/>
      <c r="D12" s="25"/>
      <c r="E12" s="25"/>
      <c r="F12" s="25"/>
      <c r="G12" s="56">
        <f t="shared" si="0"/>
        <v>0</v>
      </c>
      <c r="H12" s="56">
        <f t="shared" si="1"/>
        <v>0</v>
      </c>
      <c r="I12" s="57">
        <v>0.35</v>
      </c>
      <c r="J12" s="57">
        <v>0.06</v>
      </c>
      <c r="K12" s="56">
        <f t="shared" si="2"/>
        <v>0</v>
      </c>
      <c r="L12" s="56">
        <f t="shared" si="3"/>
        <v>0</v>
      </c>
      <c r="M12" s="30">
        <v>0</v>
      </c>
      <c r="N12" s="30">
        <v>0</v>
      </c>
    </row>
    <row r="13" spans="1:14" x14ac:dyDescent="0.25">
      <c r="A13" s="12">
        <v>42887</v>
      </c>
      <c r="B13" s="15"/>
      <c r="C13" s="30"/>
      <c r="D13" s="25"/>
      <c r="E13" s="25"/>
      <c r="F13" s="25"/>
      <c r="G13" s="56">
        <f t="shared" si="0"/>
        <v>0</v>
      </c>
      <c r="H13" s="56">
        <f t="shared" si="1"/>
        <v>0</v>
      </c>
      <c r="I13" s="57">
        <v>0.35</v>
      </c>
      <c r="J13" s="57">
        <v>0.06</v>
      </c>
      <c r="K13" s="56">
        <f t="shared" si="2"/>
        <v>0</v>
      </c>
      <c r="L13" s="56">
        <f t="shared" si="3"/>
        <v>0</v>
      </c>
      <c r="M13" s="30">
        <v>0</v>
      </c>
      <c r="N13" s="30">
        <v>0</v>
      </c>
    </row>
    <row r="14" spans="1:14" x14ac:dyDescent="0.25">
      <c r="A14" s="12">
        <v>42917</v>
      </c>
      <c r="B14" s="15"/>
      <c r="C14" s="30"/>
      <c r="D14" s="25"/>
      <c r="E14" s="25"/>
      <c r="F14" s="25"/>
      <c r="G14" s="56">
        <f t="shared" si="0"/>
        <v>0</v>
      </c>
      <c r="H14" s="56">
        <f t="shared" si="1"/>
        <v>0</v>
      </c>
      <c r="I14" s="57">
        <v>0.35</v>
      </c>
      <c r="J14" s="57">
        <v>0.06</v>
      </c>
      <c r="K14" s="56">
        <f t="shared" si="2"/>
        <v>0</v>
      </c>
      <c r="L14" s="56">
        <f t="shared" si="3"/>
        <v>0</v>
      </c>
      <c r="M14" s="30">
        <v>0</v>
      </c>
      <c r="N14" s="30">
        <v>0</v>
      </c>
    </row>
    <row r="15" spans="1:14" x14ac:dyDescent="0.25">
      <c r="A15" s="12">
        <v>42948</v>
      </c>
      <c r="B15" s="15"/>
      <c r="C15" s="30"/>
      <c r="D15" s="25"/>
      <c r="E15" s="25"/>
      <c r="F15" s="25"/>
      <c r="G15" s="56">
        <f t="shared" si="0"/>
        <v>0</v>
      </c>
      <c r="H15" s="56">
        <f t="shared" si="1"/>
        <v>0</v>
      </c>
      <c r="I15" s="57">
        <v>0.35</v>
      </c>
      <c r="J15" s="57">
        <v>0.06</v>
      </c>
      <c r="K15" s="56">
        <f t="shared" si="2"/>
        <v>0</v>
      </c>
      <c r="L15" s="56">
        <f t="shared" si="3"/>
        <v>0</v>
      </c>
      <c r="M15" s="30">
        <v>0</v>
      </c>
      <c r="N15" s="30">
        <v>0</v>
      </c>
    </row>
    <row r="16" spans="1:14" x14ac:dyDescent="0.25">
      <c r="A16" s="10">
        <v>42987</v>
      </c>
      <c r="C16" s="56"/>
      <c r="D16" s="25"/>
      <c r="E16" s="25"/>
      <c r="F16" s="25"/>
      <c r="G16" s="56">
        <f t="shared" ref="G16:G33" si="4">E16-D16</f>
        <v>0</v>
      </c>
      <c r="H16" s="56">
        <f t="shared" ref="H16:H33" si="5">F16-D16</f>
        <v>0</v>
      </c>
      <c r="I16" s="58">
        <v>0.35</v>
      </c>
      <c r="J16" s="58">
        <v>0.06</v>
      </c>
      <c r="K16" s="56">
        <f t="shared" ref="K16:K33" si="6">G16*I16-L16*I16</f>
        <v>0</v>
      </c>
      <c r="L16" s="56">
        <f t="shared" ref="L16:L19" si="7">H16*J16</f>
        <v>0</v>
      </c>
      <c r="M16" s="30">
        <v>0</v>
      </c>
      <c r="N16" s="56">
        <v>0</v>
      </c>
    </row>
    <row r="17" spans="1:14" x14ac:dyDescent="0.25">
      <c r="A17" s="12">
        <v>43009</v>
      </c>
      <c r="C17" s="56"/>
      <c r="D17" s="25"/>
      <c r="E17" s="25"/>
      <c r="F17" s="25"/>
      <c r="G17" s="56">
        <f t="shared" si="4"/>
        <v>0</v>
      </c>
      <c r="H17" s="56">
        <f t="shared" si="5"/>
        <v>0</v>
      </c>
      <c r="I17" s="58">
        <v>0.35</v>
      </c>
      <c r="J17" s="58">
        <v>0.06</v>
      </c>
      <c r="K17" s="56">
        <f t="shared" si="6"/>
        <v>0</v>
      </c>
      <c r="L17" s="56">
        <f t="shared" si="7"/>
        <v>0</v>
      </c>
      <c r="M17" s="30">
        <v>0</v>
      </c>
      <c r="N17" s="56">
        <v>0</v>
      </c>
    </row>
    <row r="18" spans="1:14" x14ac:dyDescent="0.25">
      <c r="A18" s="12">
        <v>43040</v>
      </c>
      <c r="C18" s="56"/>
      <c r="D18" s="25"/>
      <c r="E18" s="25"/>
      <c r="F18" s="25"/>
      <c r="G18" s="56">
        <f t="shared" si="4"/>
        <v>0</v>
      </c>
      <c r="H18" s="56">
        <f t="shared" si="5"/>
        <v>0</v>
      </c>
      <c r="I18" s="58">
        <v>0.35</v>
      </c>
      <c r="J18" s="58">
        <v>0.06</v>
      </c>
      <c r="K18" s="56">
        <f t="shared" si="6"/>
        <v>0</v>
      </c>
      <c r="L18" s="56">
        <f t="shared" si="7"/>
        <v>0</v>
      </c>
      <c r="M18" s="30">
        <v>0</v>
      </c>
      <c r="N18" s="56">
        <v>0</v>
      </c>
    </row>
    <row r="19" spans="1:14" x14ac:dyDescent="0.25">
      <c r="A19" s="12">
        <v>43070</v>
      </c>
      <c r="C19" s="56"/>
      <c r="D19" s="25"/>
      <c r="E19" s="25"/>
      <c r="F19" s="25"/>
      <c r="G19" s="56">
        <f t="shared" si="4"/>
        <v>0</v>
      </c>
      <c r="H19" s="56">
        <f t="shared" si="5"/>
        <v>0</v>
      </c>
      <c r="I19" s="58">
        <v>0.35</v>
      </c>
      <c r="J19" s="58">
        <v>0.06</v>
      </c>
      <c r="K19" s="56">
        <f t="shared" si="6"/>
        <v>0</v>
      </c>
      <c r="L19" s="56">
        <f t="shared" si="7"/>
        <v>0</v>
      </c>
      <c r="M19" s="30">
        <v>0</v>
      </c>
      <c r="N19" s="56">
        <v>0</v>
      </c>
    </row>
    <row r="20" spans="1:14" x14ac:dyDescent="0.25">
      <c r="A20" s="12">
        <v>43101</v>
      </c>
      <c r="C20" s="56">
        <v>3191413</v>
      </c>
      <c r="D20" s="25">
        <v>3153</v>
      </c>
      <c r="E20" s="39">
        <f>130594-3433</f>
        <v>127161</v>
      </c>
      <c r="F20" s="25">
        <v>27628</v>
      </c>
      <c r="G20" s="56">
        <f t="shared" si="4"/>
        <v>124008</v>
      </c>
      <c r="H20" s="56">
        <f t="shared" si="5"/>
        <v>24475</v>
      </c>
      <c r="I20" s="58">
        <v>0.21</v>
      </c>
      <c r="J20" s="58">
        <v>0.05</v>
      </c>
      <c r="K20" s="56">
        <f t="shared" si="6"/>
        <v>25784.692500000001</v>
      </c>
      <c r="L20" s="56">
        <f>H20*J20</f>
        <v>1223.75</v>
      </c>
      <c r="M20" s="56">
        <f t="shared" ref="M20" si="8">M19+K20+L20</f>
        <v>27008.442500000001</v>
      </c>
      <c r="N20" s="56">
        <v>0</v>
      </c>
    </row>
    <row r="21" spans="1:14" x14ac:dyDescent="0.25">
      <c r="A21" s="12">
        <v>43132</v>
      </c>
      <c r="C21" s="56">
        <v>3191413</v>
      </c>
      <c r="D21" s="25">
        <v>6305</v>
      </c>
      <c r="E21" s="39">
        <f>130594+309</f>
        <v>130903</v>
      </c>
      <c r="F21" s="25">
        <v>27628</v>
      </c>
      <c r="G21" s="56">
        <f t="shared" si="4"/>
        <v>124598</v>
      </c>
      <c r="H21" s="56">
        <f t="shared" si="5"/>
        <v>21323</v>
      </c>
      <c r="I21" s="58">
        <v>0.21</v>
      </c>
      <c r="J21" s="58">
        <v>0.05</v>
      </c>
      <c r="K21" s="56">
        <f t="shared" si="6"/>
        <v>25941.688499999997</v>
      </c>
      <c r="L21" s="56">
        <f>H21*J21</f>
        <v>1066.1500000000001</v>
      </c>
      <c r="M21" s="56">
        <f>M20+K21+L21</f>
        <v>54016.280999999995</v>
      </c>
      <c r="N21" s="56">
        <v>0</v>
      </c>
    </row>
    <row r="22" spans="1:14" x14ac:dyDescent="0.25">
      <c r="A22" s="12">
        <v>43160</v>
      </c>
      <c r="C22" s="56">
        <v>3191413</v>
      </c>
      <c r="D22" s="25">
        <v>6305</v>
      </c>
      <c r="E22" s="25">
        <v>130903</v>
      </c>
      <c r="F22" s="25">
        <v>27628.05</v>
      </c>
      <c r="G22" s="56">
        <f t="shared" si="4"/>
        <v>124598</v>
      </c>
      <c r="H22" s="56">
        <f t="shared" si="5"/>
        <v>21323.05</v>
      </c>
      <c r="I22" s="58">
        <v>0.21</v>
      </c>
      <c r="J22" s="58">
        <v>0.05</v>
      </c>
      <c r="K22" s="56">
        <f t="shared" si="6"/>
        <v>25941.687974999997</v>
      </c>
      <c r="L22" s="56">
        <f t="shared" ref="L22:L33" si="9">H22*J22</f>
        <v>1066.1524999999999</v>
      </c>
      <c r="M22" s="56">
        <f t="shared" ref="M22:M33" si="10">M21+K22+L22</f>
        <v>81024.121474999993</v>
      </c>
      <c r="N22" s="56">
        <v>0</v>
      </c>
    </row>
    <row r="23" spans="1:14" x14ac:dyDescent="0.25">
      <c r="A23" s="12">
        <v>43191</v>
      </c>
      <c r="C23" s="56">
        <v>3191413</v>
      </c>
      <c r="D23" s="25">
        <v>6305</v>
      </c>
      <c r="E23" s="25">
        <v>130903</v>
      </c>
      <c r="F23" s="25">
        <v>27628.05</v>
      </c>
      <c r="G23" s="56">
        <f t="shared" si="4"/>
        <v>124598</v>
      </c>
      <c r="H23" s="56">
        <f t="shared" si="5"/>
        <v>21323.05</v>
      </c>
      <c r="I23" s="58">
        <v>0.21</v>
      </c>
      <c r="J23" s="58">
        <v>0.05</v>
      </c>
      <c r="K23" s="56">
        <f t="shared" si="6"/>
        <v>25941.687974999997</v>
      </c>
      <c r="L23" s="56">
        <f t="shared" si="9"/>
        <v>1066.1524999999999</v>
      </c>
      <c r="M23" s="59">
        <f t="shared" si="10"/>
        <v>108031.96194999998</v>
      </c>
      <c r="N23" s="56">
        <v>0</v>
      </c>
    </row>
    <row r="24" spans="1:14" x14ac:dyDescent="0.25">
      <c r="A24" s="12">
        <v>43221</v>
      </c>
      <c r="C24" s="56">
        <v>3191413</v>
      </c>
      <c r="D24" s="25">
        <v>6305</v>
      </c>
      <c r="E24" s="25">
        <v>130903</v>
      </c>
      <c r="F24" s="25">
        <v>27628.05</v>
      </c>
      <c r="G24" s="56">
        <f t="shared" si="4"/>
        <v>124598</v>
      </c>
      <c r="H24" s="56">
        <f t="shared" si="5"/>
        <v>21323.05</v>
      </c>
      <c r="I24" s="58">
        <v>0.21</v>
      </c>
      <c r="J24" s="58">
        <v>0.05</v>
      </c>
      <c r="K24" s="56">
        <f t="shared" si="6"/>
        <v>25941.687974999997</v>
      </c>
      <c r="L24" s="56">
        <f t="shared" si="9"/>
        <v>1066.1524999999999</v>
      </c>
      <c r="M24" s="56">
        <f t="shared" si="10"/>
        <v>135039.80242499997</v>
      </c>
      <c r="N24" s="56">
        <v>0</v>
      </c>
    </row>
    <row r="25" spans="1:14" x14ac:dyDescent="0.25">
      <c r="A25" s="12">
        <v>43252</v>
      </c>
      <c r="C25" s="56">
        <v>3191413</v>
      </c>
      <c r="D25" s="25">
        <v>6305</v>
      </c>
      <c r="E25" s="25">
        <v>130903</v>
      </c>
      <c r="F25" s="25">
        <v>27628.05</v>
      </c>
      <c r="G25" s="56">
        <f t="shared" si="4"/>
        <v>124598</v>
      </c>
      <c r="H25" s="56">
        <f t="shared" si="5"/>
        <v>21323.05</v>
      </c>
      <c r="I25" s="58">
        <v>0.21</v>
      </c>
      <c r="J25" s="58">
        <v>0.05</v>
      </c>
      <c r="K25" s="56">
        <f t="shared" si="6"/>
        <v>25941.687974999997</v>
      </c>
      <c r="L25" s="56">
        <f t="shared" si="9"/>
        <v>1066.1524999999999</v>
      </c>
      <c r="M25" s="56">
        <f>M24+K25+L25-1</f>
        <v>162046.64289999998</v>
      </c>
      <c r="N25" s="56">
        <v>0</v>
      </c>
    </row>
    <row r="26" spans="1:14" x14ac:dyDescent="0.25">
      <c r="A26" s="12">
        <v>43282</v>
      </c>
      <c r="C26" s="56">
        <v>3191413</v>
      </c>
      <c r="D26" s="25">
        <v>6305</v>
      </c>
      <c r="E26" s="25">
        <v>130903</v>
      </c>
      <c r="F26" s="25">
        <v>27628.05</v>
      </c>
      <c r="G26" s="56">
        <f t="shared" si="4"/>
        <v>124598</v>
      </c>
      <c r="H26" s="56">
        <f t="shared" si="5"/>
        <v>21323.05</v>
      </c>
      <c r="I26" s="58">
        <v>0.21</v>
      </c>
      <c r="J26" s="58">
        <v>0.05</v>
      </c>
      <c r="K26" s="56">
        <f t="shared" si="6"/>
        <v>25941.687974999997</v>
      </c>
      <c r="L26" s="56">
        <f t="shared" si="9"/>
        <v>1066.1524999999999</v>
      </c>
      <c r="M26" s="56">
        <f>M25+K26+L26+1</f>
        <v>189055.48337499998</v>
      </c>
      <c r="N26" s="56">
        <v>0</v>
      </c>
    </row>
    <row r="27" spans="1:14" x14ac:dyDescent="0.25">
      <c r="A27" s="12">
        <v>43313</v>
      </c>
      <c r="C27" s="56">
        <v>3191413</v>
      </c>
      <c r="D27" s="25">
        <v>6305</v>
      </c>
      <c r="E27" s="25">
        <v>130903</v>
      </c>
      <c r="F27" s="25">
        <v>27628.05</v>
      </c>
      <c r="G27" s="56">
        <f t="shared" si="4"/>
        <v>124598</v>
      </c>
      <c r="H27" s="56">
        <f t="shared" si="5"/>
        <v>21323.05</v>
      </c>
      <c r="I27" s="58">
        <v>0.21</v>
      </c>
      <c r="J27" s="58">
        <v>0.05</v>
      </c>
      <c r="K27" s="56">
        <f t="shared" si="6"/>
        <v>25941.687974999997</v>
      </c>
      <c r="L27" s="56">
        <f t="shared" si="9"/>
        <v>1066.1524999999999</v>
      </c>
      <c r="M27" s="56">
        <f t="shared" si="10"/>
        <v>216063.32384999999</v>
      </c>
      <c r="N27" s="56">
        <v>0</v>
      </c>
    </row>
    <row r="28" spans="1:14" x14ac:dyDescent="0.25">
      <c r="A28" s="10">
        <v>43352</v>
      </c>
      <c r="C28" s="56">
        <v>3191413</v>
      </c>
      <c r="D28" s="25">
        <v>6305</v>
      </c>
      <c r="E28" s="25">
        <f>130903+10.5</f>
        <v>130913.5</v>
      </c>
      <c r="F28" s="25">
        <f>27628+5</f>
        <v>27633</v>
      </c>
      <c r="G28" s="56">
        <f t="shared" si="4"/>
        <v>124608.5</v>
      </c>
      <c r="H28" s="56">
        <f t="shared" si="5"/>
        <v>21328</v>
      </c>
      <c r="I28" s="58">
        <v>0.21</v>
      </c>
      <c r="J28" s="58">
        <v>0.05</v>
      </c>
      <c r="K28" s="56">
        <f t="shared" si="6"/>
        <v>25943.841</v>
      </c>
      <c r="L28" s="56">
        <f t="shared" si="9"/>
        <v>1066.4000000000001</v>
      </c>
      <c r="M28" s="56">
        <f t="shared" si="10"/>
        <v>243073.56485</v>
      </c>
      <c r="N28" s="56">
        <v>0</v>
      </c>
    </row>
    <row r="29" spans="1:14" x14ac:dyDescent="0.25">
      <c r="A29" s="12">
        <v>43374</v>
      </c>
      <c r="C29" s="56">
        <v>3191413</v>
      </c>
      <c r="D29" s="25">
        <v>6305</v>
      </c>
      <c r="E29" s="25">
        <f>130903+1</f>
        <v>130904</v>
      </c>
      <c r="F29" s="25">
        <v>27628</v>
      </c>
      <c r="G29" s="56">
        <f t="shared" si="4"/>
        <v>124599</v>
      </c>
      <c r="H29" s="56">
        <f t="shared" si="5"/>
        <v>21323</v>
      </c>
      <c r="I29" s="58">
        <v>0.21</v>
      </c>
      <c r="J29" s="58">
        <v>0.05</v>
      </c>
      <c r="K29" s="56">
        <f t="shared" si="6"/>
        <v>25941.898499999996</v>
      </c>
      <c r="L29" s="56">
        <f t="shared" si="9"/>
        <v>1066.1500000000001</v>
      </c>
      <c r="M29" s="59">
        <f t="shared" si="10"/>
        <v>270081.61335</v>
      </c>
      <c r="N29" s="56">
        <v>0</v>
      </c>
    </row>
    <row r="30" spans="1:14" x14ac:dyDescent="0.25">
      <c r="A30" s="12">
        <v>43405</v>
      </c>
      <c r="C30" s="56">
        <v>3191413</v>
      </c>
      <c r="D30" s="25">
        <v>6305</v>
      </c>
      <c r="E30" s="25">
        <f>130903+1</f>
        <v>130904</v>
      </c>
      <c r="F30" s="25">
        <v>27628</v>
      </c>
      <c r="G30" s="56">
        <f t="shared" si="4"/>
        <v>124599</v>
      </c>
      <c r="H30" s="56">
        <f t="shared" si="5"/>
        <v>21323</v>
      </c>
      <c r="I30" s="58">
        <v>0.21</v>
      </c>
      <c r="J30" s="58">
        <v>0.05</v>
      </c>
      <c r="K30" s="56">
        <f t="shared" si="6"/>
        <v>25941.898499999996</v>
      </c>
      <c r="L30" s="56">
        <f t="shared" si="9"/>
        <v>1066.1500000000001</v>
      </c>
      <c r="M30" s="56">
        <f t="shared" si="10"/>
        <v>297089.66185000003</v>
      </c>
      <c r="N30" s="56">
        <v>0</v>
      </c>
    </row>
    <row r="31" spans="1:14" x14ac:dyDescent="0.25">
      <c r="A31" s="12">
        <v>43435</v>
      </c>
      <c r="C31" s="56">
        <v>4236945</v>
      </c>
      <c r="D31" s="25">
        <v>6173</v>
      </c>
      <c r="E31" s="25">
        <f>612216.31+316.37</f>
        <v>612532.68000000005</v>
      </c>
      <c r="F31" s="25">
        <f>43311.03</f>
        <v>43311.03</v>
      </c>
      <c r="G31" s="56">
        <f t="shared" si="4"/>
        <v>606359.68000000005</v>
      </c>
      <c r="H31" s="56">
        <f t="shared" si="5"/>
        <v>37138.03</v>
      </c>
      <c r="I31" s="58">
        <v>0.21</v>
      </c>
      <c r="J31" s="58">
        <v>0.05</v>
      </c>
      <c r="K31" s="56">
        <f t="shared" si="6"/>
        <v>126945.583485</v>
      </c>
      <c r="L31" s="56">
        <f t="shared" si="9"/>
        <v>1856.9014999999999</v>
      </c>
      <c r="M31" s="56">
        <f t="shared" si="10"/>
        <v>425892.14683500002</v>
      </c>
      <c r="N31" s="56">
        <v>0</v>
      </c>
    </row>
    <row r="32" spans="1:14" x14ac:dyDescent="0.25">
      <c r="A32" s="12">
        <v>43466</v>
      </c>
      <c r="C32" s="56">
        <v>4236945</v>
      </c>
      <c r="D32" s="25">
        <v>12346</v>
      </c>
      <c r="E32" s="25">
        <f>24350.39-2</f>
        <v>24348.39</v>
      </c>
      <c r="F32" s="25">
        <v>43655.89</v>
      </c>
      <c r="G32" s="56">
        <f t="shared" si="4"/>
        <v>12002.39</v>
      </c>
      <c r="H32" s="56">
        <f t="shared" si="5"/>
        <v>31309.89</v>
      </c>
      <c r="I32" s="58">
        <v>0.21</v>
      </c>
      <c r="J32" s="58">
        <v>0.05</v>
      </c>
      <c r="K32" s="56">
        <f t="shared" si="6"/>
        <v>2191.7480549999996</v>
      </c>
      <c r="L32" s="56">
        <f t="shared" si="9"/>
        <v>1565.4945</v>
      </c>
      <c r="M32" s="56">
        <f t="shared" si="10"/>
        <v>429649.38938999997</v>
      </c>
      <c r="N32" s="56">
        <v>0</v>
      </c>
    </row>
    <row r="33" spans="1:14" x14ac:dyDescent="0.25">
      <c r="A33" s="12">
        <v>43497</v>
      </c>
      <c r="C33" s="56">
        <v>4236945</v>
      </c>
      <c r="D33" s="25">
        <v>12346</v>
      </c>
      <c r="E33" s="25">
        <f>24350.39</f>
        <v>24350.39</v>
      </c>
      <c r="F33" s="25">
        <v>43655.89</v>
      </c>
      <c r="G33" s="56">
        <f t="shared" si="4"/>
        <v>12004.39</v>
      </c>
      <c r="H33" s="56">
        <f t="shared" si="5"/>
        <v>31309.89</v>
      </c>
      <c r="I33" s="58">
        <v>0.21</v>
      </c>
      <c r="J33" s="58">
        <v>0.05</v>
      </c>
      <c r="K33" s="56">
        <f t="shared" si="6"/>
        <v>2192.1680549999996</v>
      </c>
      <c r="L33" s="56">
        <f t="shared" si="9"/>
        <v>1565.4945</v>
      </c>
      <c r="M33" s="56">
        <f t="shared" si="10"/>
        <v>433407.05194499996</v>
      </c>
      <c r="N33" s="56">
        <v>0</v>
      </c>
    </row>
    <row r="35" spans="1:14" x14ac:dyDescent="0.25">
      <c r="C35" s="40" t="s">
        <v>61</v>
      </c>
      <c r="D35" s="61"/>
      <c r="E35" s="61"/>
      <c r="F35" s="61"/>
      <c r="G35" s="61"/>
      <c r="H35" s="61"/>
      <c r="I35" s="61"/>
      <c r="J35" s="61"/>
      <c r="K35" s="61"/>
      <c r="L35" s="11"/>
    </row>
    <row r="36" spans="1:14" x14ac:dyDescent="0.25">
      <c r="C36" s="40" t="s">
        <v>62</v>
      </c>
      <c r="D36" s="61"/>
      <c r="E36" s="61"/>
      <c r="F36" s="61"/>
      <c r="G36" s="61"/>
      <c r="H36" s="61"/>
      <c r="I36" s="61"/>
      <c r="J36" s="61"/>
      <c r="K36" s="61"/>
      <c r="L36" s="11"/>
    </row>
    <row r="37" spans="1:14" x14ac:dyDescent="0.25">
      <c r="C37" s="40" t="s">
        <v>63</v>
      </c>
      <c r="D37" s="61"/>
      <c r="E37" s="61"/>
      <c r="F37" s="61"/>
      <c r="G37" s="61"/>
      <c r="H37" s="61"/>
      <c r="I37" s="61"/>
      <c r="J37" s="61"/>
      <c r="K37" s="61"/>
    </row>
    <row r="38" spans="1:14" x14ac:dyDescent="0.25">
      <c r="C38" s="59" t="s">
        <v>22</v>
      </c>
      <c r="D38" s="61"/>
      <c r="E38" s="61"/>
      <c r="F38" s="61"/>
      <c r="G38" s="61"/>
      <c r="H38" s="61"/>
      <c r="I38" s="61"/>
      <c r="J38" s="61"/>
      <c r="K38" s="61"/>
    </row>
    <row r="40" spans="1:14" x14ac:dyDescent="0.25">
      <c r="C40" s="59" t="s">
        <v>23</v>
      </c>
      <c r="D40" s="28" t="s">
        <v>24</v>
      </c>
      <c r="E40" s="27" t="s">
        <v>25</v>
      </c>
      <c r="F40" s="59" t="s">
        <v>26</v>
      </c>
      <c r="G40" s="60" t="s">
        <v>12</v>
      </c>
      <c r="H40" s="59" t="s">
        <v>27</v>
      </c>
      <c r="I40" s="61"/>
      <c r="J40" s="61"/>
    </row>
    <row r="41" spans="1:14" x14ac:dyDescent="0.25">
      <c r="C41" s="56">
        <v>724052</v>
      </c>
      <c r="D41" s="56">
        <v>12346</v>
      </c>
      <c r="E41" s="59">
        <v>4356</v>
      </c>
      <c r="F41" s="59">
        <f>E41-D41</f>
        <v>-7990</v>
      </c>
      <c r="G41" s="60">
        <v>0.21</v>
      </c>
      <c r="H41" s="59">
        <f>F41*G41</f>
        <v>-1677.8999999999999</v>
      </c>
      <c r="I41" s="61"/>
      <c r="J41" s="61"/>
    </row>
    <row r="42" spans="1:14" x14ac:dyDescent="0.25">
      <c r="C42" s="56">
        <v>314156</v>
      </c>
      <c r="D42" s="56"/>
      <c r="E42" s="59">
        <v>5236</v>
      </c>
      <c r="F42" s="59">
        <f>E42</f>
        <v>5236</v>
      </c>
      <c r="G42" s="60">
        <v>0.21</v>
      </c>
      <c r="H42" s="59">
        <f t="shared" ref="H42:H46" si="11">F42*G42</f>
        <v>1099.56</v>
      </c>
      <c r="I42" s="61"/>
      <c r="J42" s="61"/>
    </row>
    <row r="43" spans="1:14" x14ac:dyDescent="0.25">
      <c r="C43" s="56">
        <v>771922</v>
      </c>
      <c r="D43" s="56"/>
      <c r="E43" s="59">
        <v>9190</v>
      </c>
      <c r="F43" s="59">
        <f>E43</f>
        <v>9190</v>
      </c>
      <c r="G43" s="60">
        <v>0.21</v>
      </c>
      <c r="H43" s="59">
        <f t="shared" si="11"/>
        <v>1929.8999999999999</v>
      </c>
      <c r="I43" s="61"/>
      <c r="J43" s="61"/>
    </row>
    <row r="44" spans="1:14" x14ac:dyDescent="0.25">
      <c r="C44" s="56">
        <v>228999</v>
      </c>
      <c r="D44" s="56"/>
      <c r="E44" s="41">
        <v>1377</v>
      </c>
      <c r="F44" s="41">
        <f t="shared" ref="F44:F46" si="12">E44</f>
        <v>1377</v>
      </c>
      <c r="G44" s="52">
        <v>0.21</v>
      </c>
      <c r="H44" s="41">
        <f t="shared" si="11"/>
        <v>289.17</v>
      </c>
      <c r="I44" s="61"/>
      <c r="J44" s="61"/>
    </row>
    <row r="45" spans="1:14" x14ac:dyDescent="0.25">
      <c r="C45" s="56">
        <v>21476</v>
      </c>
      <c r="D45" s="56"/>
      <c r="E45" s="41">
        <v>358</v>
      </c>
      <c r="F45" s="41">
        <f t="shared" si="12"/>
        <v>358</v>
      </c>
      <c r="G45" s="52">
        <v>0.21</v>
      </c>
      <c r="H45" s="41">
        <f t="shared" si="11"/>
        <v>75.179999999999993</v>
      </c>
      <c r="I45" s="61"/>
      <c r="J45" s="61"/>
    </row>
    <row r="46" spans="1:14" ht="16.5" x14ac:dyDescent="0.35">
      <c r="C46" s="45">
        <v>322022</v>
      </c>
      <c r="D46" s="56"/>
      <c r="E46" s="44">
        <v>3833</v>
      </c>
      <c r="F46" s="44">
        <f t="shared" si="12"/>
        <v>3833</v>
      </c>
      <c r="G46" s="52">
        <v>0.21</v>
      </c>
      <c r="H46" s="44">
        <f t="shared" si="11"/>
        <v>804.93</v>
      </c>
      <c r="I46" s="61"/>
      <c r="J46" s="61"/>
    </row>
    <row r="47" spans="1:14" x14ac:dyDescent="0.25">
      <c r="C47" s="56">
        <f>SUM(C41:C46)</f>
        <v>2382627</v>
      </c>
      <c r="D47" s="61"/>
      <c r="E47" s="62">
        <f>SUM(E41:E46)</f>
        <v>24350</v>
      </c>
      <c r="F47" s="62">
        <f>SUM(F41:F46)</f>
        <v>12004</v>
      </c>
      <c r="G47" s="53" t="s">
        <v>28</v>
      </c>
      <c r="H47" s="62">
        <f>SUM(H41:H46)</f>
        <v>2520.84</v>
      </c>
      <c r="I47" s="61"/>
      <c r="J47" s="61"/>
    </row>
    <row r="48" spans="1:14" ht="16.5" x14ac:dyDescent="0.35">
      <c r="C48" s="61"/>
      <c r="D48" s="61"/>
      <c r="E48" s="63"/>
      <c r="F48" s="63"/>
      <c r="G48" s="53" t="s">
        <v>29</v>
      </c>
      <c r="H48" s="44">
        <f>-H58*0.21</f>
        <v>-328.755</v>
      </c>
      <c r="I48" s="61"/>
      <c r="J48" s="61"/>
    </row>
    <row r="49" spans="3:10" x14ac:dyDescent="0.25">
      <c r="C49" s="61"/>
      <c r="D49" s="61"/>
      <c r="E49" s="63"/>
      <c r="F49" s="63"/>
      <c r="G49" s="63"/>
      <c r="H49" s="59">
        <f>H47+H48</f>
        <v>2192.085</v>
      </c>
      <c r="I49" s="61"/>
      <c r="J49" s="61"/>
    </row>
    <row r="50" spans="3:10" x14ac:dyDescent="0.25">
      <c r="C50" s="61"/>
      <c r="D50" s="61"/>
      <c r="E50" s="63"/>
      <c r="F50" s="63"/>
      <c r="G50" s="63"/>
      <c r="H50" s="59">
        <f>H49-K33</f>
        <v>-8.3054999999603751E-2</v>
      </c>
      <c r="I50" s="61"/>
      <c r="J50" s="61"/>
    </row>
    <row r="51" spans="3:10" x14ac:dyDescent="0.25">
      <c r="C51" s="59" t="s">
        <v>30</v>
      </c>
      <c r="D51" s="26" t="s">
        <v>24</v>
      </c>
      <c r="E51" s="27" t="s">
        <v>31</v>
      </c>
      <c r="F51" s="59" t="s">
        <v>32</v>
      </c>
      <c r="G51" s="60" t="s">
        <v>13</v>
      </c>
      <c r="H51" s="59" t="s">
        <v>33</v>
      </c>
      <c r="I51" s="61"/>
      <c r="J51" s="61"/>
    </row>
    <row r="52" spans="3:10" x14ac:dyDescent="0.25">
      <c r="C52" s="56">
        <v>1276565</v>
      </c>
      <c r="D52" s="56">
        <f>D41</f>
        <v>12346</v>
      </c>
      <c r="E52" s="56">
        <v>7679</v>
      </c>
      <c r="F52" s="56">
        <f>E52-D52</f>
        <v>-4667</v>
      </c>
      <c r="G52" s="58">
        <v>0.05</v>
      </c>
      <c r="H52" s="56">
        <f>F52*G52</f>
        <v>-233.35000000000002</v>
      </c>
      <c r="I52" s="61"/>
      <c r="J52" s="61"/>
    </row>
    <row r="53" spans="3:10" x14ac:dyDescent="0.25">
      <c r="C53" s="56">
        <v>628311</v>
      </c>
      <c r="D53" s="56"/>
      <c r="E53" s="56">
        <v>10472</v>
      </c>
      <c r="F53" s="56">
        <f>E53</f>
        <v>10472</v>
      </c>
      <c r="G53" s="58">
        <v>0.05</v>
      </c>
      <c r="H53" s="56">
        <f>F53*G53</f>
        <v>523.6</v>
      </c>
      <c r="I53" s="61"/>
      <c r="J53" s="61"/>
    </row>
    <row r="54" spans="3:10" x14ac:dyDescent="0.25">
      <c r="C54" s="56">
        <v>1286537</v>
      </c>
      <c r="D54" s="56"/>
      <c r="E54" s="42">
        <v>15316</v>
      </c>
      <c r="F54" s="42">
        <f t="shared" ref="F54:F57" si="13">E54</f>
        <v>15316</v>
      </c>
      <c r="G54" s="49">
        <v>0.05</v>
      </c>
      <c r="H54" s="42">
        <f>F54*G54</f>
        <v>765.80000000000007</v>
      </c>
      <c r="I54" s="61"/>
      <c r="J54" s="61"/>
    </row>
    <row r="55" spans="3:10" x14ac:dyDescent="0.25">
      <c r="C55" s="56">
        <v>418213</v>
      </c>
      <c r="D55" s="56"/>
      <c r="E55" s="42">
        <v>2516</v>
      </c>
      <c r="F55" s="42">
        <f t="shared" si="13"/>
        <v>2516</v>
      </c>
      <c r="G55" s="49">
        <v>0.05</v>
      </c>
      <c r="H55" s="42">
        <f t="shared" ref="H55:H57" si="14">F55*G55</f>
        <v>125.80000000000001</v>
      </c>
      <c r="I55" s="61"/>
      <c r="J55" s="61"/>
    </row>
    <row r="56" spans="3:10" x14ac:dyDescent="0.25">
      <c r="C56" s="56">
        <v>42952</v>
      </c>
      <c r="D56" s="56"/>
      <c r="E56" s="42">
        <v>716</v>
      </c>
      <c r="F56" s="42">
        <f t="shared" si="13"/>
        <v>716</v>
      </c>
      <c r="G56" s="49">
        <v>0.05</v>
      </c>
      <c r="H56" s="42">
        <f t="shared" si="14"/>
        <v>35.800000000000004</v>
      </c>
      <c r="I56" s="61"/>
      <c r="J56" s="61"/>
    </row>
    <row r="57" spans="3:10" ht="16.5" x14ac:dyDescent="0.35">
      <c r="C57" s="45">
        <f>584368-1</f>
        <v>584367</v>
      </c>
      <c r="D57" s="56"/>
      <c r="E57" s="45">
        <v>6957</v>
      </c>
      <c r="F57" s="45">
        <f t="shared" si="13"/>
        <v>6957</v>
      </c>
      <c r="G57" s="49">
        <v>0.05</v>
      </c>
      <c r="H57" s="45">
        <f t="shared" si="14"/>
        <v>347.85</v>
      </c>
      <c r="I57" s="61"/>
      <c r="J57" s="61"/>
    </row>
    <row r="58" spans="3:10" x14ac:dyDescent="0.25">
      <c r="C58" s="56">
        <f>SUM(C52:C57)</f>
        <v>4236945</v>
      </c>
      <c r="D58" s="61"/>
      <c r="E58" s="56">
        <f>SUM(E52:E57)</f>
        <v>43656</v>
      </c>
      <c r="F58" s="56">
        <f t="shared" ref="F58:H58" si="15">SUM(F52:F57)</f>
        <v>31310</v>
      </c>
      <c r="G58" s="56"/>
      <c r="H58" s="56">
        <f t="shared" si="15"/>
        <v>1565.5</v>
      </c>
      <c r="I58" s="61"/>
      <c r="J58" s="61"/>
    </row>
    <row r="59" spans="3:10" x14ac:dyDescent="0.25">
      <c r="C59" s="61"/>
      <c r="D59" s="61"/>
      <c r="E59" s="61"/>
      <c r="F59" s="61"/>
      <c r="G59" s="61"/>
      <c r="H59" s="56">
        <f>H58-L33</f>
        <v>5.4999999999836291E-3</v>
      </c>
      <c r="I59" s="61"/>
      <c r="J59" s="61"/>
    </row>
  </sheetData>
  <pageMargins left="0.7" right="0.7" top="0.75" bottom="0.75" header="0.3" footer="0.3"/>
  <pageSetup scale="51" orientation="portrait" r:id="rId1"/>
  <headerFooter>
    <oddHeader>&amp;R&amp;"Times New Roman,Bold"&amp;12Attachment to Response to Question 3
Page &amp;P of &amp;N
Williams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F9"/>
  <sheetViews>
    <sheetView workbookViewId="0"/>
  </sheetViews>
  <sheetFormatPr defaultRowHeight="15" x14ac:dyDescent="0.25"/>
  <cols>
    <col min="1" max="2" width="12.7109375" customWidth="1"/>
    <col min="4" max="4" width="50.7109375" customWidth="1"/>
    <col min="5" max="5" width="30.7109375" customWidth="1"/>
  </cols>
  <sheetData>
    <row r="1" spans="1:6" x14ac:dyDescent="0.25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</row>
    <row r="2" spans="1:6" x14ac:dyDescent="0.25">
      <c r="A2" s="54">
        <v>43651</v>
      </c>
      <c r="B2" s="55">
        <v>0.66091435185185188</v>
      </c>
      <c r="C2" t="s">
        <v>71</v>
      </c>
      <c r="D2" t="s">
        <v>72</v>
      </c>
      <c r="E2" t="s">
        <v>73</v>
      </c>
    </row>
    <row r="3" spans="1:6" x14ac:dyDescent="0.25">
      <c r="A3" s="54">
        <v>43651</v>
      </c>
      <c r="B3" s="55">
        <v>0.66093750000000007</v>
      </c>
      <c r="C3" t="s">
        <v>71</v>
      </c>
      <c r="D3" t="s">
        <v>72</v>
      </c>
      <c r="E3" t="s">
        <v>73</v>
      </c>
    </row>
    <row r="4" spans="1:6" x14ac:dyDescent="0.25">
      <c r="A4" s="54">
        <v>43651</v>
      </c>
      <c r="B4" s="55">
        <v>0.66105324074074068</v>
      </c>
      <c r="C4" t="s">
        <v>71</v>
      </c>
      <c r="D4" t="s">
        <v>72</v>
      </c>
      <c r="E4" t="s">
        <v>73</v>
      </c>
    </row>
    <row r="5" spans="1:6" x14ac:dyDescent="0.25">
      <c r="A5" s="54">
        <v>43651</v>
      </c>
      <c r="B5" s="55">
        <v>0.66141203703703699</v>
      </c>
      <c r="C5" t="s">
        <v>71</v>
      </c>
      <c r="D5" t="s">
        <v>72</v>
      </c>
      <c r="E5" t="s">
        <v>73</v>
      </c>
    </row>
    <row r="6" spans="1:6" x14ac:dyDescent="0.25">
      <c r="A6" s="54">
        <v>43651</v>
      </c>
      <c r="B6" s="55">
        <v>0.66164351851851855</v>
      </c>
      <c r="C6" t="s">
        <v>71</v>
      </c>
      <c r="D6" t="s">
        <v>72</v>
      </c>
      <c r="E6" t="s">
        <v>73</v>
      </c>
    </row>
    <row r="7" spans="1:6" x14ac:dyDescent="0.25">
      <c r="A7" s="54">
        <v>43651</v>
      </c>
      <c r="B7" s="55">
        <v>0.66246527777777775</v>
      </c>
      <c r="C7" t="s">
        <v>71</v>
      </c>
      <c r="D7" t="s">
        <v>72</v>
      </c>
      <c r="E7" t="s">
        <v>73</v>
      </c>
    </row>
    <row r="8" spans="1:6" x14ac:dyDescent="0.25">
      <c r="A8" s="54">
        <v>43651</v>
      </c>
      <c r="B8" s="55">
        <v>0.66293981481481479</v>
      </c>
      <c r="C8" t="s">
        <v>71</v>
      </c>
      <c r="D8" t="s">
        <v>72</v>
      </c>
      <c r="E8" t="s">
        <v>73</v>
      </c>
    </row>
    <row r="9" spans="1:6" x14ac:dyDescent="0.25">
      <c r="A9" s="54">
        <v>43651</v>
      </c>
      <c r="B9" s="55">
        <v>0.66340277777777779</v>
      </c>
      <c r="C9" t="s">
        <v>71</v>
      </c>
      <c r="D9" t="s">
        <v>72</v>
      </c>
      <c r="E9" t="s">
        <v>73</v>
      </c>
    </row>
  </sheetData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P50"/>
  <sheetViews>
    <sheetView topLeftCell="C1" zoomScaleNormal="100" workbookViewId="0">
      <selection activeCell="F31" sqref="F31"/>
    </sheetView>
  </sheetViews>
  <sheetFormatPr defaultColWidth="8.85546875" defaultRowHeight="12.75" x14ac:dyDescent="0.2"/>
  <cols>
    <col min="1" max="1" width="11.28515625" style="23" customWidth="1"/>
    <col min="2" max="2" width="1.7109375" style="15" customWidth="1"/>
    <col min="3" max="3" width="12.7109375" style="15" customWidth="1"/>
    <col min="4" max="4" width="14.28515625" style="15" bestFit="1" customWidth="1"/>
    <col min="5" max="5" width="14.28515625" style="15" customWidth="1"/>
    <col min="6" max="6" width="14.28515625" style="15" bestFit="1" customWidth="1"/>
    <col min="7" max="7" width="14.28515625" style="15" customWidth="1"/>
    <col min="8" max="12" width="12.7109375" style="15" customWidth="1"/>
    <col min="13" max="13" width="16.5703125" style="15" bestFit="1" customWidth="1"/>
    <col min="14" max="14" width="12.7109375" style="15" customWidth="1"/>
    <col min="15" max="15" width="11.28515625" style="15" customWidth="1"/>
    <col min="16" max="16" width="14.5703125" style="15" bestFit="1" customWidth="1"/>
    <col min="17" max="16384" width="8.85546875" style="15"/>
  </cols>
  <sheetData>
    <row r="1" spans="1:16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6" x14ac:dyDescent="0.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6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6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5"/>
    </row>
    <row r="5" spans="1:16" x14ac:dyDescent="0.2">
      <c r="A5" s="18" t="s">
        <v>52</v>
      </c>
    </row>
    <row r="6" spans="1:16" x14ac:dyDescent="0.2">
      <c r="A6" s="19" t="s">
        <v>54</v>
      </c>
    </row>
    <row r="8" spans="1:16" s="22" customFormat="1" ht="38.25" x14ac:dyDescent="0.2">
      <c r="A8" s="20" t="s">
        <v>5</v>
      </c>
      <c r="B8" s="21"/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38</v>
      </c>
      <c r="J8" s="21" t="s">
        <v>39</v>
      </c>
      <c r="K8" s="21" t="s">
        <v>14</v>
      </c>
      <c r="L8" s="21" t="s">
        <v>15</v>
      </c>
      <c r="M8" s="21" t="s">
        <v>16</v>
      </c>
      <c r="N8" s="21" t="s">
        <v>17</v>
      </c>
    </row>
    <row r="9" spans="1:16" x14ac:dyDescent="0.2">
      <c r="A9" s="23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25">
        <v>10222</v>
      </c>
      <c r="N9" s="31"/>
    </row>
    <row r="10" spans="1:16" ht="15" x14ac:dyDescent="0.25">
      <c r="A10" s="10">
        <v>42795</v>
      </c>
      <c r="B10"/>
      <c r="C10" s="56">
        <v>350074</v>
      </c>
      <c r="D10" s="25">
        <v>613</v>
      </c>
      <c r="E10" s="25">
        <f>15133.42+25</f>
        <v>15158.42</v>
      </c>
      <c r="F10" s="25">
        <f>1093.98+25</f>
        <v>1118.98</v>
      </c>
      <c r="G10" s="25">
        <f>E10-D10</f>
        <v>14545.42</v>
      </c>
      <c r="H10" s="56">
        <f>F10-D10</f>
        <v>505.98</v>
      </c>
      <c r="I10" s="58">
        <v>0.35</v>
      </c>
      <c r="J10" s="58">
        <v>0.06</v>
      </c>
      <c r="K10" s="56">
        <f>G10*I10-L10*I10</f>
        <v>5080.27142</v>
      </c>
      <c r="L10" s="56">
        <f>H10*J10</f>
        <v>30.358799999999999</v>
      </c>
      <c r="M10" s="56">
        <f>M9+K10+L10</f>
        <v>15332.630220000001</v>
      </c>
      <c r="N10" s="56">
        <v>0</v>
      </c>
      <c r="P10" s="24"/>
    </row>
    <row r="11" spans="1:16" ht="15" x14ac:dyDescent="0.25">
      <c r="A11" s="12">
        <v>42826</v>
      </c>
      <c r="B11"/>
      <c r="C11" s="56">
        <v>350074</v>
      </c>
      <c r="D11" s="25">
        <v>613</v>
      </c>
      <c r="E11" s="25">
        <f>15133.42+25+1</f>
        <v>15159.42</v>
      </c>
      <c r="F11" s="25">
        <f>1093.98+25+1</f>
        <v>1119.98</v>
      </c>
      <c r="G11" s="25">
        <f t="shared" ref="G11:G15" si="0">E11-D11</f>
        <v>14546.42</v>
      </c>
      <c r="H11" s="56">
        <f t="shared" ref="H11:H15" si="1">F11-D11</f>
        <v>506.98</v>
      </c>
      <c r="I11" s="58">
        <v>0.35</v>
      </c>
      <c r="J11" s="58">
        <v>0.06</v>
      </c>
      <c r="K11" s="56">
        <f t="shared" ref="K11:K15" si="2">G11*I11-L11*I11</f>
        <v>5080.6004199999998</v>
      </c>
      <c r="L11" s="56">
        <f t="shared" ref="L11:L15" si="3">H11*J11</f>
        <v>30.418800000000001</v>
      </c>
      <c r="M11" s="56">
        <f t="shared" ref="M11:M15" si="4">M10+K11+L11</f>
        <v>20443.649440000001</v>
      </c>
      <c r="N11" s="56">
        <v>0</v>
      </c>
      <c r="O11" s="24"/>
      <c r="P11" s="36"/>
    </row>
    <row r="12" spans="1:16" ht="15" x14ac:dyDescent="0.25">
      <c r="A12" s="12">
        <v>42856</v>
      </c>
      <c r="B12"/>
      <c r="C12" s="56">
        <v>350074</v>
      </c>
      <c r="D12" s="25">
        <v>613</v>
      </c>
      <c r="E12" s="25">
        <f t="shared" ref="E12:E13" si="5">15133.42+25+1</f>
        <v>15159.42</v>
      </c>
      <c r="F12" s="25">
        <f t="shared" ref="F12:F13" si="6">1093.98+25+1</f>
        <v>1119.98</v>
      </c>
      <c r="G12" s="25">
        <f t="shared" si="0"/>
        <v>14546.42</v>
      </c>
      <c r="H12" s="56">
        <f t="shared" si="1"/>
        <v>506.98</v>
      </c>
      <c r="I12" s="58">
        <v>0.35</v>
      </c>
      <c r="J12" s="58">
        <v>0.06</v>
      </c>
      <c r="K12" s="56">
        <f t="shared" si="2"/>
        <v>5080.6004199999998</v>
      </c>
      <c r="L12" s="56">
        <f t="shared" si="3"/>
        <v>30.418800000000001</v>
      </c>
      <c r="M12" s="56">
        <f t="shared" si="4"/>
        <v>25554.668659999999</v>
      </c>
      <c r="N12" s="56">
        <v>0</v>
      </c>
      <c r="O12" s="36"/>
    </row>
    <row r="13" spans="1:16" ht="15" x14ac:dyDescent="0.25">
      <c r="A13" s="12">
        <v>42887</v>
      </c>
      <c r="B13"/>
      <c r="C13" s="56">
        <v>350074</v>
      </c>
      <c r="D13" s="25">
        <v>613</v>
      </c>
      <c r="E13" s="25">
        <f t="shared" si="5"/>
        <v>15159.42</v>
      </c>
      <c r="F13" s="25">
        <f t="shared" si="6"/>
        <v>1119.98</v>
      </c>
      <c r="G13" s="25">
        <f t="shared" si="0"/>
        <v>14546.42</v>
      </c>
      <c r="H13" s="56">
        <f t="shared" si="1"/>
        <v>506.98</v>
      </c>
      <c r="I13" s="58">
        <v>0.35</v>
      </c>
      <c r="J13" s="58">
        <v>0.06</v>
      </c>
      <c r="K13" s="56">
        <f t="shared" si="2"/>
        <v>5080.6004199999998</v>
      </c>
      <c r="L13" s="56">
        <f t="shared" si="3"/>
        <v>30.418800000000001</v>
      </c>
      <c r="M13" s="56">
        <f t="shared" si="4"/>
        <v>30665.687879999998</v>
      </c>
      <c r="N13" s="56">
        <v>0</v>
      </c>
      <c r="O13" s="24"/>
    </row>
    <row r="14" spans="1:16" ht="15" x14ac:dyDescent="0.25">
      <c r="A14" s="12">
        <v>42917</v>
      </c>
      <c r="B14"/>
      <c r="C14" s="56">
        <v>350074</v>
      </c>
      <c r="D14" s="25">
        <v>691</v>
      </c>
      <c r="E14" s="25">
        <f>15133.42+25+1+80-80</f>
        <v>15159.42</v>
      </c>
      <c r="F14" s="25">
        <f>1093.98+25+1+80-80</f>
        <v>1119.98</v>
      </c>
      <c r="G14" s="25">
        <f t="shared" si="0"/>
        <v>14468.42</v>
      </c>
      <c r="H14" s="56">
        <f t="shared" si="1"/>
        <v>428.98</v>
      </c>
      <c r="I14" s="58">
        <v>0.35</v>
      </c>
      <c r="J14" s="58">
        <v>0.06</v>
      </c>
      <c r="K14" s="56">
        <f t="shared" si="2"/>
        <v>5054.9384200000004</v>
      </c>
      <c r="L14" s="56">
        <f t="shared" si="3"/>
        <v>25.738800000000001</v>
      </c>
      <c r="M14" s="56">
        <f t="shared" si="4"/>
        <v>35746.365099999995</v>
      </c>
      <c r="N14" s="56">
        <v>0</v>
      </c>
      <c r="O14" s="36"/>
    </row>
    <row r="15" spans="1:16" ht="15" x14ac:dyDescent="0.25">
      <c r="A15" s="12">
        <v>42948</v>
      </c>
      <c r="B15"/>
      <c r="C15" s="56">
        <v>350074</v>
      </c>
      <c r="D15" s="25">
        <v>691</v>
      </c>
      <c r="E15" s="25">
        <f>15133.42+25+1+80-2.49-80+2</f>
        <v>15158.93</v>
      </c>
      <c r="F15" s="25">
        <f>1093.98+25+1+80-2.49-80+3</f>
        <v>1120.49</v>
      </c>
      <c r="G15" s="25">
        <f t="shared" si="0"/>
        <v>14467.93</v>
      </c>
      <c r="H15" s="56">
        <f t="shared" si="1"/>
        <v>429.49</v>
      </c>
      <c r="I15" s="58">
        <v>0.35</v>
      </c>
      <c r="J15" s="58">
        <v>0.06</v>
      </c>
      <c r="K15" s="56">
        <f t="shared" si="2"/>
        <v>5054.7562099999996</v>
      </c>
      <c r="L15" s="56">
        <f t="shared" si="3"/>
        <v>25.769400000000001</v>
      </c>
      <c r="M15" s="56">
        <f t="shared" si="4"/>
        <v>40826.890709999992</v>
      </c>
      <c r="N15" s="56">
        <v>0</v>
      </c>
      <c r="O15" s="24"/>
    </row>
    <row r="16" spans="1:16" ht="15" x14ac:dyDescent="0.25">
      <c r="A16" s="10">
        <v>42987</v>
      </c>
      <c r="B16"/>
      <c r="C16" s="56">
        <v>350074</v>
      </c>
      <c r="D16" s="25">
        <v>691</v>
      </c>
      <c r="E16" s="25">
        <v>15159</v>
      </c>
      <c r="F16" s="25">
        <v>1120</v>
      </c>
      <c r="G16" s="56">
        <f>E16-D16</f>
        <v>14468</v>
      </c>
      <c r="H16" s="56">
        <f>F16-D16</f>
        <v>429</v>
      </c>
      <c r="I16" s="58">
        <v>0.35</v>
      </c>
      <c r="J16" s="58">
        <v>0.06</v>
      </c>
      <c r="K16" s="56">
        <f>G16*I16-L16*I16</f>
        <v>5054.7909999999993</v>
      </c>
      <c r="L16" s="56">
        <f>H16*J16</f>
        <v>25.74</v>
      </c>
      <c r="M16" s="56">
        <f>M15+K16+L16+1</f>
        <v>45908.421709999988</v>
      </c>
      <c r="N16" s="56">
        <v>0</v>
      </c>
      <c r="O16" s="29"/>
    </row>
    <row r="17" spans="1:14" ht="15" x14ac:dyDescent="0.25">
      <c r="A17" s="12">
        <v>43009</v>
      </c>
      <c r="B17"/>
      <c r="C17" s="56">
        <v>350074</v>
      </c>
      <c r="D17" s="25">
        <v>691</v>
      </c>
      <c r="E17" s="25">
        <v>15159</v>
      </c>
      <c r="F17" s="25">
        <v>1120</v>
      </c>
      <c r="G17" s="56">
        <f t="shared" ref="G17:G19" si="7">E17-D17</f>
        <v>14468</v>
      </c>
      <c r="H17" s="56">
        <f t="shared" ref="H17:H19" si="8">F17-D17</f>
        <v>429</v>
      </c>
      <c r="I17" s="58">
        <v>0.35</v>
      </c>
      <c r="J17" s="58">
        <v>0.06</v>
      </c>
      <c r="K17" s="56">
        <f t="shared" ref="K17:K19" si="9">G17*I17-L17*I17</f>
        <v>5054.7909999999993</v>
      </c>
      <c r="L17" s="56">
        <f t="shared" ref="L17:L19" si="10">H17*J17</f>
        <v>25.74</v>
      </c>
      <c r="M17" s="56">
        <f>M16+K17+L17-1</f>
        <v>50987.952709999983</v>
      </c>
      <c r="N17" s="56">
        <v>0</v>
      </c>
    </row>
    <row r="18" spans="1:14" ht="15" x14ac:dyDescent="0.25">
      <c r="A18" s="12">
        <v>43040</v>
      </c>
      <c r="B18"/>
      <c r="C18" s="56">
        <v>350074</v>
      </c>
      <c r="D18" s="25">
        <v>691</v>
      </c>
      <c r="E18" s="25">
        <v>15159</v>
      </c>
      <c r="F18" s="25">
        <v>1120</v>
      </c>
      <c r="G18" s="56">
        <f t="shared" si="7"/>
        <v>14468</v>
      </c>
      <c r="H18" s="56">
        <f t="shared" si="8"/>
        <v>429</v>
      </c>
      <c r="I18" s="58">
        <v>0.35</v>
      </c>
      <c r="J18" s="58">
        <v>0.06</v>
      </c>
      <c r="K18" s="56">
        <f t="shared" si="9"/>
        <v>5054.7909999999993</v>
      </c>
      <c r="L18" s="56">
        <f t="shared" si="10"/>
        <v>25.74</v>
      </c>
      <c r="M18" s="56">
        <f>M17+K18+L18+1</f>
        <v>56069.483709999979</v>
      </c>
      <c r="N18" s="56">
        <v>0</v>
      </c>
    </row>
    <row r="19" spans="1:14" ht="15" x14ac:dyDescent="0.25">
      <c r="A19" s="12">
        <v>43070</v>
      </c>
      <c r="B19"/>
      <c r="C19" s="56">
        <v>350074</v>
      </c>
      <c r="D19" s="25">
        <v>691</v>
      </c>
      <c r="E19" s="25">
        <v>15159</v>
      </c>
      <c r="F19" s="25">
        <v>1120</v>
      </c>
      <c r="G19" s="56">
        <f t="shared" si="7"/>
        <v>14468</v>
      </c>
      <c r="H19" s="56">
        <f t="shared" si="8"/>
        <v>429</v>
      </c>
      <c r="I19" s="58">
        <v>0.35</v>
      </c>
      <c r="J19" s="58">
        <v>0.06</v>
      </c>
      <c r="K19" s="56">
        <f t="shared" si="9"/>
        <v>5054.7909999999993</v>
      </c>
      <c r="L19" s="56">
        <f t="shared" si="10"/>
        <v>25.74</v>
      </c>
      <c r="M19" s="56">
        <f>M18+K19+L19-1</f>
        <v>61149.014709999974</v>
      </c>
      <c r="N19" s="56">
        <v>0</v>
      </c>
    </row>
    <row r="20" spans="1:14" ht="15" x14ac:dyDescent="0.25">
      <c r="A20" s="12">
        <v>43101</v>
      </c>
      <c r="B20"/>
      <c r="C20" s="56">
        <v>350074</v>
      </c>
      <c r="D20" s="25">
        <v>691</v>
      </c>
      <c r="E20" s="25">
        <v>1053</v>
      </c>
      <c r="F20" s="25">
        <f>2105.99</f>
        <v>2105.9899999999998</v>
      </c>
      <c r="G20" s="56">
        <f>E20-D20</f>
        <v>362</v>
      </c>
      <c r="H20" s="56">
        <f>F20-D20</f>
        <v>1414.9899999999998</v>
      </c>
      <c r="I20" s="58">
        <v>0.21</v>
      </c>
      <c r="J20" s="58">
        <v>0.05</v>
      </c>
      <c r="K20" s="56">
        <f>G20*I20-L20*I20</f>
        <v>61.162604999999999</v>
      </c>
      <c r="L20" s="56">
        <f>H20*J20</f>
        <v>70.749499999999998</v>
      </c>
      <c r="M20" s="56">
        <f t="shared" ref="M20:M33" si="11">M19+K20+L20</f>
        <v>61280.92681499997</v>
      </c>
      <c r="N20" s="56">
        <v>0</v>
      </c>
    </row>
    <row r="21" spans="1:14" ht="15" x14ac:dyDescent="0.25">
      <c r="A21" s="12">
        <v>43132</v>
      </c>
      <c r="B21"/>
      <c r="C21" s="56">
        <v>350074</v>
      </c>
      <c r="D21" s="25">
        <v>691</v>
      </c>
      <c r="E21" s="25">
        <v>1053</v>
      </c>
      <c r="F21" s="25">
        <f>2105.99</f>
        <v>2105.9899999999998</v>
      </c>
      <c r="G21" s="56">
        <f>E21-D21</f>
        <v>362</v>
      </c>
      <c r="H21" s="56">
        <f>F21-D21</f>
        <v>1414.9899999999998</v>
      </c>
      <c r="I21" s="58">
        <v>0.21</v>
      </c>
      <c r="J21" s="58">
        <v>0.05</v>
      </c>
      <c r="K21" s="56">
        <f>G21*I21-L21*I21</f>
        <v>61.162604999999999</v>
      </c>
      <c r="L21" s="56">
        <f>H21*J21</f>
        <v>70.749499999999998</v>
      </c>
      <c r="M21" s="56">
        <f t="shared" si="11"/>
        <v>61412.838919999966</v>
      </c>
      <c r="N21" s="56">
        <v>0</v>
      </c>
    </row>
    <row r="22" spans="1:14" ht="15" x14ac:dyDescent="0.25">
      <c r="A22" s="12">
        <v>43160</v>
      </c>
      <c r="B22"/>
      <c r="C22" s="56">
        <v>350074</v>
      </c>
      <c r="D22" s="25">
        <v>691</v>
      </c>
      <c r="E22" s="25">
        <v>1052.99</v>
      </c>
      <c r="F22" s="25">
        <v>2105.9899999999998</v>
      </c>
      <c r="G22" s="56">
        <f>E22-D22</f>
        <v>361.99</v>
      </c>
      <c r="H22" s="56">
        <f>F22-D22</f>
        <v>1414.9899999999998</v>
      </c>
      <c r="I22" s="58">
        <v>0.21</v>
      </c>
      <c r="J22" s="58">
        <v>0.05</v>
      </c>
      <c r="K22" s="56">
        <f>G22*I22-L22*I22</f>
        <v>61.160505000000001</v>
      </c>
      <c r="L22" s="56">
        <f>H22*J22</f>
        <v>70.749499999999998</v>
      </c>
      <c r="M22" s="56">
        <f>M21+K22+L22-2</f>
        <v>61542.748924999963</v>
      </c>
      <c r="N22" s="56">
        <v>0</v>
      </c>
    </row>
    <row r="23" spans="1:14" ht="15" x14ac:dyDescent="0.25">
      <c r="A23" s="12">
        <v>43191</v>
      </c>
      <c r="B23"/>
      <c r="C23" s="56">
        <v>350074</v>
      </c>
      <c r="D23" s="25">
        <v>691</v>
      </c>
      <c r="E23" s="25">
        <v>1052.99</v>
      </c>
      <c r="F23" s="25">
        <v>2105.9899999999998</v>
      </c>
      <c r="G23" s="56">
        <f t="shared" ref="G23:G25" si="12">E23-D23</f>
        <v>361.99</v>
      </c>
      <c r="H23" s="56">
        <f t="shared" ref="H23:H25" si="13">F23-D23</f>
        <v>1414.9899999999998</v>
      </c>
      <c r="I23" s="58">
        <v>0.21</v>
      </c>
      <c r="J23" s="58">
        <v>0.05</v>
      </c>
      <c r="K23" s="56">
        <f t="shared" ref="K23:K25" si="14">G23*I23-L23*I23</f>
        <v>61.160505000000001</v>
      </c>
      <c r="L23" s="56">
        <f t="shared" ref="L23:L25" si="15">H23*J23</f>
        <v>70.749499999999998</v>
      </c>
      <c r="M23" s="56">
        <f t="shared" si="11"/>
        <v>61674.658929999961</v>
      </c>
      <c r="N23" s="56">
        <v>0</v>
      </c>
    </row>
    <row r="24" spans="1:14" ht="15" x14ac:dyDescent="0.25">
      <c r="A24" s="12">
        <v>43221</v>
      </c>
      <c r="B24"/>
      <c r="C24" s="56">
        <v>350074</v>
      </c>
      <c r="D24" s="25">
        <v>691</v>
      </c>
      <c r="E24" s="25">
        <v>1052.99</v>
      </c>
      <c r="F24" s="25">
        <v>2105.9899999999998</v>
      </c>
      <c r="G24" s="56">
        <f t="shared" si="12"/>
        <v>361.99</v>
      </c>
      <c r="H24" s="56">
        <f t="shared" si="13"/>
        <v>1414.9899999999998</v>
      </c>
      <c r="I24" s="58">
        <v>0.21</v>
      </c>
      <c r="J24" s="58">
        <v>0.05</v>
      </c>
      <c r="K24" s="56">
        <f t="shared" si="14"/>
        <v>61.160505000000001</v>
      </c>
      <c r="L24" s="56">
        <f t="shared" si="15"/>
        <v>70.749499999999998</v>
      </c>
      <c r="M24" s="56">
        <f t="shared" si="11"/>
        <v>61806.568934999959</v>
      </c>
      <c r="N24" s="56">
        <v>0</v>
      </c>
    </row>
    <row r="25" spans="1:14" ht="15" x14ac:dyDescent="0.25">
      <c r="A25" s="12">
        <v>43252</v>
      </c>
      <c r="B25"/>
      <c r="C25" s="56">
        <v>350074</v>
      </c>
      <c r="D25" s="25">
        <v>691</v>
      </c>
      <c r="E25" s="25">
        <v>1052.99</v>
      </c>
      <c r="F25" s="25">
        <v>2105.9899999999998</v>
      </c>
      <c r="G25" s="56">
        <f t="shared" si="12"/>
        <v>361.99</v>
      </c>
      <c r="H25" s="56">
        <f t="shared" si="13"/>
        <v>1414.9899999999998</v>
      </c>
      <c r="I25" s="58">
        <v>0.21</v>
      </c>
      <c r="J25" s="58">
        <v>0.05</v>
      </c>
      <c r="K25" s="56">
        <f t="shared" si="14"/>
        <v>61.160505000000001</v>
      </c>
      <c r="L25" s="56">
        <f t="shared" si="15"/>
        <v>70.749499999999998</v>
      </c>
      <c r="M25" s="56">
        <f>M24+K25+L25+1</f>
        <v>61939.478939999957</v>
      </c>
      <c r="N25" s="56">
        <v>0</v>
      </c>
    </row>
    <row r="26" spans="1:14" ht="15" x14ac:dyDescent="0.25">
      <c r="A26" s="12">
        <v>43282</v>
      </c>
      <c r="B26"/>
      <c r="C26" s="56">
        <v>350074</v>
      </c>
      <c r="D26" s="25">
        <v>691</v>
      </c>
      <c r="E26" s="25">
        <v>1052.99</v>
      </c>
      <c r="F26" s="25">
        <v>2105.9899999999998</v>
      </c>
      <c r="G26" s="56">
        <f>E26-D26</f>
        <v>361.99</v>
      </c>
      <c r="H26" s="56">
        <f>F26-D26</f>
        <v>1414.9899999999998</v>
      </c>
      <c r="I26" s="58">
        <v>0.21</v>
      </c>
      <c r="J26" s="58">
        <v>0.05</v>
      </c>
      <c r="K26" s="56">
        <f>G26*I26-L26*I26</f>
        <v>61.160505000000001</v>
      </c>
      <c r="L26" s="56">
        <f>H26*J26</f>
        <v>70.749499999999998</v>
      </c>
      <c r="M26" s="56">
        <f t="shared" si="11"/>
        <v>62071.388944999955</v>
      </c>
      <c r="N26" s="56">
        <v>0</v>
      </c>
    </row>
    <row r="27" spans="1:14" ht="15" x14ac:dyDescent="0.25">
      <c r="A27" s="12">
        <v>43313</v>
      </c>
      <c r="B27"/>
      <c r="C27" s="56">
        <v>350074</v>
      </c>
      <c r="D27" s="25">
        <v>691</v>
      </c>
      <c r="E27" s="25">
        <v>1052.99</v>
      </c>
      <c r="F27" s="25">
        <v>2105.9899999999998</v>
      </c>
      <c r="G27" s="56">
        <f>E27-D27</f>
        <v>361.99</v>
      </c>
      <c r="H27" s="56">
        <f>F27-D27</f>
        <v>1414.9899999999998</v>
      </c>
      <c r="I27" s="58">
        <v>0.21</v>
      </c>
      <c r="J27" s="58">
        <v>0.05</v>
      </c>
      <c r="K27" s="56">
        <f>G27*I27-L27*I27</f>
        <v>61.160505000000001</v>
      </c>
      <c r="L27" s="56">
        <f>H27*J27</f>
        <v>70.749499999999998</v>
      </c>
      <c r="M27" s="56">
        <f>M26+K27+L27-1</f>
        <v>62202.298949999953</v>
      </c>
      <c r="N27" s="56">
        <v>0</v>
      </c>
    </row>
    <row r="28" spans="1:14" ht="15" x14ac:dyDescent="0.25">
      <c r="A28" s="10">
        <v>43352</v>
      </c>
      <c r="B28"/>
      <c r="C28" s="56">
        <v>350074</v>
      </c>
      <c r="D28" s="25">
        <v>691</v>
      </c>
      <c r="E28" s="25">
        <v>1052.99</v>
      </c>
      <c r="F28" s="25">
        <v>2105.9899999999998</v>
      </c>
      <c r="G28" s="56">
        <f>E28-D28</f>
        <v>361.99</v>
      </c>
      <c r="H28" s="56">
        <f>F28-D28</f>
        <v>1414.9899999999998</v>
      </c>
      <c r="I28" s="58">
        <v>0.21</v>
      </c>
      <c r="J28" s="58">
        <v>0.05</v>
      </c>
      <c r="K28" s="56">
        <f>G28*I28-L28*I28</f>
        <v>61.160505000000001</v>
      </c>
      <c r="L28" s="56">
        <f>H28*J28</f>
        <v>70.749499999999998</v>
      </c>
      <c r="M28" s="56">
        <f t="shared" si="11"/>
        <v>62334.208954999951</v>
      </c>
      <c r="N28" s="56">
        <v>0</v>
      </c>
    </row>
    <row r="29" spans="1:14" ht="15" x14ac:dyDescent="0.25">
      <c r="A29" s="12">
        <v>43374</v>
      </c>
      <c r="B29"/>
      <c r="C29" s="56">
        <v>350074</v>
      </c>
      <c r="D29" s="25">
        <v>691</v>
      </c>
      <c r="E29" s="25">
        <v>1052.99</v>
      </c>
      <c r="F29" s="25">
        <v>2105.9899999999998</v>
      </c>
      <c r="G29" s="56">
        <f t="shared" ref="G29:G31" si="16">E29-D29</f>
        <v>361.99</v>
      </c>
      <c r="H29" s="56">
        <f t="shared" ref="H29:H31" si="17">F29-D29</f>
        <v>1414.9899999999998</v>
      </c>
      <c r="I29" s="58">
        <v>0.21</v>
      </c>
      <c r="J29" s="58">
        <v>0.05</v>
      </c>
      <c r="K29" s="56">
        <f t="shared" ref="K29:K31" si="18">G29*I29-L29*I29</f>
        <v>61.160505000000001</v>
      </c>
      <c r="L29" s="56">
        <f t="shared" ref="L29:L31" si="19">H29*J29</f>
        <v>70.749499999999998</v>
      </c>
      <c r="M29" s="56">
        <f t="shared" si="11"/>
        <v>62466.118959999949</v>
      </c>
      <c r="N29" s="56">
        <v>0</v>
      </c>
    </row>
    <row r="30" spans="1:14" ht="15" x14ac:dyDescent="0.25">
      <c r="A30" s="12">
        <v>43405</v>
      </c>
      <c r="B30"/>
      <c r="C30" s="56">
        <v>350074</v>
      </c>
      <c r="D30" s="25">
        <v>691</v>
      </c>
      <c r="E30" s="25">
        <v>1052.99</v>
      </c>
      <c r="F30" s="25">
        <v>2105.9899999999998</v>
      </c>
      <c r="G30" s="56">
        <f t="shared" si="16"/>
        <v>361.99</v>
      </c>
      <c r="H30" s="56">
        <f t="shared" si="17"/>
        <v>1414.9899999999998</v>
      </c>
      <c r="I30" s="58">
        <v>0.21</v>
      </c>
      <c r="J30" s="58">
        <v>0.05</v>
      </c>
      <c r="K30" s="56">
        <f t="shared" si="18"/>
        <v>61.160505000000001</v>
      </c>
      <c r="L30" s="56">
        <f t="shared" si="19"/>
        <v>70.749499999999998</v>
      </c>
      <c r="M30" s="56">
        <f t="shared" si="11"/>
        <v>62598.028964999947</v>
      </c>
      <c r="N30" s="56">
        <v>0</v>
      </c>
    </row>
    <row r="31" spans="1:14" ht="15" x14ac:dyDescent="0.25">
      <c r="A31" s="12">
        <v>43435</v>
      </c>
      <c r="B31"/>
      <c r="C31" s="56">
        <v>350074</v>
      </c>
      <c r="D31" s="25">
        <v>691</v>
      </c>
      <c r="E31" s="25">
        <v>1052.99</v>
      </c>
      <c r="F31" s="25">
        <v>2105.9899999999998</v>
      </c>
      <c r="G31" s="56">
        <f t="shared" si="16"/>
        <v>361.99</v>
      </c>
      <c r="H31" s="56">
        <f t="shared" si="17"/>
        <v>1414.9899999999998</v>
      </c>
      <c r="I31" s="58">
        <v>0.21</v>
      </c>
      <c r="J31" s="58">
        <v>0.05</v>
      </c>
      <c r="K31" s="56">
        <f t="shared" si="18"/>
        <v>61.160505000000001</v>
      </c>
      <c r="L31" s="56">
        <f t="shared" si="19"/>
        <v>70.749499999999998</v>
      </c>
      <c r="M31" s="56">
        <f t="shared" si="11"/>
        <v>62729.938969999945</v>
      </c>
      <c r="N31" s="56">
        <v>0</v>
      </c>
    </row>
    <row r="32" spans="1:14" ht="15" x14ac:dyDescent="0.25">
      <c r="A32" s="12">
        <v>43466</v>
      </c>
      <c r="B32"/>
      <c r="C32" s="56">
        <v>350074</v>
      </c>
      <c r="D32" s="25">
        <v>691</v>
      </c>
      <c r="E32" s="25">
        <f>973.94</f>
        <v>973.94</v>
      </c>
      <c r="F32" s="25">
        <v>1947.87</v>
      </c>
      <c r="G32" s="56">
        <f>E32-D32</f>
        <v>282.94000000000005</v>
      </c>
      <c r="H32" s="56">
        <f>F32-D32</f>
        <v>1256.8699999999999</v>
      </c>
      <c r="I32" s="58">
        <v>0.21</v>
      </c>
      <c r="J32" s="58">
        <v>0.05</v>
      </c>
      <c r="K32" s="56">
        <f>G32*I32-L32*I32</f>
        <v>46.220265000000012</v>
      </c>
      <c r="L32" s="56">
        <f>H32*J32</f>
        <v>62.843499999999999</v>
      </c>
      <c r="M32" s="56">
        <f t="shared" si="11"/>
        <v>62839.002734999951</v>
      </c>
      <c r="N32" s="56">
        <v>0</v>
      </c>
    </row>
    <row r="33" spans="1:14" ht="15" x14ac:dyDescent="0.25">
      <c r="A33" s="12">
        <v>43497</v>
      </c>
      <c r="B33"/>
      <c r="C33" s="56">
        <v>350074</v>
      </c>
      <c r="D33" s="25">
        <v>691</v>
      </c>
      <c r="E33" s="25">
        <f>973.94</f>
        <v>973.94</v>
      </c>
      <c r="F33" s="25">
        <v>1947.87</v>
      </c>
      <c r="G33" s="56">
        <f>E33-D33</f>
        <v>282.94000000000005</v>
      </c>
      <c r="H33" s="56">
        <f>F33-D33</f>
        <v>1256.8699999999999</v>
      </c>
      <c r="I33" s="58">
        <v>0.21</v>
      </c>
      <c r="J33" s="58">
        <v>0.05</v>
      </c>
      <c r="K33" s="56">
        <f>G33*I33-L33*I33</f>
        <v>46.220265000000012</v>
      </c>
      <c r="L33" s="56">
        <f>H33*J33</f>
        <v>62.843499999999999</v>
      </c>
      <c r="M33" s="56">
        <f t="shared" si="11"/>
        <v>62948.066499999957</v>
      </c>
      <c r="N33" s="56">
        <v>0</v>
      </c>
    </row>
    <row r="35" spans="1:14" x14ac:dyDescent="0.2">
      <c r="C35" s="40" t="s">
        <v>55</v>
      </c>
      <c r="D35" s="61"/>
      <c r="E35" s="61"/>
      <c r="F35" s="61"/>
      <c r="G35" s="61"/>
      <c r="H35" s="61"/>
      <c r="I35" s="61"/>
      <c r="J35" s="61"/>
      <c r="K35" s="61"/>
    </row>
    <row r="36" spans="1:14" x14ac:dyDescent="0.2">
      <c r="C36" s="40" t="s">
        <v>21</v>
      </c>
      <c r="D36" s="61"/>
      <c r="E36" s="61"/>
      <c r="F36" s="61"/>
      <c r="G36" s="61"/>
      <c r="H36" s="61"/>
      <c r="I36" s="61"/>
      <c r="J36" s="61"/>
      <c r="K36" s="61"/>
    </row>
    <row r="37" spans="1:14" x14ac:dyDescent="0.2">
      <c r="C37" s="40" t="s">
        <v>58</v>
      </c>
      <c r="D37" s="61"/>
      <c r="E37" s="61"/>
      <c r="F37" s="61"/>
      <c r="G37" s="61"/>
      <c r="H37" s="61"/>
      <c r="I37" s="61"/>
      <c r="J37" s="61"/>
      <c r="K37" s="61"/>
    </row>
    <row r="38" spans="1:14" x14ac:dyDescent="0.2">
      <c r="C38" s="59" t="s">
        <v>22</v>
      </c>
      <c r="D38" s="61"/>
      <c r="E38" s="61"/>
      <c r="F38" s="61"/>
      <c r="G38" s="61"/>
      <c r="H38" s="61"/>
      <c r="I38" s="61"/>
      <c r="J38" s="61"/>
      <c r="K38" s="61"/>
    </row>
    <row r="39" spans="1:14" x14ac:dyDescent="0.2">
      <c r="C39" s="61"/>
      <c r="D39" s="61"/>
      <c r="E39" s="61"/>
      <c r="F39" s="61"/>
      <c r="G39" s="61"/>
      <c r="H39" s="61"/>
      <c r="I39" s="61"/>
      <c r="J39" s="61"/>
      <c r="K39" s="61"/>
    </row>
    <row r="40" spans="1:14" x14ac:dyDescent="0.2">
      <c r="C40" s="59" t="s">
        <v>23</v>
      </c>
      <c r="D40" s="28" t="s">
        <v>24</v>
      </c>
      <c r="E40" s="27" t="s">
        <v>25</v>
      </c>
      <c r="F40" s="59" t="s">
        <v>26</v>
      </c>
      <c r="G40" s="60" t="s">
        <v>12</v>
      </c>
      <c r="H40" s="59" t="s">
        <v>27</v>
      </c>
      <c r="I40" s="61"/>
      <c r="J40" s="61"/>
      <c r="K40" s="61"/>
    </row>
    <row r="41" spans="1:14" x14ac:dyDescent="0.2">
      <c r="C41" s="56">
        <v>175037.2</v>
      </c>
      <c r="D41" s="56">
        <v>691</v>
      </c>
      <c r="E41" s="56">
        <v>974</v>
      </c>
      <c r="F41" s="56">
        <f>E41-D41</f>
        <v>283</v>
      </c>
      <c r="G41" s="58">
        <v>0.21</v>
      </c>
      <c r="H41" s="56">
        <f>F41*G41</f>
        <v>59.43</v>
      </c>
      <c r="I41" s="61"/>
      <c r="J41" s="61"/>
      <c r="K41" s="61"/>
    </row>
    <row r="42" spans="1:14" x14ac:dyDescent="0.2">
      <c r="C42" s="61"/>
      <c r="D42" s="61"/>
      <c r="E42" s="56"/>
      <c r="F42" s="56"/>
      <c r="G42" s="47" t="s">
        <v>28</v>
      </c>
      <c r="H42" s="56">
        <f>H41</f>
        <v>59.43</v>
      </c>
      <c r="I42" s="61"/>
      <c r="J42" s="61"/>
      <c r="K42" s="61"/>
    </row>
    <row r="43" spans="1:14" ht="15" x14ac:dyDescent="0.35">
      <c r="C43" s="61"/>
      <c r="D43" s="61"/>
      <c r="E43" s="61"/>
      <c r="F43" s="61"/>
      <c r="G43" s="47" t="s">
        <v>29</v>
      </c>
      <c r="H43" s="45">
        <f>-H47*0.21</f>
        <v>-13.198499999999999</v>
      </c>
      <c r="I43" s="61"/>
      <c r="J43" s="61"/>
      <c r="K43" s="61"/>
    </row>
    <row r="44" spans="1:14" x14ac:dyDescent="0.2">
      <c r="C44" s="61"/>
      <c r="D44" s="61"/>
      <c r="E44" s="61"/>
      <c r="F44" s="61"/>
      <c r="G44" s="61"/>
      <c r="H44" s="56">
        <f>H42+H43</f>
        <v>46.231499999999997</v>
      </c>
      <c r="I44" s="61"/>
      <c r="J44" s="61"/>
      <c r="K44" s="61"/>
    </row>
    <row r="45" spans="1:14" x14ac:dyDescent="0.2">
      <c r="C45" s="61"/>
      <c r="D45" s="61"/>
      <c r="E45" s="61"/>
      <c r="F45" s="61"/>
      <c r="G45" s="61"/>
      <c r="H45" s="56">
        <f>H44-K33</f>
        <v>1.1234999999985007E-2</v>
      </c>
      <c r="I45" s="61"/>
      <c r="J45" s="61"/>
      <c r="K45" s="61"/>
    </row>
    <row r="46" spans="1:14" x14ac:dyDescent="0.2">
      <c r="C46" s="59" t="s">
        <v>30</v>
      </c>
      <c r="D46" s="26" t="s">
        <v>24</v>
      </c>
      <c r="E46" s="27" t="s">
        <v>31</v>
      </c>
      <c r="F46" s="59" t="s">
        <v>32</v>
      </c>
      <c r="G46" s="60" t="s">
        <v>13</v>
      </c>
      <c r="H46" s="59" t="s">
        <v>33</v>
      </c>
      <c r="I46" s="61"/>
      <c r="J46" s="61"/>
      <c r="K46" s="61"/>
    </row>
    <row r="47" spans="1:14" x14ac:dyDescent="0.2">
      <c r="C47" s="56">
        <v>350074.4</v>
      </c>
      <c r="D47" s="56">
        <f>D41</f>
        <v>691</v>
      </c>
      <c r="E47" s="56">
        <v>1948</v>
      </c>
      <c r="F47" s="56">
        <f>E47-D47</f>
        <v>1257</v>
      </c>
      <c r="G47" s="58">
        <v>0.05</v>
      </c>
      <c r="H47" s="56">
        <f>F47*G47</f>
        <v>62.85</v>
      </c>
      <c r="I47" s="61"/>
      <c r="J47" s="61"/>
      <c r="K47" s="61"/>
    </row>
    <row r="48" spans="1:14" x14ac:dyDescent="0.2">
      <c r="C48" s="61"/>
      <c r="D48" s="61"/>
      <c r="E48" s="61"/>
      <c r="F48" s="61"/>
      <c r="G48" s="61"/>
      <c r="H48" s="56">
        <f>H47-L33</f>
        <v>6.5000000000026148E-3</v>
      </c>
      <c r="I48" s="61"/>
      <c r="J48" s="61"/>
      <c r="K48" s="61"/>
    </row>
    <row r="49" spans="3:11" ht="15" x14ac:dyDescent="0.25">
      <c r="C49"/>
      <c r="D49"/>
      <c r="E49"/>
      <c r="F49"/>
      <c r="G49"/>
      <c r="H49" s="11"/>
      <c r="I49"/>
      <c r="J49"/>
      <c r="K49"/>
    </row>
    <row r="50" spans="3:11" ht="15" x14ac:dyDescent="0.25">
      <c r="C50"/>
      <c r="D50"/>
      <c r="E50"/>
      <c r="F50"/>
      <c r="G50"/>
      <c r="H50"/>
      <c r="I50"/>
      <c r="J50"/>
      <c r="K50"/>
    </row>
  </sheetData>
  <pageMargins left="0.7" right="0.7" top="1.15625" bottom="0.75" header="0.3" footer="0.3"/>
  <pageSetup scale="51" orientation="portrait" r:id="rId1"/>
  <headerFooter>
    <oddHeader>&amp;R&amp;"Times New Roman,Bold"&amp;12Attachment to Response to Question 3
Page &amp;P of &amp;N
Williams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62"/>
  <sheetViews>
    <sheetView topLeftCell="A7" zoomScaleNormal="100" workbookViewId="0">
      <selection activeCell="F31" sqref="F31"/>
    </sheetView>
  </sheetViews>
  <sheetFormatPr defaultColWidth="8.85546875" defaultRowHeight="12.75" x14ac:dyDescent="0.2"/>
  <cols>
    <col min="1" max="1" width="11.28515625" style="23" customWidth="1"/>
    <col min="2" max="2" width="1.7109375" style="15" customWidth="1"/>
    <col min="3" max="3" width="12.7109375" style="15" customWidth="1"/>
    <col min="4" max="4" width="14.28515625" style="15" bestFit="1" customWidth="1"/>
    <col min="5" max="5" width="14.28515625" style="15" customWidth="1"/>
    <col min="6" max="6" width="14.28515625" style="15" bestFit="1" customWidth="1"/>
    <col min="7" max="7" width="14.28515625" style="15" customWidth="1"/>
    <col min="8" max="12" width="12.7109375" style="15" customWidth="1"/>
    <col min="13" max="13" width="16.5703125" style="15" bestFit="1" customWidth="1"/>
    <col min="14" max="14" width="12.7109375" style="15" customWidth="1"/>
    <col min="15" max="15" width="10.85546875" style="15" bestFit="1" customWidth="1"/>
    <col min="16" max="16384" width="8.85546875" style="15"/>
  </cols>
  <sheetData>
    <row r="1" spans="1:15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x14ac:dyDescent="0.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5"/>
    </row>
    <row r="5" spans="1:15" x14ac:dyDescent="0.2">
      <c r="A5" s="18" t="s">
        <v>3</v>
      </c>
    </row>
    <row r="6" spans="1:15" x14ac:dyDescent="0.2">
      <c r="A6" s="19" t="s">
        <v>34</v>
      </c>
    </row>
    <row r="8" spans="1:15" s="22" customFormat="1" ht="38.25" x14ac:dyDescent="0.2">
      <c r="A8" s="20" t="s">
        <v>5</v>
      </c>
      <c r="B8" s="21"/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12</v>
      </c>
      <c r="J8" s="21" t="s">
        <v>13</v>
      </c>
      <c r="K8" s="21" t="s">
        <v>14</v>
      </c>
      <c r="L8" s="21" t="s">
        <v>15</v>
      </c>
      <c r="M8" s="21" t="s">
        <v>16</v>
      </c>
      <c r="N8" s="21" t="s">
        <v>17</v>
      </c>
    </row>
    <row r="9" spans="1:15" x14ac:dyDescent="0.2">
      <c r="A9" s="23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25">
        <v>5239526</v>
      </c>
      <c r="N9" s="31"/>
    </row>
    <row r="10" spans="1:15" ht="15" x14ac:dyDescent="0.25">
      <c r="A10" s="10">
        <v>42795</v>
      </c>
      <c r="B10"/>
      <c r="C10" s="56">
        <v>19347703</v>
      </c>
      <c r="D10" s="25">
        <v>37860</v>
      </c>
      <c r="E10" s="25">
        <v>114457.3</v>
      </c>
      <c r="F10" s="25">
        <v>228914.6</v>
      </c>
      <c r="G10" s="25">
        <f>E10-D10</f>
        <v>76597.3</v>
      </c>
      <c r="H10" s="56">
        <f t="shared" ref="H10:H15" si="0">F10-D10</f>
        <v>191054.6</v>
      </c>
      <c r="I10" s="58">
        <v>0.35</v>
      </c>
      <c r="J10" s="58">
        <v>0.06</v>
      </c>
      <c r="K10" s="56">
        <f>G10*I10+-L10*I10</f>
        <v>22796.9084</v>
      </c>
      <c r="L10" s="56">
        <f>H10*J10</f>
        <v>11463.276</v>
      </c>
      <c r="M10" s="56">
        <f>M9+K10+L10</f>
        <v>5273786.1843999997</v>
      </c>
      <c r="N10" s="56">
        <v>0</v>
      </c>
      <c r="O10" s="30"/>
    </row>
    <row r="11" spans="1:15" ht="15" x14ac:dyDescent="0.25">
      <c r="A11" s="12">
        <v>42826</v>
      </c>
      <c r="B11"/>
      <c r="C11" s="56">
        <v>19347703</v>
      </c>
      <c r="D11" s="25">
        <v>37860</v>
      </c>
      <c r="E11" s="25">
        <v>114457.3</v>
      </c>
      <c r="F11" s="25">
        <v>228914.6</v>
      </c>
      <c r="G11" s="25">
        <f t="shared" ref="G11:G15" si="1">E11-D11</f>
        <v>76597.3</v>
      </c>
      <c r="H11" s="56">
        <f t="shared" si="0"/>
        <v>191054.6</v>
      </c>
      <c r="I11" s="58">
        <v>0.35</v>
      </c>
      <c r="J11" s="58">
        <v>0.06</v>
      </c>
      <c r="K11" s="56">
        <f t="shared" ref="K11:K15" si="2">G11*I11+-L11*I11</f>
        <v>22796.9084</v>
      </c>
      <c r="L11" s="56">
        <f t="shared" ref="L11:L15" si="3">H11*J11</f>
        <v>11463.276</v>
      </c>
      <c r="M11" s="56">
        <f t="shared" ref="M11:M15" si="4">M10+K11+L11</f>
        <v>5308046.3687999994</v>
      </c>
      <c r="N11" s="56">
        <v>0</v>
      </c>
      <c r="O11" s="30"/>
    </row>
    <row r="12" spans="1:15" ht="15" x14ac:dyDescent="0.25">
      <c r="A12" s="12">
        <v>42856</v>
      </c>
      <c r="B12"/>
      <c r="C12" s="56">
        <v>19347703</v>
      </c>
      <c r="D12" s="25">
        <v>37860</v>
      </c>
      <c r="E12" s="25">
        <v>114457.3</v>
      </c>
      <c r="F12" s="25">
        <v>228914.6</v>
      </c>
      <c r="G12" s="25">
        <f t="shared" si="1"/>
        <v>76597.3</v>
      </c>
      <c r="H12" s="56">
        <f t="shared" si="0"/>
        <v>191054.6</v>
      </c>
      <c r="I12" s="58">
        <v>0.35</v>
      </c>
      <c r="J12" s="58">
        <v>0.06</v>
      </c>
      <c r="K12" s="56">
        <f t="shared" si="2"/>
        <v>22796.9084</v>
      </c>
      <c r="L12" s="56">
        <f t="shared" si="3"/>
        <v>11463.276</v>
      </c>
      <c r="M12" s="56">
        <f t="shared" si="4"/>
        <v>5342306.553199999</v>
      </c>
      <c r="N12" s="56">
        <v>0</v>
      </c>
    </row>
    <row r="13" spans="1:15" ht="15" x14ac:dyDescent="0.25">
      <c r="A13" s="12">
        <v>42887</v>
      </c>
      <c r="B13"/>
      <c r="C13" s="56">
        <v>19347703</v>
      </c>
      <c r="D13" s="25">
        <v>37860</v>
      </c>
      <c r="E13" s="25">
        <v>114457.3</v>
      </c>
      <c r="F13" s="25">
        <v>228914.6</v>
      </c>
      <c r="G13" s="25">
        <f t="shared" si="1"/>
        <v>76597.3</v>
      </c>
      <c r="H13" s="56">
        <f t="shared" si="0"/>
        <v>191054.6</v>
      </c>
      <c r="I13" s="58">
        <v>0.35</v>
      </c>
      <c r="J13" s="58">
        <v>0.06</v>
      </c>
      <c r="K13" s="56">
        <f t="shared" si="2"/>
        <v>22796.9084</v>
      </c>
      <c r="L13" s="56">
        <f t="shared" si="3"/>
        <v>11463.276</v>
      </c>
      <c r="M13" s="56">
        <f t="shared" si="4"/>
        <v>5376566.7375999987</v>
      </c>
      <c r="N13" s="56">
        <v>0</v>
      </c>
      <c r="O13" s="24"/>
    </row>
    <row r="14" spans="1:15" ht="15" x14ac:dyDescent="0.25">
      <c r="A14" s="12">
        <v>42917</v>
      </c>
      <c r="B14"/>
      <c r="C14" s="56">
        <v>19347703</v>
      </c>
      <c r="D14" s="25">
        <v>42693</v>
      </c>
      <c r="E14" s="25">
        <f>114457.3+5038-5038</f>
        <v>114457.3</v>
      </c>
      <c r="F14" s="25">
        <f>228914.6+3000-3000</f>
        <v>228914.6</v>
      </c>
      <c r="G14" s="25">
        <f t="shared" si="1"/>
        <v>71764.3</v>
      </c>
      <c r="H14" s="56">
        <f t="shared" si="0"/>
        <v>186221.6</v>
      </c>
      <c r="I14" s="58">
        <v>0.35</v>
      </c>
      <c r="J14" s="58">
        <v>0.06</v>
      </c>
      <c r="K14" s="56">
        <f t="shared" si="2"/>
        <v>21206.8514</v>
      </c>
      <c r="L14" s="56">
        <f t="shared" si="3"/>
        <v>11173.296</v>
      </c>
      <c r="M14" s="56">
        <f t="shared" si="4"/>
        <v>5408946.8849999988</v>
      </c>
      <c r="N14" s="56">
        <v>0</v>
      </c>
      <c r="O14" s="30"/>
    </row>
    <row r="15" spans="1:15" ht="15" x14ac:dyDescent="0.25">
      <c r="A15" s="12">
        <v>42948</v>
      </c>
      <c r="B15"/>
      <c r="C15" s="56">
        <v>19347703</v>
      </c>
      <c r="D15" s="25">
        <v>42693</v>
      </c>
      <c r="E15" s="25">
        <f>114457.3+5038-0.49-5038</f>
        <v>114456.81</v>
      </c>
      <c r="F15" s="25">
        <f>228914.6+3000-3000</f>
        <v>228914.6</v>
      </c>
      <c r="G15" s="25">
        <f t="shared" si="1"/>
        <v>71763.81</v>
      </c>
      <c r="H15" s="56">
        <f t="shared" si="0"/>
        <v>186221.6</v>
      </c>
      <c r="I15" s="58">
        <v>0.35</v>
      </c>
      <c r="J15" s="58">
        <v>0.06</v>
      </c>
      <c r="K15" s="56">
        <f t="shared" si="2"/>
        <v>21206.679899999996</v>
      </c>
      <c r="L15" s="56">
        <f t="shared" si="3"/>
        <v>11173.296</v>
      </c>
      <c r="M15" s="56">
        <f t="shared" si="4"/>
        <v>5441326.8608999988</v>
      </c>
      <c r="N15" s="56">
        <v>0</v>
      </c>
      <c r="O15" s="31"/>
    </row>
    <row r="16" spans="1:15" ht="15" x14ac:dyDescent="0.25">
      <c r="A16" s="12">
        <v>42987</v>
      </c>
      <c r="B16"/>
      <c r="C16" s="30">
        <v>19347703</v>
      </c>
      <c r="D16" s="30">
        <v>42693</v>
      </c>
      <c r="E16" s="30">
        <v>114457</v>
      </c>
      <c r="F16" s="30">
        <v>228914.61</v>
      </c>
      <c r="G16" s="30">
        <f t="shared" ref="G16:G33" si="5">E16-D16</f>
        <v>71764</v>
      </c>
      <c r="H16" s="30">
        <f t="shared" ref="H16:H33" si="6">F16-D16</f>
        <v>186221.61</v>
      </c>
      <c r="I16" s="57">
        <v>0.35</v>
      </c>
      <c r="J16" s="57">
        <v>0.06</v>
      </c>
      <c r="K16" s="30">
        <f t="shared" ref="K16:K19" si="7">G16*I16-L16*I16</f>
        <v>21206.746189999998</v>
      </c>
      <c r="L16" s="30">
        <f t="shared" ref="L16:L19" si="8">H16*J16</f>
        <v>11173.296599999998</v>
      </c>
      <c r="M16" s="30">
        <f t="shared" ref="M16:M33" si="9">M15+K16+L16</f>
        <v>5473706.9036899991</v>
      </c>
      <c r="N16" s="30">
        <v>0</v>
      </c>
    </row>
    <row r="17" spans="1:14" ht="15" x14ac:dyDescent="0.25">
      <c r="A17" s="12">
        <v>43009</v>
      </c>
      <c r="B17"/>
      <c r="C17" s="30">
        <v>19347703</v>
      </c>
      <c r="D17" s="30">
        <v>42693</v>
      </c>
      <c r="E17" s="30">
        <v>114457</v>
      </c>
      <c r="F17" s="30">
        <v>228914.61</v>
      </c>
      <c r="G17" s="30">
        <f t="shared" si="5"/>
        <v>71764</v>
      </c>
      <c r="H17" s="30">
        <f t="shared" si="6"/>
        <v>186221.61</v>
      </c>
      <c r="I17" s="57">
        <v>0.35</v>
      </c>
      <c r="J17" s="57">
        <v>0.06</v>
      </c>
      <c r="K17" s="30">
        <f t="shared" si="7"/>
        <v>21206.746189999998</v>
      </c>
      <c r="L17" s="30">
        <f t="shared" si="8"/>
        <v>11173.296599999998</v>
      </c>
      <c r="M17" s="30">
        <f t="shared" si="9"/>
        <v>5506086.9464799995</v>
      </c>
      <c r="N17" s="30">
        <v>0</v>
      </c>
    </row>
    <row r="18" spans="1:14" ht="15" x14ac:dyDescent="0.25">
      <c r="A18" s="12">
        <v>43040</v>
      </c>
      <c r="B18"/>
      <c r="C18" s="30">
        <v>19347703</v>
      </c>
      <c r="D18" s="30">
        <v>42693</v>
      </c>
      <c r="E18" s="30">
        <v>114457</v>
      </c>
      <c r="F18" s="30">
        <v>228914.61</v>
      </c>
      <c r="G18" s="30">
        <f t="shared" si="5"/>
        <v>71764</v>
      </c>
      <c r="H18" s="30">
        <f t="shared" si="6"/>
        <v>186221.61</v>
      </c>
      <c r="I18" s="57">
        <v>0.35</v>
      </c>
      <c r="J18" s="57">
        <v>0.06</v>
      </c>
      <c r="K18" s="30">
        <f t="shared" si="7"/>
        <v>21206.746189999998</v>
      </c>
      <c r="L18" s="30">
        <f t="shared" si="8"/>
        <v>11173.296599999998</v>
      </c>
      <c r="M18" s="30">
        <f t="shared" si="9"/>
        <v>5538466.9892699998</v>
      </c>
      <c r="N18" s="30">
        <v>0</v>
      </c>
    </row>
    <row r="19" spans="1:14" ht="15" x14ac:dyDescent="0.25">
      <c r="A19" s="12">
        <v>43070</v>
      </c>
      <c r="B19"/>
      <c r="C19" s="30">
        <v>19347703</v>
      </c>
      <c r="D19" s="30">
        <v>42693</v>
      </c>
      <c r="E19" s="30">
        <v>114457</v>
      </c>
      <c r="F19" s="30">
        <v>228914.61</v>
      </c>
      <c r="G19" s="30">
        <f t="shared" si="5"/>
        <v>71764</v>
      </c>
      <c r="H19" s="30">
        <f t="shared" si="6"/>
        <v>186221.61</v>
      </c>
      <c r="I19" s="57">
        <v>0.35</v>
      </c>
      <c r="J19" s="57">
        <v>0.06</v>
      </c>
      <c r="K19" s="30">
        <f t="shared" si="7"/>
        <v>21206.746189999998</v>
      </c>
      <c r="L19" s="30">
        <f t="shared" si="8"/>
        <v>11173.296599999998</v>
      </c>
      <c r="M19" s="30">
        <f t="shared" si="9"/>
        <v>5570847.0320600001</v>
      </c>
      <c r="N19" s="30">
        <v>0</v>
      </c>
    </row>
    <row r="20" spans="1:14" ht="15" x14ac:dyDescent="0.25">
      <c r="A20" s="12">
        <v>43101</v>
      </c>
      <c r="B20"/>
      <c r="C20" s="30">
        <v>19347703</v>
      </c>
      <c r="D20" s="30">
        <v>42693</v>
      </c>
      <c r="E20" s="30">
        <v>30014</v>
      </c>
      <c r="F20" s="30">
        <v>60028.41</v>
      </c>
      <c r="G20" s="30">
        <f t="shared" si="5"/>
        <v>-12679</v>
      </c>
      <c r="H20" s="30">
        <f t="shared" si="6"/>
        <v>17335.410000000003</v>
      </c>
      <c r="I20" s="57">
        <v>0.21</v>
      </c>
      <c r="J20" s="57">
        <v>0.05</v>
      </c>
      <c r="K20" s="30">
        <f>G20*I20-L20*I20-22954-880</f>
        <v>-25831.891804999999</v>
      </c>
      <c r="L20" s="30">
        <f>H20*J20-4032</f>
        <v>-3165.2294999999999</v>
      </c>
      <c r="M20" s="30">
        <f t="shared" si="9"/>
        <v>5541849.9107550001</v>
      </c>
      <c r="N20" s="30">
        <v>0</v>
      </c>
    </row>
    <row r="21" spans="1:14" ht="15" x14ac:dyDescent="0.25">
      <c r="A21" s="12">
        <v>43132</v>
      </c>
      <c r="B21"/>
      <c r="C21" s="30">
        <v>19347703</v>
      </c>
      <c r="D21" s="30">
        <v>42693</v>
      </c>
      <c r="E21" s="30">
        <v>30014</v>
      </c>
      <c r="F21" s="30">
        <v>60028.41</v>
      </c>
      <c r="G21" s="30">
        <f t="shared" si="5"/>
        <v>-12679</v>
      </c>
      <c r="H21" s="30">
        <f t="shared" si="6"/>
        <v>17335.410000000003</v>
      </c>
      <c r="I21" s="57">
        <v>0.21</v>
      </c>
      <c r="J21" s="57">
        <v>0.05</v>
      </c>
      <c r="K21" s="30">
        <f t="shared" ref="K21:K27" si="10">G21*I21-L21*I21-880</f>
        <v>-3724.6118049999995</v>
      </c>
      <c r="L21" s="30">
        <f t="shared" ref="L21:L33" si="11">H21*J21</f>
        <v>866.7705000000002</v>
      </c>
      <c r="M21" s="30">
        <f t="shared" si="9"/>
        <v>5538992.0694499994</v>
      </c>
      <c r="N21" s="30">
        <v>0</v>
      </c>
    </row>
    <row r="22" spans="1:14" ht="15" x14ac:dyDescent="0.25">
      <c r="A22" s="12">
        <v>43160</v>
      </c>
      <c r="B22"/>
      <c r="C22" s="56">
        <v>19347703</v>
      </c>
      <c r="D22" s="25">
        <v>42693</v>
      </c>
      <c r="E22" s="25">
        <v>30014</v>
      </c>
      <c r="F22" s="25">
        <v>60028.41</v>
      </c>
      <c r="G22" s="25">
        <f t="shared" si="5"/>
        <v>-12679</v>
      </c>
      <c r="H22" s="25">
        <f t="shared" si="6"/>
        <v>17335.410000000003</v>
      </c>
      <c r="I22" s="58">
        <v>0.21</v>
      </c>
      <c r="J22" s="58">
        <v>0.05</v>
      </c>
      <c r="K22" s="56">
        <f t="shared" si="10"/>
        <v>-3724.6118049999995</v>
      </c>
      <c r="L22" s="56">
        <f t="shared" si="11"/>
        <v>866.7705000000002</v>
      </c>
      <c r="M22" s="56">
        <f t="shared" si="9"/>
        <v>5536134.2281449987</v>
      </c>
      <c r="N22" s="56">
        <v>0</v>
      </c>
    </row>
    <row r="23" spans="1:14" ht="15" x14ac:dyDescent="0.25">
      <c r="A23" s="12">
        <v>43191</v>
      </c>
      <c r="B23"/>
      <c r="C23" s="56">
        <v>19347703</v>
      </c>
      <c r="D23" s="25">
        <v>42693</v>
      </c>
      <c r="E23" s="25">
        <v>30014</v>
      </c>
      <c r="F23" s="25">
        <v>60028.41</v>
      </c>
      <c r="G23" s="25">
        <f t="shared" si="5"/>
        <v>-12679</v>
      </c>
      <c r="H23" s="25">
        <f t="shared" si="6"/>
        <v>17335.410000000003</v>
      </c>
      <c r="I23" s="58">
        <v>0.21</v>
      </c>
      <c r="J23" s="58">
        <v>0.05</v>
      </c>
      <c r="K23" s="56">
        <f t="shared" si="10"/>
        <v>-3724.6118049999995</v>
      </c>
      <c r="L23" s="56">
        <f t="shared" si="11"/>
        <v>866.7705000000002</v>
      </c>
      <c r="M23" s="59">
        <f t="shared" si="9"/>
        <v>5533276.386839998</v>
      </c>
      <c r="N23" s="56">
        <v>0</v>
      </c>
    </row>
    <row r="24" spans="1:14" ht="15" x14ac:dyDescent="0.25">
      <c r="A24" s="12">
        <v>43221</v>
      </c>
      <c r="B24"/>
      <c r="C24" s="56">
        <v>19347703</v>
      </c>
      <c r="D24" s="25">
        <v>42693</v>
      </c>
      <c r="E24" s="25">
        <v>30014</v>
      </c>
      <c r="F24" s="25">
        <v>60028.41</v>
      </c>
      <c r="G24" s="25">
        <f t="shared" si="5"/>
        <v>-12679</v>
      </c>
      <c r="H24" s="25">
        <f t="shared" si="6"/>
        <v>17335.410000000003</v>
      </c>
      <c r="I24" s="58">
        <v>0.21</v>
      </c>
      <c r="J24" s="58">
        <v>0.05</v>
      </c>
      <c r="K24" s="56">
        <f t="shared" si="10"/>
        <v>-3724.6118049999995</v>
      </c>
      <c r="L24" s="56">
        <f t="shared" si="11"/>
        <v>866.7705000000002</v>
      </c>
      <c r="M24" s="56">
        <f t="shared" si="9"/>
        <v>5530418.5455349972</v>
      </c>
      <c r="N24" s="56">
        <v>0</v>
      </c>
    </row>
    <row r="25" spans="1:14" ht="15" x14ac:dyDescent="0.25">
      <c r="A25" s="12">
        <v>43252</v>
      </c>
      <c r="B25"/>
      <c r="C25" s="56">
        <v>19347703</v>
      </c>
      <c r="D25" s="25">
        <v>42693</v>
      </c>
      <c r="E25" s="25">
        <v>30014</v>
      </c>
      <c r="F25" s="25">
        <v>60028.41</v>
      </c>
      <c r="G25" s="25">
        <f t="shared" si="5"/>
        <v>-12679</v>
      </c>
      <c r="H25" s="25">
        <f t="shared" si="6"/>
        <v>17335.410000000003</v>
      </c>
      <c r="I25" s="58">
        <v>0.21</v>
      </c>
      <c r="J25" s="58">
        <v>0.05</v>
      </c>
      <c r="K25" s="56">
        <f t="shared" si="10"/>
        <v>-3724.6118049999995</v>
      </c>
      <c r="L25" s="56">
        <f t="shared" si="11"/>
        <v>866.7705000000002</v>
      </c>
      <c r="M25" s="56">
        <f t="shared" si="9"/>
        <v>5527560.7042299965</v>
      </c>
      <c r="N25" s="56">
        <v>0</v>
      </c>
    </row>
    <row r="26" spans="1:14" ht="15" x14ac:dyDescent="0.25">
      <c r="A26" s="12">
        <v>43282</v>
      </c>
      <c r="B26"/>
      <c r="C26" s="56">
        <v>19347703</v>
      </c>
      <c r="D26" s="25">
        <v>42693</v>
      </c>
      <c r="E26" s="25">
        <v>30014</v>
      </c>
      <c r="F26" s="25">
        <v>60028.41</v>
      </c>
      <c r="G26" s="25">
        <f t="shared" si="5"/>
        <v>-12679</v>
      </c>
      <c r="H26" s="25">
        <f t="shared" si="6"/>
        <v>17335.410000000003</v>
      </c>
      <c r="I26" s="58">
        <v>0.21</v>
      </c>
      <c r="J26" s="58">
        <v>0.05</v>
      </c>
      <c r="K26" s="56">
        <f t="shared" si="10"/>
        <v>-3724.6118049999995</v>
      </c>
      <c r="L26" s="56">
        <f t="shared" si="11"/>
        <v>866.7705000000002</v>
      </c>
      <c r="M26" s="56">
        <f t="shared" si="9"/>
        <v>5524702.8629249958</v>
      </c>
      <c r="N26" s="56">
        <v>0</v>
      </c>
    </row>
    <row r="27" spans="1:14" ht="15" x14ac:dyDescent="0.25">
      <c r="A27" s="12">
        <v>43313</v>
      </c>
      <c r="B27"/>
      <c r="C27" s="56">
        <v>19347703</v>
      </c>
      <c r="D27" s="25">
        <v>42693</v>
      </c>
      <c r="E27" s="25">
        <v>30014</v>
      </c>
      <c r="F27" s="25">
        <v>60028.41</v>
      </c>
      <c r="G27" s="25">
        <f t="shared" si="5"/>
        <v>-12679</v>
      </c>
      <c r="H27" s="25">
        <f t="shared" si="6"/>
        <v>17335.410000000003</v>
      </c>
      <c r="I27" s="58">
        <v>0.21</v>
      </c>
      <c r="J27" s="58">
        <v>0.05</v>
      </c>
      <c r="K27" s="56">
        <f t="shared" si="10"/>
        <v>-3724.6118049999995</v>
      </c>
      <c r="L27" s="56">
        <f t="shared" si="11"/>
        <v>866.7705000000002</v>
      </c>
      <c r="M27" s="56">
        <f t="shared" si="9"/>
        <v>5521845.0216199951</v>
      </c>
      <c r="N27" s="56">
        <v>0</v>
      </c>
    </row>
    <row r="28" spans="1:14" ht="15" x14ac:dyDescent="0.25">
      <c r="A28" s="10">
        <v>43352</v>
      </c>
      <c r="B28"/>
      <c r="C28" s="56">
        <v>19347703</v>
      </c>
      <c r="D28" s="25">
        <v>42693</v>
      </c>
      <c r="E28" s="25">
        <f>30014.2</f>
        <v>30014.2</v>
      </c>
      <c r="F28" s="25">
        <v>60028.41</v>
      </c>
      <c r="G28" s="25">
        <f t="shared" si="5"/>
        <v>-12678.8</v>
      </c>
      <c r="H28" s="25">
        <f t="shared" si="6"/>
        <v>17335.410000000003</v>
      </c>
      <c r="I28" s="58">
        <v>0.21</v>
      </c>
      <c r="J28" s="58">
        <v>0.05</v>
      </c>
      <c r="K28" s="56">
        <f>G28*I28-L28*I28-881</f>
        <v>-3725.5698049999996</v>
      </c>
      <c r="L28" s="56">
        <f t="shared" si="11"/>
        <v>866.7705000000002</v>
      </c>
      <c r="M28" s="56">
        <f t="shared" si="9"/>
        <v>5518986.2223149948</v>
      </c>
      <c r="N28" s="56">
        <v>0</v>
      </c>
    </row>
    <row r="29" spans="1:14" ht="15" x14ac:dyDescent="0.25">
      <c r="A29" s="12">
        <v>43374</v>
      </c>
      <c r="B29"/>
      <c r="C29" s="56">
        <v>19347703</v>
      </c>
      <c r="D29" s="25">
        <v>42693</v>
      </c>
      <c r="E29" s="25">
        <f>30014.2</f>
        <v>30014.2</v>
      </c>
      <c r="F29" s="25">
        <v>60028.41</v>
      </c>
      <c r="G29" s="25">
        <f t="shared" si="5"/>
        <v>-12678.8</v>
      </c>
      <c r="H29" s="25">
        <f t="shared" si="6"/>
        <v>17335.410000000003</v>
      </c>
      <c r="I29" s="58">
        <v>0.21</v>
      </c>
      <c r="J29" s="58">
        <v>0.05</v>
      </c>
      <c r="K29" s="56">
        <f>G29*I29-L29*I29-880</f>
        <v>-3724.5698049999996</v>
      </c>
      <c r="L29" s="56">
        <f t="shared" si="11"/>
        <v>866.7705000000002</v>
      </c>
      <c r="M29" s="59">
        <f t="shared" si="9"/>
        <v>5516128.4230099944</v>
      </c>
      <c r="N29" s="56">
        <v>0</v>
      </c>
    </row>
    <row r="30" spans="1:14" ht="15" x14ac:dyDescent="0.25">
      <c r="A30" s="12">
        <v>43405</v>
      </c>
      <c r="B30"/>
      <c r="C30" s="56">
        <v>19347703</v>
      </c>
      <c r="D30" s="25">
        <v>42693</v>
      </c>
      <c r="E30" s="25">
        <f>30014.2-1</f>
        <v>30013.200000000001</v>
      </c>
      <c r="F30" s="25">
        <v>60028.41</v>
      </c>
      <c r="G30" s="25">
        <f t="shared" si="5"/>
        <v>-12679.8</v>
      </c>
      <c r="H30" s="25">
        <f t="shared" si="6"/>
        <v>17335.410000000003</v>
      </c>
      <c r="I30" s="58">
        <v>0.21</v>
      </c>
      <c r="J30" s="58">
        <v>0.05</v>
      </c>
      <c r="K30" s="56">
        <f>G30*I30-L30*I30-880</f>
        <v>-3724.7798049999997</v>
      </c>
      <c r="L30" s="56">
        <f t="shared" si="11"/>
        <v>866.7705000000002</v>
      </c>
      <c r="M30" s="56">
        <f t="shared" si="9"/>
        <v>5513270.4137049941</v>
      </c>
      <c r="N30" s="56">
        <v>0</v>
      </c>
    </row>
    <row r="31" spans="1:14" ht="15" x14ac:dyDescent="0.25">
      <c r="A31" s="12">
        <v>43435</v>
      </c>
      <c r="B31"/>
      <c r="C31" s="56">
        <v>19347703</v>
      </c>
      <c r="D31" s="25">
        <v>42693</v>
      </c>
      <c r="E31" s="25">
        <f>30014.2-1</f>
        <v>30013.200000000001</v>
      </c>
      <c r="F31" s="25">
        <v>60028.41</v>
      </c>
      <c r="G31" s="25">
        <f t="shared" si="5"/>
        <v>-12679.8</v>
      </c>
      <c r="H31" s="25">
        <f t="shared" si="6"/>
        <v>17335.410000000003</v>
      </c>
      <c r="I31" s="58">
        <v>0.21</v>
      </c>
      <c r="J31" s="58">
        <v>0.05</v>
      </c>
      <c r="K31" s="56">
        <f>G31*I31-L31*I31-880</f>
        <v>-3724.7798049999997</v>
      </c>
      <c r="L31" s="56">
        <f t="shared" si="11"/>
        <v>866.7705000000002</v>
      </c>
      <c r="M31" s="56">
        <f t="shared" si="9"/>
        <v>5510412.4043999938</v>
      </c>
      <c r="N31" s="56">
        <v>0</v>
      </c>
    </row>
    <row r="32" spans="1:14" ht="15" x14ac:dyDescent="0.25">
      <c r="A32" s="12">
        <v>43466</v>
      </c>
      <c r="B32"/>
      <c r="C32" s="56">
        <v>19347703</v>
      </c>
      <c r="D32" s="25">
        <v>42693</v>
      </c>
      <c r="E32" s="25">
        <f>28786.26-1.5</f>
        <v>28784.76</v>
      </c>
      <c r="F32" s="25">
        <v>57572.53</v>
      </c>
      <c r="G32" s="25">
        <f t="shared" si="5"/>
        <v>-13908.240000000002</v>
      </c>
      <c r="H32" s="25">
        <f t="shared" si="6"/>
        <v>14879.529999999999</v>
      </c>
      <c r="I32" s="58">
        <v>0.21</v>
      </c>
      <c r="J32" s="58">
        <v>0.05</v>
      </c>
      <c r="K32" s="56">
        <f>G32*I32-L32*I32-1270</f>
        <v>-4346.9654650000002</v>
      </c>
      <c r="L32" s="56">
        <f t="shared" si="11"/>
        <v>743.97649999999999</v>
      </c>
      <c r="M32" s="56">
        <f t="shared" si="9"/>
        <v>5506809.4154349938</v>
      </c>
      <c r="N32" s="56">
        <v>0</v>
      </c>
    </row>
    <row r="33" spans="1:14" ht="15" x14ac:dyDescent="0.25">
      <c r="A33" s="12">
        <v>43497</v>
      </c>
      <c r="B33"/>
      <c r="C33" s="56">
        <v>19347703</v>
      </c>
      <c r="D33" s="25">
        <v>42693</v>
      </c>
      <c r="E33" s="25">
        <f>28786.26-1.5</f>
        <v>28784.76</v>
      </c>
      <c r="F33" s="25">
        <v>57572.53</v>
      </c>
      <c r="G33" s="25">
        <f t="shared" si="5"/>
        <v>-13908.240000000002</v>
      </c>
      <c r="H33" s="25">
        <f t="shared" si="6"/>
        <v>14879.529999999999</v>
      </c>
      <c r="I33" s="58">
        <v>0.21</v>
      </c>
      <c r="J33" s="58">
        <v>0.05</v>
      </c>
      <c r="K33" s="56">
        <f>G33*I33-L33*I33-1270</f>
        <v>-4346.9654650000002</v>
      </c>
      <c r="L33" s="56">
        <f t="shared" si="11"/>
        <v>743.97649999999999</v>
      </c>
      <c r="M33" s="56">
        <f t="shared" si="9"/>
        <v>5503206.4264699938</v>
      </c>
      <c r="N33" s="56">
        <v>0</v>
      </c>
    </row>
    <row r="34" spans="1:14" x14ac:dyDescent="0.2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x14ac:dyDescent="0.2">
      <c r="C35" s="56" t="s">
        <v>60</v>
      </c>
      <c r="D35" s="25"/>
      <c r="E35" s="25"/>
      <c r="F35" s="25"/>
      <c r="G35" s="25"/>
      <c r="H35" s="25"/>
      <c r="I35" s="58"/>
      <c r="J35" s="58"/>
      <c r="K35" s="56"/>
      <c r="L35" s="31"/>
      <c r="M35" s="31"/>
      <c r="N35" s="31"/>
    </row>
    <row r="36" spans="1:14" x14ac:dyDescent="0.2">
      <c r="C36" s="56"/>
      <c r="D36" s="56"/>
      <c r="E36" s="56"/>
      <c r="F36" s="56"/>
      <c r="G36" s="56"/>
      <c r="H36" s="56"/>
      <c r="I36" s="56"/>
      <c r="J36" s="56"/>
      <c r="K36" s="56"/>
      <c r="L36" s="31"/>
      <c r="M36" s="31"/>
      <c r="N36" s="31"/>
    </row>
    <row r="37" spans="1:14" x14ac:dyDescent="0.2">
      <c r="C37" s="40" t="s">
        <v>35</v>
      </c>
      <c r="D37" s="61"/>
      <c r="E37" s="61"/>
      <c r="F37" s="61"/>
      <c r="G37" s="61"/>
      <c r="H37" s="61"/>
      <c r="I37" s="61"/>
      <c r="J37" s="61"/>
      <c r="K37" s="61"/>
      <c r="L37" s="31"/>
      <c r="M37" s="31"/>
      <c r="N37" s="31"/>
    </row>
    <row r="38" spans="1:14" x14ac:dyDescent="0.2">
      <c r="C38" s="40" t="s">
        <v>21</v>
      </c>
      <c r="D38" s="61"/>
      <c r="E38" s="61"/>
      <c r="F38" s="61"/>
      <c r="G38" s="61"/>
      <c r="H38" s="61"/>
      <c r="I38" s="61"/>
      <c r="J38" s="61"/>
      <c r="K38" s="61"/>
      <c r="L38" s="31"/>
      <c r="M38" s="31"/>
      <c r="N38" s="31"/>
    </row>
    <row r="39" spans="1:14" x14ac:dyDescent="0.2">
      <c r="C39" s="40" t="s">
        <v>58</v>
      </c>
      <c r="D39" s="61"/>
      <c r="E39" s="61"/>
      <c r="F39" s="61"/>
      <c r="G39" s="61"/>
      <c r="H39" s="61"/>
      <c r="I39" s="61"/>
      <c r="J39" s="61"/>
      <c r="K39" s="61"/>
      <c r="L39" s="31"/>
      <c r="M39" s="31"/>
      <c r="N39" s="31"/>
    </row>
    <row r="40" spans="1:14" x14ac:dyDescent="0.2">
      <c r="C40" s="59" t="s">
        <v>22</v>
      </c>
      <c r="D40" s="61"/>
      <c r="E40" s="61"/>
      <c r="F40" s="61"/>
      <c r="G40" s="61"/>
      <c r="H40" s="61"/>
      <c r="I40" s="61"/>
      <c r="J40" s="61"/>
      <c r="K40" s="61"/>
      <c r="L40" s="31"/>
      <c r="M40" s="31"/>
      <c r="N40" s="31"/>
    </row>
    <row r="41" spans="1:14" x14ac:dyDescent="0.2">
      <c r="C41" s="61"/>
      <c r="D41" s="61"/>
      <c r="E41" s="61"/>
      <c r="F41" s="61"/>
      <c r="G41" s="61"/>
      <c r="H41" s="61"/>
      <c r="I41" s="61"/>
      <c r="J41" s="61"/>
      <c r="K41" s="61"/>
      <c r="L41" s="31"/>
      <c r="M41" s="31"/>
      <c r="N41" s="31"/>
    </row>
    <row r="42" spans="1:14" x14ac:dyDescent="0.2">
      <c r="C42" s="59" t="s">
        <v>23</v>
      </c>
      <c r="D42" s="28" t="s">
        <v>24</v>
      </c>
      <c r="E42" s="27" t="s">
        <v>25</v>
      </c>
      <c r="F42" s="59" t="s">
        <v>26</v>
      </c>
      <c r="G42" s="60" t="s">
        <v>12</v>
      </c>
      <c r="H42" s="59" t="s">
        <v>27</v>
      </c>
      <c r="I42" s="61"/>
      <c r="J42" s="61"/>
      <c r="K42" s="61"/>
      <c r="L42" s="31"/>
      <c r="M42" s="31"/>
      <c r="N42" s="31"/>
    </row>
    <row r="43" spans="1:14" x14ac:dyDescent="0.2">
      <c r="C43" s="70">
        <v>3199833</v>
      </c>
      <c r="D43" s="71">
        <v>42693</v>
      </c>
      <c r="E43" s="70">
        <v>12058</v>
      </c>
      <c r="F43" s="64">
        <f>E43-D43</f>
        <v>-30635</v>
      </c>
      <c r="G43" s="58">
        <v>0.21</v>
      </c>
      <c r="H43" s="64">
        <f>F43*G43</f>
        <v>-6433.3499999999995</v>
      </c>
      <c r="I43" s="61"/>
      <c r="J43" s="61"/>
      <c r="K43" s="61"/>
      <c r="L43" s="31"/>
      <c r="M43" s="31"/>
      <c r="N43" s="31"/>
    </row>
    <row r="44" spans="1:14" x14ac:dyDescent="0.2">
      <c r="C44" s="70">
        <v>4799749</v>
      </c>
      <c r="D44" s="61"/>
      <c r="E44" s="70">
        <v>0</v>
      </c>
      <c r="F44" s="64">
        <f>E44</f>
        <v>0</v>
      </c>
      <c r="G44" s="58">
        <v>0.21</v>
      </c>
      <c r="H44" s="64">
        <f t="shared" ref="H44:H48" si="12">F44*G44</f>
        <v>0</v>
      </c>
      <c r="I44" s="61"/>
      <c r="J44" s="61"/>
      <c r="K44" s="61"/>
      <c r="L44" s="31"/>
      <c r="M44" s="31"/>
      <c r="N44" s="31"/>
    </row>
    <row r="45" spans="1:14" x14ac:dyDescent="0.2">
      <c r="C45" s="69">
        <f>623422/2*0.4</f>
        <v>124684.40000000001</v>
      </c>
      <c r="D45" s="61"/>
      <c r="E45" s="70">
        <v>508</v>
      </c>
      <c r="F45" s="64">
        <f t="shared" ref="F45:F48" si="13">E45</f>
        <v>508</v>
      </c>
      <c r="G45" s="58">
        <v>0.21</v>
      </c>
      <c r="H45" s="64">
        <f t="shared" si="12"/>
        <v>106.67999999999999</v>
      </c>
      <c r="I45" s="61"/>
      <c r="J45" s="61"/>
      <c r="K45" s="61"/>
      <c r="L45" s="31"/>
      <c r="M45" s="31"/>
      <c r="N45" s="31"/>
    </row>
    <row r="46" spans="1:14" x14ac:dyDescent="0.2">
      <c r="C46" s="69">
        <f>623422/2*0.6</f>
        <v>187026.6</v>
      </c>
      <c r="D46" s="61"/>
      <c r="E46" s="70">
        <v>0</v>
      </c>
      <c r="F46" s="64">
        <f t="shared" si="13"/>
        <v>0</v>
      </c>
      <c r="G46" s="58">
        <v>0.21</v>
      </c>
      <c r="H46" s="64">
        <f t="shared" si="12"/>
        <v>0</v>
      </c>
      <c r="I46" s="61"/>
      <c r="J46" s="61"/>
      <c r="K46" s="61"/>
      <c r="L46" s="31"/>
      <c r="M46" s="31"/>
      <c r="N46" s="31"/>
    </row>
    <row r="47" spans="1:14" x14ac:dyDescent="0.2">
      <c r="C47" s="72">
        <v>545023.20400000003</v>
      </c>
      <c r="D47" s="61"/>
      <c r="E47" s="70">
        <v>2595</v>
      </c>
      <c r="F47" s="64">
        <f t="shared" si="13"/>
        <v>2595</v>
      </c>
      <c r="G47" s="58">
        <v>0.21</v>
      </c>
      <c r="H47" s="64">
        <f t="shared" si="12"/>
        <v>544.94999999999993</v>
      </c>
      <c r="I47" s="61"/>
      <c r="J47" s="61"/>
      <c r="K47" s="61"/>
      <c r="L47" s="31"/>
      <c r="M47" s="31"/>
      <c r="N47" s="31"/>
    </row>
    <row r="48" spans="1:14" ht="15" x14ac:dyDescent="0.35">
      <c r="C48" s="48">
        <v>817534.80599999998</v>
      </c>
      <c r="D48" s="61"/>
      <c r="E48" s="32">
        <v>13626</v>
      </c>
      <c r="F48" s="46">
        <f t="shared" si="13"/>
        <v>13626</v>
      </c>
      <c r="G48" s="58">
        <v>0.21</v>
      </c>
      <c r="H48" s="46">
        <f t="shared" si="12"/>
        <v>2861.46</v>
      </c>
      <c r="I48" s="61"/>
      <c r="J48" s="61"/>
      <c r="K48" s="61"/>
      <c r="L48" s="31"/>
      <c r="M48" s="31"/>
      <c r="N48" s="31"/>
    </row>
    <row r="49" spans="3:14" x14ac:dyDescent="0.2">
      <c r="C49" s="64">
        <f>SUM(C43:C48)</f>
        <v>9673851.0099999998</v>
      </c>
      <c r="D49" s="61"/>
      <c r="E49" s="70">
        <f>SUM(E43:E48)</f>
        <v>28787</v>
      </c>
      <c r="F49" s="70">
        <f>SUM(F43:F48)</f>
        <v>-13906</v>
      </c>
      <c r="G49" s="47" t="s">
        <v>28</v>
      </c>
      <c r="H49" s="64">
        <f>SUM(H43:H48)</f>
        <v>-2920.2599999999993</v>
      </c>
      <c r="I49" s="61"/>
      <c r="J49" s="61"/>
      <c r="K49" s="61"/>
      <c r="L49" s="31"/>
      <c r="M49" s="31"/>
      <c r="N49" s="31"/>
    </row>
    <row r="50" spans="3:14" ht="15" x14ac:dyDescent="0.35">
      <c r="C50" s="61"/>
      <c r="D50" s="61"/>
      <c r="E50" s="64"/>
      <c r="F50" s="64"/>
      <c r="G50" s="47" t="s">
        <v>29</v>
      </c>
      <c r="H50" s="46">
        <f>-H60*0.21</f>
        <v>-156.24167999999997</v>
      </c>
      <c r="I50" s="61"/>
      <c r="J50" s="61"/>
      <c r="K50" s="61"/>
      <c r="L50" s="31"/>
      <c r="M50" s="31"/>
      <c r="N50" s="31"/>
    </row>
    <row r="51" spans="3:14" x14ac:dyDescent="0.2">
      <c r="C51" s="61"/>
      <c r="D51" s="61"/>
      <c r="E51" s="61"/>
      <c r="F51" s="61"/>
      <c r="G51" s="61"/>
      <c r="H51" s="64">
        <f>H49+H50</f>
        <v>-3076.5016799999994</v>
      </c>
      <c r="I51" s="61"/>
      <c r="J51" s="61"/>
      <c r="K51" s="61"/>
      <c r="L51" s="31"/>
      <c r="M51" s="31"/>
      <c r="N51" s="31"/>
    </row>
    <row r="52" spans="3:14" x14ac:dyDescent="0.2">
      <c r="C52" s="61"/>
      <c r="D52" s="61"/>
      <c r="E52" s="61"/>
      <c r="F52" s="61"/>
      <c r="G52" s="61"/>
      <c r="H52" s="62">
        <f>-H51+K33</f>
        <v>-1270.4637850000008</v>
      </c>
      <c r="I52" s="63" t="s">
        <v>59</v>
      </c>
      <c r="J52" s="63"/>
      <c r="K52" s="61"/>
      <c r="L52" s="31"/>
      <c r="M52" s="31"/>
      <c r="N52" s="31"/>
    </row>
    <row r="53" spans="3:14" x14ac:dyDescent="0.2">
      <c r="C53" s="59" t="s">
        <v>30</v>
      </c>
      <c r="D53" s="26" t="s">
        <v>24</v>
      </c>
      <c r="E53" s="27" t="s">
        <v>31</v>
      </c>
      <c r="F53" s="59" t="s">
        <v>32</v>
      </c>
      <c r="G53" s="60" t="s">
        <v>13</v>
      </c>
      <c r="H53" s="59" t="s">
        <v>33</v>
      </c>
      <c r="I53" s="61"/>
      <c r="J53" s="61"/>
      <c r="K53" s="61"/>
      <c r="L53" s="31"/>
      <c r="M53" s="31"/>
      <c r="N53" s="31"/>
    </row>
    <row r="54" spans="3:14" x14ac:dyDescent="0.2">
      <c r="C54" s="73">
        <v>6399666</v>
      </c>
      <c r="D54" s="64">
        <f>D43</f>
        <v>42693</v>
      </c>
      <c r="E54" s="64">
        <v>24116</v>
      </c>
      <c r="F54" s="64">
        <f>E54-D54</f>
        <v>-18577</v>
      </c>
      <c r="G54" s="58">
        <v>0.05</v>
      </c>
      <c r="H54" s="64">
        <f>F54*G54</f>
        <v>-928.85</v>
      </c>
      <c r="I54" s="61"/>
      <c r="J54" s="61"/>
      <c r="K54" s="61"/>
      <c r="L54" s="31"/>
      <c r="M54" s="31"/>
      <c r="N54" s="31"/>
    </row>
    <row r="55" spans="3:14" x14ac:dyDescent="0.2">
      <c r="C55" s="72">
        <v>9599498</v>
      </c>
      <c r="D55" s="61"/>
      <c r="E55" s="64">
        <v>0</v>
      </c>
      <c r="F55" s="64">
        <f>E55</f>
        <v>0</v>
      </c>
      <c r="G55" s="58">
        <v>0.05</v>
      </c>
      <c r="H55" s="64">
        <f t="shared" ref="H55:H59" si="14">F55*G55</f>
        <v>0</v>
      </c>
      <c r="I55" s="61"/>
      <c r="J55" s="61"/>
      <c r="K55" s="61"/>
      <c r="L55" s="31"/>
      <c r="M55" s="31"/>
      <c r="N55" s="31"/>
    </row>
    <row r="56" spans="3:14" x14ac:dyDescent="0.2">
      <c r="C56" s="72">
        <v>249369</v>
      </c>
      <c r="D56" s="61"/>
      <c r="E56" s="64">
        <v>1016</v>
      </c>
      <c r="F56" s="64">
        <f t="shared" ref="F56:F59" si="15">E56</f>
        <v>1016</v>
      </c>
      <c r="G56" s="58">
        <v>0.05</v>
      </c>
      <c r="H56" s="64">
        <f t="shared" si="14"/>
        <v>50.800000000000004</v>
      </c>
      <c r="I56" s="61"/>
      <c r="J56" s="61"/>
      <c r="K56" s="61"/>
      <c r="L56" s="31"/>
      <c r="M56" s="31"/>
      <c r="N56" s="31"/>
    </row>
    <row r="57" spans="3:14" x14ac:dyDescent="0.2">
      <c r="C57" s="72">
        <v>374053</v>
      </c>
      <c r="D57" s="61"/>
      <c r="E57" s="64">
        <v>0</v>
      </c>
      <c r="F57" s="64">
        <f t="shared" si="15"/>
        <v>0</v>
      </c>
      <c r="G57" s="58">
        <v>0.05</v>
      </c>
      <c r="H57" s="64">
        <f t="shared" si="14"/>
        <v>0</v>
      </c>
      <c r="I57" s="61"/>
      <c r="J57" s="61"/>
      <c r="K57" s="61"/>
      <c r="L57" s="31"/>
      <c r="M57" s="31"/>
      <c r="N57" s="31"/>
    </row>
    <row r="58" spans="3:14" x14ac:dyDescent="0.2">
      <c r="C58" s="72">
        <f>(2725460.82-344.8)*0.4</f>
        <v>1090046.4080000001</v>
      </c>
      <c r="D58" s="61"/>
      <c r="E58" s="64">
        <v>5190</v>
      </c>
      <c r="F58" s="64">
        <f t="shared" si="15"/>
        <v>5190</v>
      </c>
      <c r="G58" s="58">
        <v>0.05</v>
      </c>
      <c r="H58" s="64">
        <f t="shared" si="14"/>
        <v>259.5</v>
      </c>
      <c r="I58" s="61"/>
      <c r="J58" s="61"/>
      <c r="K58" s="61"/>
      <c r="L58" s="31"/>
      <c r="M58" s="31"/>
      <c r="N58" s="31"/>
    </row>
    <row r="59" spans="3:14" ht="15" x14ac:dyDescent="0.35">
      <c r="C59" s="48">
        <f>(2725460.82-344.8)*0.6+0.5</f>
        <v>1635070.112</v>
      </c>
      <c r="D59" s="61"/>
      <c r="E59" s="46">
        <v>27251.16</v>
      </c>
      <c r="F59" s="46">
        <f t="shared" si="15"/>
        <v>27251.16</v>
      </c>
      <c r="G59" s="58">
        <v>0.05</v>
      </c>
      <c r="H59" s="46">
        <f t="shared" si="14"/>
        <v>1362.558</v>
      </c>
      <c r="I59" s="61"/>
      <c r="J59" s="61"/>
      <c r="K59" s="61"/>
      <c r="L59" s="31"/>
      <c r="M59" s="31"/>
      <c r="N59" s="31"/>
    </row>
    <row r="60" spans="3:14" x14ac:dyDescent="0.2">
      <c r="C60" s="74">
        <f>SUM(C54:C59)</f>
        <v>19347702.52</v>
      </c>
      <c r="D60" s="61"/>
      <c r="E60" s="64">
        <f>SUM(E54:E59)</f>
        <v>57573.16</v>
      </c>
      <c r="F60" s="64">
        <f>SUM(F54:F59)</f>
        <v>14880.16</v>
      </c>
      <c r="G60" s="61"/>
      <c r="H60" s="64">
        <f>SUM(H54:H59)</f>
        <v>744.00799999999992</v>
      </c>
      <c r="I60" s="61"/>
      <c r="J60" s="61"/>
      <c r="K60" s="61"/>
      <c r="L60" s="31"/>
      <c r="M60" s="31"/>
      <c r="N60" s="31"/>
    </row>
    <row r="61" spans="3:14" x14ac:dyDescent="0.2">
      <c r="C61" s="61"/>
      <c r="D61" s="61"/>
      <c r="E61" s="64"/>
      <c r="F61" s="64"/>
      <c r="G61" s="61"/>
      <c r="H61" s="64">
        <f>H60-L33</f>
        <v>3.1499999999937245E-2</v>
      </c>
      <c r="I61" s="61"/>
      <c r="J61" s="61"/>
      <c r="K61" s="61"/>
      <c r="L61" s="31"/>
      <c r="M61" s="31"/>
      <c r="N61" s="31"/>
    </row>
    <row r="62" spans="3:14" x14ac:dyDescent="0.2">
      <c r="C62" s="61"/>
      <c r="D62" s="61"/>
      <c r="E62" s="61"/>
      <c r="F62" s="61"/>
      <c r="G62" s="61"/>
      <c r="H62" s="61"/>
      <c r="I62" s="61"/>
      <c r="J62" s="61"/>
      <c r="K62" s="61"/>
      <c r="L62" s="31"/>
      <c r="M62" s="31"/>
      <c r="N62" s="31"/>
    </row>
  </sheetData>
  <pageMargins left="0.7" right="0.7" top="1.15625" bottom="0.75" header="0.3" footer="0.3"/>
  <pageSetup scale="51" orientation="portrait" r:id="rId1"/>
  <headerFooter>
    <oddHeader>&amp;R&amp;"Times New Roman,Bold"&amp;12Attachment to Response to Question 3
Page &amp;P of &amp;N
Williams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71"/>
  <sheetViews>
    <sheetView topLeftCell="A25" zoomScaleNormal="100" workbookViewId="0">
      <selection activeCell="F31" sqref="F31"/>
    </sheetView>
  </sheetViews>
  <sheetFormatPr defaultColWidth="8.85546875" defaultRowHeight="12.75" x14ac:dyDescent="0.2"/>
  <cols>
    <col min="1" max="1" width="11.28515625" style="23" customWidth="1"/>
    <col min="2" max="2" width="1.7109375" style="15" customWidth="1"/>
    <col min="3" max="3" width="12.7109375" style="15" customWidth="1"/>
    <col min="4" max="4" width="14.28515625" style="15" bestFit="1" customWidth="1"/>
    <col min="5" max="5" width="14.28515625" style="15" customWidth="1"/>
    <col min="6" max="6" width="14.28515625" style="15" bestFit="1" customWidth="1"/>
    <col min="7" max="7" width="14.28515625" style="15" customWidth="1"/>
    <col min="8" max="12" width="12.7109375" style="15" customWidth="1"/>
    <col min="13" max="13" width="16.5703125" style="15" bestFit="1" customWidth="1"/>
    <col min="14" max="14" width="12.7109375" style="15" customWidth="1"/>
    <col min="15" max="15" width="11.28515625" style="15" customWidth="1"/>
    <col min="16" max="16" width="14.5703125" style="15" bestFit="1" customWidth="1"/>
    <col min="17" max="16384" width="8.85546875" style="15"/>
  </cols>
  <sheetData>
    <row r="1" spans="1:16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6" x14ac:dyDescent="0.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6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6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5"/>
    </row>
    <row r="5" spans="1:16" x14ac:dyDescent="0.2">
      <c r="A5" s="18" t="s">
        <v>36</v>
      </c>
    </row>
    <row r="6" spans="1:16" x14ac:dyDescent="0.2">
      <c r="A6" s="19" t="s">
        <v>37</v>
      </c>
    </row>
    <row r="8" spans="1:16" s="22" customFormat="1" ht="38.25" x14ac:dyDescent="0.2">
      <c r="A8" s="20" t="s">
        <v>5</v>
      </c>
      <c r="B8" s="21"/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38</v>
      </c>
      <c r="J8" s="21" t="s">
        <v>39</v>
      </c>
      <c r="K8" s="21" t="s">
        <v>14</v>
      </c>
      <c r="L8" s="21" t="s">
        <v>15</v>
      </c>
      <c r="M8" s="21" t="s">
        <v>16</v>
      </c>
      <c r="N8" s="21" t="s">
        <v>17</v>
      </c>
    </row>
    <row r="9" spans="1:16" x14ac:dyDescent="0.2">
      <c r="A9" s="23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25">
        <v>19780340</v>
      </c>
      <c r="N9" s="31"/>
    </row>
    <row r="10" spans="1:16" ht="15" x14ac:dyDescent="0.25">
      <c r="A10" s="10">
        <v>42795</v>
      </c>
      <c r="B10"/>
      <c r="C10" s="56">
        <v>106856685</v>
      </c>
      <c r="D10" s="25">
        <v>206506</v>
      </c>
      <c r="E10" s="25">
        <v>661913</v>
      </c>
      <c r="F10" s="25">
        <v>1306484</v>
      </c>
      <c r="G10" s="25">
        <f>E10-D10</f>
        <v>455407</v>
      </c>
      <c r="H10" s="56">
        <f>F10-D10</f>
        <v>1099978</v>
      </c>
      <c r="I10" s="58">
        <v>0.35</v>
      </c>
      <c r="J10" s="58">
        <v>0.06</v>
      </c>
      <c r="K10" s="56">
        <f>G10*I10+-L10*I10</f>
        <v>136292.91199999998</v>
      </c>
      <c r="L10" s="56">
        <f>H10*J10</f>
        <v>65998.679999999993</v>
      </c>
      <c r="M10" s="56">
        <f>M9+K10+L10</f>
        <v>19982631.592</v>
      </c>
      <c r="N10" s="56">
        <v>0</v>
      </c>
      <c r="P10" s="24"/>
    </row>
    <row r="11" spans="1:16" ht="15" x14ac:dyDescent="0.25">
      <c r="A11" s="12">
        <v>42826</v>
      </c>
      <c r="B11"/>
      <c r="C11" s="56">
        <v>106856685</v>
      </c>
      <c r="D11" s="25">
        <v>206506</v>
      </c>
      <c r="E11" s="25">
        <v>661913</v>
      </c>
      <c r="F11" s="25">
        <v>1306484</v>
      </c>
      <c r="G11" s="25">
        <f t="shared" ref="G11:G15" si="0">E11-D11</f>
        <v>455407</v>
      </c>
      <c r="H11" s="56">
        <f t="shared" ref="H11:H15" si="1">F11-D11</f>
        <v>1099978</v>
      </c>
      <c r="I11" s="58">
        <v>0.35</v>
      </c>
      <c r="J11" s="58">
        <v>0.06</v>
      </c>
      <c r="K11" s="56">
        <f t="shared" ref="K11:K15" si="2">G11*I11+-L11*I11</f>
        <v>136292.91199999998</v>
      </c>
      <c r="L11" s="56">
        <f t="shared" ref="L11:L15" si="3">H11*J11</f>
        <v>65998.679999999993</v>
      </c>
      <c r="M11" s="56">
        <f t="shared" ref="M11:M13" si="4">M10+K11+L11</f>
        <v>20184923.184</v>
      </c>
      <c r="N11" s="56">
        <v>0</v>
      </c>
      <c r="O11" s="24"/>
      <c r="P11" s="36"/>
    </row>
    <row r="12" spans="1:16" ht="15" x14ac:dyDescent="0.25">
      <c r="A12" s="12">
        <v>42856</v>
      </c>
      <c r="B12"/>
      <c r="C12" s="56">
        <v>106856685</v>
      </c>
      <c r="D12" s="25">
        <v>206506</v>
      </c>
      <c r="E12" s="25">
        <f>661142+771</f>
        <v>661913</v>
      </c>
      <c r="F12" s="25">
        <v>1306484</v>
      </c>
      <c r="G12" s="25">
        <f t="shared" si="0"/>
        <v>455407</v>
      </c>
      <c r="H12" s="56">
        <f t="shared" si="1"/>
        <v>1099978</v>
      </c>
      <c r="I12" s="58">
        <v>0.35</v>
      </c>
      <c r="J12" s="58">
        <v>0.06</v>
      </c>
      <c r="K12" s="56">
        <f t="shared" si="2"/>
        <v>136292.91199999998</v>
      </c>
      <c r="L12" s="56">
        <f t="shared" si="3"/>
        <v>65998.679999999993</v>
      </c>
      <c r="M12" s="56">
        <f t="shared" si="4"/>
        <v>20387214.776000001</v>
      </c>
      <c r="N12" s="56">
        <v>0</v>
      </c>
      <c r="O12" s="36"/>
    </row>
    <row r="13" spans="1:16" ht="15" x14ac:dyDescent="0.25">
      <c r="A13" s="12">
        <v>42887</v>
      </c>
      <c r="B13"/>
      <c r="C13" s="56">
        <v>106856685</v>
      </c>
      <c r="D13" s="25">
        <v>206506</v>
      </c>
      <c r="E13" s="25">
        <f>661142+771</f>
        <v>661913</v>
      </c>
      <c r="F13" s="25">
        <v>1306484</v>
      </c>
      <c r="G13" s="25">
        <f t="shared" si="0"/>
        <v>455407</v>
      </c>
      <c r="H13" s="56">
        <f t="shared" si="1"/>
        <v>1099978</v>
      </c>
      <c r="I13" s="58">
        <v>0.35</v>
      </c>
      <c r="J13" s="58">
        <v>0.06</v>
      </c>
      <c r="K13" s="56">
        <f t="shared" si="2"/>
        <v>136292.91199999998</v>
      </c>
      <c r="L13" s="56">
        <f t="shared" si="3"/>
        <v>65998.679999999993</v>
      </c>
      <c r="M13" s="56">
        <f t="shared" si="4"/>
        <v>20589506.368000001</v>
      </c>
      <c r="N13" s="56">
        <v>0</v>
      </c>
      <c r="O13" s="24"/>
    </row>
    <row r="14" spans="1:16" ht="15" x14ac:dyDescent="0.25">
      <c r="A14" s="12">
        <v>42917</v>
      </c>
      <c r="B14"/>
      <c r="C14" s="56">
        <v>107003604</v>
      </c>
      <c r="D14" s="25">
        <v>228543</v>
      </c>
      <c r="E14" s="25">
        <f>661142+771+18492-18492-200107-1542</f>
        <v>460264</v>
      </c>
      <c r="F14" s="25">
        <f>1306484+5000-5000+1836</f>
        <v>1308320</v>
      </c>
      <c r="G14" s="25">
        <f t="shared" si="0"/>
        <v>231721</v>
      </c>
      <c r="H14" s="56">
        <f t="shared" si="1"/>
        <v>1079777</v>
      </c>
      <c r="I14" s="58">
        <v>0.35</v>
      </c>
      <c r="J14" s="58">
        <v>0.06</v>
      </c>
      <c r="K14" s="56">
        <f t="shared" si="2"/>
        <v>58427.032999999996</v>
      </c>
      <c r="L14" s="56">
        <f t="shared" si="3"/>
        <v>64786.619999999995</v>
      </c>
      <c r="M14" s="56">
        <f t="shared" ref="M14:M15" si="5">M13+K14</f>
        <v>20647933.401000001</v>
      </c>
      <c r="N14" s="56">
        <v>0</v>
      </c>
      <c r="O14" s="36"/>
    </row>
    <row r="15" spans="1:16" ht="15" x14ac:dyDescent="0.25">
      <c r="A15" s="12">
        <v>42948</v>
      </c>
      <c r="B15"/>
      <c r="C15" s="56">
        <v>107003604</v>
      </c>
      <c r="D15" s="25">
        <v>224217</v>
      </c>
      <c r="E15" s="25">
        <f>661142+771+18492-18492-200107-1542</f>
        <v>460264</v>
      </c>
      <c r="F15" s="25">
        <f>1306484+5000-5000+1836</f>
        <v>1308320</v>
      </c>
      <c r="G15" s="25">
        <f t="shared" si="0"/>
        <v>236047</v>
      </c>
      <c r="H15" s="56">
        <f t="shared" si="1"/>
        <v>1084103</v>
      </c>
      <c r="I15" s="58">
        <v>0.35</v>
      </c>
      <c r="J15" s="58">
        <v>0.06</v>
      </c>
      <c r="K15" s="56">
        <f t="shared" si="2"/>
        <v>59850.286999999997</v>
      </c>
      <c r="L15" s="56">
        <f t="shared" si="3"/>
        <v>65046.18</v>
      </c>
      <c r="M15" s="56">
        <f t="shared" si="5"/>
        <v>20707783.688000001</v>
      </c>
      <c r="N15" s="56">
        <v>0</v>
      </c>
      <c r="O15" s="24"/>
    </row>
    <row r="16" spans="1:16" ht="15" x14ac:dyDescent="0.25">
      <c r="A16" s="10">
        <v>42987</v>
      </c>
      <c r="B16"/>
      <c r="C16" s="30">
        <v>107003604</v>
      </c>
      <c r="D16" s="30">
        <v>224217</v>
      </c>
      <c r="E16" s="30">
        <v>274420</v>
      </c>
      <c r="F16" s="30">
        <v>1308320</v>
      </c>
      <c r="G16" s="30">
        <f t="shared" ref="G16:G33" si="6">E16-D16</f>
        <v>50203</v>
      </c>
      <c r="H16" s="30">
        <f t="shared" ref="H16:H26" si="7">F16-D16</f>
        <v>1084103</v>
      </c>
      <c r="I16" s="57">
        <v>0.35</v>
      </c>
      <c r="J16" s="57">
        <v>0.06</v>
      </c>
      <c r="K16" s="30">
        <f t="shared" ref="K16:K19" si="8">G16*I16-L16*I16</f>
        <v>-5195.1130000000012</v>
      </c>
      <c r="L16" s="30">
        <f t="shared" ref="L16:L19" si="9">H16*J16</f>
        <v>65046.18</v>
      </c>
      <c r="M16" s="30">
        <f t="shared" ref="M16:M33" si="10">M15+K16+L16</f>
        <v>20767634.754999999</v>
      </c>
      <c r="N16" s="30">
        <v>0</v>
      </c>
      <c r="O16" s="29"/>
    </row>
    <row r="17" spans="1:14" ht="15" x14ac:dyDescent="0.25">
      <c r="A17" s="12">
        <v>43009</v>
      </c>
      <c r="B17"/>
      <c r="C17" s="30">
        <v>119889960</v>
      </c>
      <c r="D17" s="30">
        <v>237569</v>
      </c>
      <c r="E17" s="30">
        <f>2286476.9+3784.57-201043</f>
        <v>2089218.4699999997</v>
      </c>
      <c r="F17" s="30">
        <v>1458715.38</v>
      </c>
      <c r="G17" s="30">
        <f t="shared" si="6"/>
        <v>1851649.4699999997</v>
      </c>
      <c r="H17" s="30">
        <f t="shared" si="7"/>
        <v>1221146.3799999999</v>
      </c>
      <c r="I17" s="57">
        <v>0.35</v>
      </c>
      <c r="J17" s="57">
        <v>0.06</v>
      </c>
      <c r="K17" s="30">
        <f t="shared" si="8"/>
        <v>622433.24051999988</v>
      </c>
      <c r="L17" s="30">
        <f t="shared" si="9"/>
        <v>73268.782799999986</v>
      </c>
      <c r="M17" s="30">
        <f t="shared" si="10"/>
        <v>21463336.77832</v>
      </c>
      <c r="N17" s="30">
        <v>0</v>
      </c>
    </row>
    <row r="18" spans="1:14" ht="15" x14ac:dyDescent="0.25">
      <c r="A18" s="12">
        <v>43040</v>
      </c>
      <c r="B18"/>
      <c r="C18" s="30">
        <v>119889960</v>
      </c>
      <c r="D18" s="30">
        <v>237569</v>
      </c>
      <c r="E18" s="30">
        <v>2089218</v>
      </c>
      <c r="F18" s="30">
        <v>1458715.38</v>
      </c>
      <c r="G18" s="30">
        <f t="shared" si="6"/>
        <v>1851649</v>
      </c>
      <c r="H18" s="30">
        <f t="shared" si="7"/>
        <v>1221146.3799999999</v>
      </c>
      <c r="I18" s="57">
        <v>0.35</v>
      </c>
      <c r="J18" s="57">
        <v>0.06</v>
      </c>
      <c r="K18" s="30">
        <f t="shared" si="8"/>
        <v>622433.07601999992</v>
      </c>
      <c r="L18" s="30">
        <f t="shared" si="9"/>
        <v>73268.782799999986</v>
      </c>
      <c r="M18" s="30">
        <f t="shared" si="10"/>
        <v>22159038.637139998</v>
      </c>
      <c r="N18" s="30">
        <v>0</v>
      </c>
    </row>
    <row r="19" spans="1:14" ht="15" x14ac:dyDescent="0.25">
      <c r="A19" s="12">
        <v>43070</v>
      </c>
      <c r="B19"/>
      <c r="C19" s="30">
        <v>120283541</v>
      </c>
      <c r="D19" s="30">
        <v>251355</v>
      </c>
      <c r="E19" s="30">
        <f>2490647.21+3303.93-200563+14840</f>
        <v>2308228.14</v>
      </c>
      <c r="F19" s="30">
        <v>1473474.68</v>
      </c>
      <c r="G19" s="30">
        <f t="shared" si="6"/>
        <v>2056873.1400000001</v>
      </c>
      <c r="H19" s="30">
        <f t="shared" si="7"/>
        <v>1222119.68</v>
      </c>
      <c r="I19" s="57">
        <v>0.35</v>
      </c>
      <c r="J19" s="57">
        <v>0.06</v>
      </c>
      <c r="K19" s="30">
        <f t="shared" si="8"/>
        <v>694241.08572000009</v>
      </c>
      <c r="L19" s="30">
        <f t="shared" si="9"/>
        <v>73327.180799999987</v>
      </c>
      <c r="M19" s="30">
        <f t="shared" si="10"/>
        <v>22926606.903659996</v>
      </c>
      <c r="N19" s="30">
        <v>0</v>
      </c>
    </row>
    <row r="20" spans="1:14" ht="15" x14ac:dyDescent="0.25">
      <c r="A20" s="12">
        <v>43101</v>
      </c>
      <c r="B20"/>
      <c r="C20" s="30">
        <v>120283541</v>
      </c>
      <c r="D20" s="30">
        <v>251790</v>
      </c>
      <c r="E20" s="30">
        <v>758559</v>
      </c>
      <c r="F20" s="30">
        <f>1452078.2</f>
        <v>1452078.2</v>
      </c>
      <c r="G20" s="30">
        <f t="shared" si="6"/>
        <v>506769</v>
      </c>
      <c r="H20" s="30">
        <f t="shared" si="7"/>
        <v>1200288.2</v>
      </c>
      <c r="I20" s="57">
        <v>0.21</v>
      </c>
      <c r="J20" s="57">
        <v>0.05</v>
      </c>
      <c r="K20" s="30">
        <f>G20*I20-L20*I20+368285</f>
        <v>448519.19389999995</v>
      </c>
      <c r="L20" s="30">
        <f>H20*J20+64687</f>
        <v>124701.41</v>
      </c>
      <c r="M20" s="30">
        <f t="shared" si="10"/>
        <v>23499827.507559996</v>
      </c>
      <c r="N20" s="30">
        <v>0</v>
      </c>
    </row>
    <row r="21" spans="1:14" ht="15" x14ac:dyDescent="0.25">
      <c r="A21" s="12">
        <v>43132</v>
      </c>
      <c r="B21"/>
      <c r="C21" s="30">
        <v>120283541</v>
      </c>
      <c r="D21" s="30">
        <v>251790</v>
      </c>
      <c r="E21" s="30">
        <v>758559</v>
      </c>
      <c r="F21" s="30">
        <f>1452078.2</f>
        <v>1452078.2</v>
      </c>
      <c r="G21" s="30">
        <f t="shared" si="6"/>
        <v>506769</v>
      </c>
      <c r="H21" s="30">
        <f t="shared" si="7"/>
        <v>1200288.2</v>
      </c>
      <c r="I21" s="57">
        <v>0.21</v>
      </c>
      <c r="J21" s="57">
        <v>0.05</v>
      </c>
      <c r="K21" s="30">
        <f t="shared" ref="K21:K33" si="11">G21*I21-L21*I21</f>
        <v>93818.463899999988</v>
      </c>
      <c r="L21" s="30">
        <f t="shared" ref="L21:L33" si="12">H21*J21</f>
        <v>60014.41</v>
      </c>
      <c r="M21" s="30">
        <f t="shared" si="10"/>
        <v>23653660.381459996</v>
      </c>
      <c r="N21" s="30">
        <v>0</v>
      </c>
    </row>
    <row r="22" spans="1:14" ht="15" x14ac:dyDescent="0.25">
      <c r="A22" s="12">
        <v>43160</v>
      </c>
      <c r="B22"/>
      <c r="C22" s="56">
        <v>120283541</v>
      </c>
      <c r="D22" s="25">
        <v>251790</v>
      </c>
      <c r="E22" s="25">
        <v>758559</v>
      </c>
      <c r="F22" s="25">
        <v>1452078.2</v>
      </c>
      <c r="G22" s="25">
        <f t="shared" si="6"/>
        <v>506769</v>
      </c>
      <c r="H22" s="25">
        <f t="shared" si="7"/>
        <v>1200288.2</v>
      </c>
      <c r="I22" s="58">
        <v>0.21</v>
      </c>
      <c r="J22" s="58">
        <v>0.05</v>
      </c>
      <c r="K22" s="56">
        <f t="shared" si="11"/>
        <v>93818.463899999988</v>
      </c>
      <c r="L22" s="56">
        <f t="shared" si="12"/>
        <v>60014.41</v>
      </c>
      <c r="M22" s="56">
        <f t="shared" si="10"/>
        <v>23807493.255359996</v>
      </c>
      <c r="N22" s="56">
        <v>0</v>
      </c>
    </row>
    <row r="23" spans="1:14" ht="15" x14ac:dyDescent="0.25">
      <c r="A23" s="12">
        <v>43191</v>
      </c>
      <c r="B23"/>
      <c r="C23" s="56">
        <v>120283541</v>
      </c>
      <c r="D23" s="25">
        <v>251790</v>
      </c>
      <c r="E23" s="25">
        <v>758559</v>
      </c>
      <c r="F23" s="25">
        <v>1452078.2</v>
      </c>
      <c r="G23" s="25">
        <f t="shared" si="6"/>
        <v>506769</v>
      </c>
      <c r="H23" s="25">
        <f t="shared" si="7"/>
        <v>1200288.2</v>
      </c>
      <c r="I23" s="58">
        <v>0.21</v>
      </c>
      <c r="J23" s="58">
        <v>0.05</v>
      </c>
      <c r="K23" s="56">
        <f t="shared" si="11"/>
        <v>93818.463899999988</v>
      </c>
      <c r="L23" s="56">
        <f t="shared" si="12"/>
        <v>60014.41</v>
      </c>
      <c r="M23" s="56">
        <f t="shared" si="10"/>
        <v>23961326.129259996</v>
      </c>
      <c r="N23" s="56">
        <v>0</v>
      </c>
    </row>
    <row r="24" spans="1:14" ht="15" x14ac:dyDescent="0.25">
      <c r="A24" s="12">
        <v>43221</v>
      </c>
      <c r="B24"/>
      <c r="C24" s="56">
        <v>120283541</v>
      </c>
      <c r="D24" s="25">
        <v>251790</v>
      </c>
      <c r="E24" s="25">
        <v>758559</v>
      </c>
      <c r="F24" s="25">
        <v>1452078.2</v>
      </c>
      <c r="G24" s="25">
        <f t="shared" si="6"/>
        <v>506769</v>
      </c>
      <c r="H24" s="25">
        <f t="shared" si="7"/>
        <v>1200288.2</v>
      </c>
      <c r="I24" s="58">
        <v>0.21</v>
      </c>
      <c r="J24" s="58">
        <v>0.05</v>
      </c>
      <c r="K24" s="56">
        <f t="shared" si="11"/>
        <v>93818.463899999988</v>
      </c>
      <c r="L24" s="56">
        <f t="shared" si="12"/>
        <v>60014.41</v>
      </c>
      <c r="M24" s="56">
        <f t="shared" si="10"/>
        <v>24115159.003159996</v>
      </c>
      <c r="N24" s="56">
        <v>0</v>
      </c>
    </row>
    <row r="25" spans="1:14" ht="15" x14ac:dyDescent="0.25">
      <c r="A25" s="12">
        <v>43252</v>
      </c>
      <c r="B25"/>
      <c r="C25" s="56">
        <v>120283541</v>
      </c>
      <c r="D25" s="25">
        <v>251790</v>
      </c>
      <c r="E25" s="25">
        <v>758559</v>
      </c>
      <c r="F25" s="25">
        <v>1452078.2</v>
      </c>
      <c r="G25" s="25">
        <f t="shared" si="6"/>
        <v>506769</v>
      </c>
      <c r="H25" s="25">
        <f t="shared" si="7"/>
        <v>1200288.2</v>
      </c>
      <c r="I25" s="58">
        <v>0.21</v>
      </c>
      <c r="J25" s="58">
        <v>0.05</v>
      </c>
      <c r="K25" s="56">
        <f t="shared" si="11"/>
        <v>93818.463899999988</v>
      </c>
      <c r="L25" s="56">
        <f t="shared" si="12"/>
        <v>60014.41</v>
      </c>
      <c r="M25" s="56">
        <f t="shared" si="10"/>
        <v>24268991.877059996</v>
      </c>
      <c r="N25" s="56">
        <v>0</v>
      </c>
    </row>
    <row r="26" spans="1:14" ht="15" x14ac:dyDescent="0.25">
      <c r="A26" s="12">
        <v>43282</v>
      </c>
      <c r="B26"/>
      <c r="C26" s="56">
        <v>120292433</v>
      </c>
      <c r="D26" s="25">
        <v>251799.67</v>
      </c>
      <c r="E26" s="39">
        <f>758873+309</f>
        <v>759182</v>
      </c>
      <c r="F26" s="25">
        <v>1452105.99</v>
      </c>
      <c r="G26" s="25">
        <f t="shared" si="6"/>
        <v>507382.32999999996</v>
      </c>
      <c r="H26" s="25">
        <f t="shared" si="7"/>
        <v>1200306.32</v>
      </c>
      <c r="I26" s="58">
        <v>0.21</v>
      </c>
      <c r="J26" s="58">
        <v>0.05</v>
      </c>
      <c r="K26" s="56">
        <f t="shared" si="11"/>
        <v>93947.072939999984</v>
      </c>
      <c r="L26" s="56">
        <f t="shared" si="12"/>
        <v>60015.316000000006</v>
      </c>
      <c r="M26" s="59">
        <f t="shared" si="10"/>
        <v>24422954.265999995</v>
      </c>
      <c r="N26" s="56">
        <v>0</v>
      </c>
    </row>
    <row r="27" spans="1:14" ht="15" x14ac:dyDescent="0.25">
      <c r="A27" s="12">
        <v>43313</v>
      </c>
      <c r="B27"/>
      <c r="C27" s="56">
        <v>120292433</v>
      </c>
      <c r="D27" s="39">
        <v>251808.67</v>
      </c>
      <c r="E27" s="39">
        <f>758873+317</f>
        <v>759190</v>
      </c>
      <c r="F27" s="25">
        <v>1452105.99</v>
      </c>
      <c r="G27" s="25">
        <f t="shared" si="6"/>
        <v>507381.32999999996</v>
      </c>
      <c r="H27" s="25">
        <f>F27-D27</f>
        <v>1200297.32</v>
      </c>
      <c r="I27" s="58">
        <v>0.21</v>
      </c>
      <c r="J27" s="58">
        <v>0.05</v>
      </c>
      <c r="K27" s="56">
        <f t="shared" si="11"/>
        <v>93946.957439999984</v>
      </c>
      <c r="L27" s="56">
        <f t="shared" si="12"/>
        <v>60014.866000000009</v>
      </c>
      <c r="M27" s="59">
        <f t="shared" si="10"/>
        <v>24576916.089439996</v>
      </c>
      <c r="N27" s="56">
        <v>0</v>
      </c>
    </row>
    <row r="28" spans="1:14" ht="15" x14ac:dyDescent="0.25">
      <c r="A28" s="10">
        <v>43352</v>
      </c>
      <c r="B28"/>
      <c r="C28" s="56">
        <v>120292433</v>
      </c>
      <c r="D28" s="25">
        <v>251809</v>
      </c>
      <c r="E28" s="25">
        <f>759196.26-5.67+2</f>
        <v>759192.59</v>
      </c>
      <c r="F28" s="25">
        <v>1452134.7</v>
      </c>
      <c r="G28" s="25">
        <f t="shared" si="6"/>
        <v>507383.58999999997</v>
      </c>
      <c r="H28" s="25">
        <f t="shared" ref="H28:H33" si="13">F28-D28</f>
        <v>1200325.7</v>
      </c>
      <c r="I28" s="58">
        <v>0.21</v>
      </c>
      <c r="J28" s="58">
        <v>0.05</v>
      </c>
      <c r="K28" s="56">
        <f t="shared" si="11"/>
        <v>93947.134049999979</v>
      </c>
      <c r="L28" s="56">
        <f t="shared" si="12"/>
        <v>60016.285000000003</v>
      </c>
      <c r="M28" s="56">
        <f t="shared" si="10"/>
        <v>24730879.508489996</v>
      </c>
      <c r="N28" s="56">
        <v>0</v>
      </c>
    </row>
    <row r="29" spans="1:14" ht="15" x14ac:dyDescent="0.25">
      <c r="A29" s="12">
        <v>43374</v>
      </c>
      <c r="B29"/>
      <c r="C29" s="56">
        <v>120292433</v>
      </c>
      <c r="D29" s="25">
        <v>251809</v>
      </c>
      <c r="E29" s="25">
        <f>759196.26-5.67-3</f>
        <v>759187.59</v>
      </c>
      <c r="F29" s="25">
        <v>1452134.7</v>
      </c>
      <c r="G29" s="25">
        <f t="shared" si="6"/>
        <v>507378.58999999997</v>
      </c>
      <c r="H29" s="25">
        <f t="shared" si="13"/>
        <v>1200325.7</v>
      </c>
      <c r="I29" s="58">
        <v>0.21</v>
      </c>
      <c r="J29" s="58">
        <v>0.05</v>
      </c>
      <c r="K29" s="56">
        <f t="shared" si="11"/>
        <v>93946.08404999999</v>
      </c>
      <c r="L29" s="56">
        <f t="shared" si="12"/>
        <v>60016.285000000003</v>
      </c>
      <c r="M29" s="56">
        <f t="shared" si="10"/>
        <v>24884841.877539996</v>
      </c>
      <c r="N29" s="56">
        <v>0</v>
      </c>
    </row>
    <row r="30" spans="1:14" ht="15" x14ac:dyDescent="0.25">
      <c r="A30" s="12">
        <v>43405</v>
      </c>
      <c r="B30"/>
      <c r="C30" s="56">
        <v>120292433</v>
      </c>
      <c r="D30" s="25">
        <v>251809</v>
      </c>
      <c r="E30" s="25">
        <f>759196.26-5.67-5</f>
        <v>759185.59</v>
      </c>
      <c r="F30" s="25">
        <v>1452134.7</v>
      </c>
      <c r="G30" s="25">
        <f t="shared" si="6"/>
        <v>507376.58999999997</v>
      </c>
      <c r="H30" s="25">
        <f t="shared" si="13"/>
        <v>1200325.7</v>
      </c>
      <c r="I30" s="58">
        <v>0.21</v>
      </c>
      <c r="J30" s="58">
        <v>0.05</v>
      </c>
      <c r="K30" s="56">
        <f t="shared" si="11"/>
        <v>93945.664049999978</v>
      </c>
      <c r="L30" s="56">
        <f t="shared" si="12"/>
        <v>60016.285000000003</v>
      </c>
      <c r="M30" s="56">
        <f t="shared" si="10"/>
        <v>25038803.826589998</v>
      </c>
      <c r="N30" s="56">
        <v>0</v>
      </c>
    </row>
    <row r="31" spans="1:14" ht="15" x14ac:dyDescent="0.25">
      <c r="A31" s="12">
        <v>43435</v>
      </c>
      <c r="B31"/>
      <c r="C31" s="56">
        <v>120292433</v>
      </c>
      <c r="D31" s="25">
        <v>251809</v>
      </c>
      <c r="E31" s="25">
        <f>759196.26-5.67-1</f>
        <v>759189.59</v>
      </c>
      <c r="F31" s="25">
        <v>1452134.7</v>
      </c>
      <c r="G31" s="25">
        <f t="shared" si="6"/>
        <v>507380.58999999997</v>
      </c>
      <c r="H31" s="25">
        <f t="shared" si="13"/>
        <v>1200325.7</v>
      </c>
      <c r="I31" s="58">
        <v>0.21</v>
      </c>
      <c r="J31" s="58">
        <v>0.05</v>
      </c>
      <c r="K31" s="56">
        <f t="shared" si="11"/>
        <v>93946.504049999989</v>
      </c>
      <c r="L31" s="56">
        <f t="shared" si="12"/>
        <v>60016.285000000003</v>
      </c>
      <c r="M31" s="56">
        <f t="shared" si="10"/>
        <v>25192766.61564</v>
      </c>
      <c r="N31" s="56">
        <v>0</v>
      </c>
    </row>
    <row r="32" spans="1:14" ht="15" x14ac:dyDescent="0.25">
      <c r="A32" s="12">
        <v>43466</v>
      </c>
      <c r="B32"/>
      <c r="C32" s="56">
        <v>120292433</v>
      </c>
      <c r="D32" s="25">
        <v>251809</v>
      </c>
      <c r="E32" s="25">
        <f>748037.5</f>
        <v>748037.5</v>
      </c>
      <c r="F32" s="25">
        <v>1431970.26</v>
      </c>
      <c r="G32" s="25">
        <f t="shared" si="6"/>
        <v>496228.5</v>
      </c>
      <c r="H32" s="25">
        <f t="shared" si="13"/>
        <v>1180161.26</v>
      </c>
      <c r="I32" s="58">
        <v>0.21</v>
      </c>
      <c r="J32" s="58">
        <v>0.05</v>
      </c>
      <c r="K32" s="56">
        <f t="shared" si="11"/>
        <v>91816.291769999996</v>
      </c>
      <c r="L32" s="56">
        <f t="shared" si="12"/>
        <v>59008.063000000002</v>
      </c>
      <c r="M32" s="56">
        <f t="shared" si="10"/>
        <v>25343590.970410001</v>
      </c>
      <c r="N32" s="56">
        <v>0</v>
      </c>
    </row>
    <row r="33" spans="1:14" ht="15" x14ac:dyDescent="0.25">
      <c r="A33" s="12">
        <v>43497</v>
      </c>
      <c r="B33"/>
      <c r="C33" s="56">
        <v>120292433</v>
      </c>
      <c r="D33" s="25">
        <v>251809</v>
      </c>
      <c r="E33" s="25">
        <f>748037.5</f>
        <v>748037.5</v>
      </c>
      <c r="F33" s="25">
        <v>1431970.26</v>
      </c>
      <c r="G33" s="25">
        <f t="shared" si="6"/>
        <v>496228.5</v>
      </c>
      <c r="H33" s="25">
        <f t="shared" si="13"/>
        <v>1180161.26</v>
      </c>
      <c r="I33" s="58">
        <v>0.21</v>
      </c>
      <c r="J33" s="58">
        <v>0.05</v>
      </c>
      <c r="K33" s="56">
        <f t="shared" si="11"/>
        <v>91816.291769999996</v>
      </c>
      <c r="L33" s="56">
        <f t="shared" si="12"/>
        <v>59008.063000000002</v>
      </c>
      <c r="M33" s="56">
        <f t="shared" si="10"/>
        <v>25494415.325180002</v>
      </c>
      <c r="N33" s="56">
        <v>0</v>
      </c>
    </row>
    <row r="34" spans="1:14" x14ac:dyDescent="0.2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x14ac:dyDescent="0.2">
      <c r="C35" s="40" t="s">
        <v>40</v>
      </c>
      <c r="D35" s="61"/>
      <c r="E35" s="61"/>
      <c r="F35" s="61"/>
      <c r="G35" s="61"/>
      <c r="H35" s="61"/>
      <c r="I35" s="61"/>
      <c r="J35" s="61"/>
      <c r="K35" s="61"/>
      <c r="L35" s="31"/>
      <c r="M35" s="31"/>
      <c r="N35" s="31"/>
    </row>
    <row r="36" spans="1:14" x14ac:dyDescent="0.2">
      <c r="C36" s="40" t="s">
        <v>21</v>
      </c>
      <c r="D36" s="61"/>
      <c r="E36" s="61"/>
      <c r="F36" s="61"/>
      <c r="G36" s="61"/>
      <c r="H36" s="61"/>
      <c r="I36" s="61"/>
      <c r="J36" s="61"/>
      <c r="K36" s="61"/>
      <c r="L36" s="31"/>
      <c r="M36" s="31"/>
      <c r="N36" s="31"/>
    </row>
    <row r="37" spans="1:14" x14ac:dyDescent="0.2">
      <c r="C37" s="40" t="s">
        <v>58</v>
      </c>
      <c r="D37" s="61"/>
      <c r="E37" s="61"/>
      <c r="F37" s="61"/>
      <c r="G37" s="61"/>
      <c r="H37" s="61"/>
      <c r="I37" s="61"/>
      <c r="J37" s="61"/>
      <c r="K37" s="61"/>
      <c r="L37" s="31"/>
      <c r="M37" s="31"/>
      <c r="N37" s="31"/>
    </row>
    <row r="38" spans="1:14" x14ac:dyDescent="0.2">
      <c r="C38" s="59" t="s">
        <v>22</v>
      </c>
      <c r="D38" s="61"/>
      <c r="E38" s="61"/>
      <c r="F38" s="61"/>
      <c r="G38" s="61"/>
      <c r="H38" s="61"/>
      <c r="I38" s="61"/>
      <c r="J38" s="61"/>
      <c r="K38" s="61"/>
      <c r="L38" s="31"/>
      <c r="M38" s="31"/>
      <c r="N38" s="31"/>
    </row>
    <row r="39" spans="1:14" x14ac:dyDescent="0.2">
      <c r="C39" s="61"/>
      <c r="D39" s="61"/>
      <c r="E39" s="61"/>
      <c r="F39" s="61"/>
      <c r="G39" s="61"/>
      <c r="H39" s="61"/>
      <c r="I39" s="61"/>
      <c r="J39" s="61"/>
      <c r="K39" s="61"/>
      <c r="L39" s="31"/>
      <c r="M39" s="31"/>
      <c r="N39" s="31"/>
    </row>
    <row r="40" spans="1:14" x14ac:dyDescent="0.2">
      <c r="C40" s="59" t="s">
        <v>23</v>
      </c>
      <c r="D40" s="28" t="s">
        <v>24</v>
      </c>
      <c r="E40" s="27" t="s">
        <v>25</v>
      </c>
      <c r="F40" s="59" t="s">
        <v>26</v>
      </c>
      <c r="G40" s="60" t="s">
        <v>12</v>
      </c>
      <c r="H40" s="59" t="s">
        <v>27</v>
      </c>
      <c r="I40" s="61"/>
      <c r="J40" s="61"/>
      <c r="K40" s="61"/>
      <c r="L40" s="31"/>
      <c r="M40" s="31"/>
      <c r="N40" s="31"/>
    </row>
    <row r="41" spans="1:14" x14ac:dyDescent="0.2">
      <c r="C41" s="68">
        <v>846667</v>
      </c>
      <c r="D41" s="68">
        <v>251808.67</v>
      </c>
      <c r="E41" s="68">
        <v>0</v>
      </c>
      <c r="F41" s="64">
        <f>E41-D41</f>
        <v>-251808.67</v>
      </c>
      <c r="G41" s="58">
        <v>0.21</v>
      </c>
      <c r="H41" s="64">
        <f>F41*G41</f>
        <v>-52879.820700000004</v>
      </c>
      <c r="I41" s="61"/>
      <c r="J41" s="61"/>
      <c r="K41" s="61"/>
      <c r="L41" s="31"/>
      <c r="M41" s="31"/>
      <c r="N41" s="31"/>
    </row>
    <row r="42" spans="1:14" x14ac:dyDescent="0.2">
      <c r="C42" s="69">
        <v>826019.67</v>
      </c>
      <c r="D42" s="61"/>
      <c r="E42" s="68">
        <v>0</v>
      </c>
      <c r="F42" s="64">
        <f>E42</f>
        <v>0</v>
      </c>
      <c r="G42" s="58">
        <v>0.21</v>
      </c>
      <c r="H42" s="64">
        <f t="shared" ref="H42:H52" si="14">F42*G42</f>
        <v>0</v>
      </c>
      <c r="I42" s="61"/>
      <c r="J42" s="61"/>
      <c r="K42" s="61"/>
      <c r="L42" s="31"/>
      <c r="M42" s="31"/>
      <c r="N42" s="31"/>
    </row>
    <row r="43" spans="1:14" x14ac:dyDescent="0.2">
      <c r="C43" s="69">
        <f>21052017.182-(265688.84/2)</f>
        <v>20919172.761999998</v>
      </c>
      <c r="D43" s="61"/>
      <c r="E43" s="68">
        <v>108365</v>
      </c>
      <c r="F43" s="64">
        <f t="shared" ref="F43:F52" si="15">E43</f>
        <v>108365</v>
      </c>
      <c r="G43" s="58">
        <v>0.21</v>
      </c>
      <c r="H43" s="64">
        <f t="shared" si="14"/>
        <v>22756.649999999998</v>
      </c>
      <c r="I43" s="61"/>
      <c r="J43" s="61"/>
      <c r="K43" s="61"/>
      <c r="L43" s="31"/>
      <c r="M43" s="31"/>
      <c r="N43" s="31"/>
    </row>
    <row r="44" spans="1:14" x14ac:dyDescent="0.2">
      <c r="C44" s="69">
        <v>31578025.772999998</v>
      </c>
      <c r="D44" s="61"/>
      <c r="E44" s="68">
        <v>526300</v>
      </c>
      <c r="F44" s="64">
        <f t="shared" si="15"/>
        <v>526300</v>
      </c>
      <c r="G44" s="58">
        <v>0.21</v>
      </c>
      <c r="H44" s="64">
        <f t="shared" si="14"/>
        <v>110523</v>
      </c>
      <c r="I44" s="61"/>
      <c r="J44" s="61"/>
      <c r="K44" s="61"/>
      <c r="L44" s="31"/>
      <c r="M44" s="31"/>
      <c r="N44" s="31"/>
    </row>
    <row r="45" spans="1:14" x14ac:dyDescent="0.2">
      <c r="C45" s="69">
        <v>94801.065000000002</v>
      </c>
      <c r="D45" s="61"/>
      <c r="E45" s="25">
        <v>527</v>
      </c>
      <c r="F45" s="43">
        <f t="shared" si="15"/>
        <v>527</v>
      </c>
      <c r="G45" s="49">
        <v>0.21</v>
      </c>
      <c r="H45" s="43">
        <f t="shared" si="14"/>
        <v>110.67</v>
      </c>
      <c r="I45" s="61"/>
      <c r="J45" s="61"/>
      <c r="K45" s="61"/>
      <c r="L45" s="31"/>
      <c r="M45" s="31"/>
      <c r="N45" s="31"/>
    </row>
    <row r="46" spans="1:14" x14ac:dyDescent="0.2">
      <c r="C46" s="69">
        <v>582728</v>
      </c>
      <c r="D46" s="61"/>
      <c r="E46" s="25">
        <v>3242</v>
      </c>
      <c r="F46" s="43">
        <f t="shared" si="15"/>
        <v>3242</v>
      </c>
      <c r="G46" s="49">
        <v>0.21</v>
      </c>
      <c r="H46" s="43">
        <f t="shared" si="14"/>
        <v>680.81999999999994</v>
      </c>
      <c r="I46" s="61"/>
      <c r="J46" s="61"/>
      <c r="K46" s="61"/>
      <c r="L46" s="31"/>
      <c r="M46" s="31"/>
      <c r="N46" s="31"/>
    </row>
    <row r="47" spans="1:14" x14ac:dyDescent="0.2">
      <c r="C47" s="69">
        <v>874094</v>
      </c>
      <c r="D47" s="61"/>
      <c r="E47" s="25">
        <v>14568</v>
      </c>
      <c r="F47" s="43">
        <f t="shared" si="15"/>
        <v>14568</v>
      </c>
      <c r="G47" s="49">
        <v>0.21</v>
      </c>
      <c r="H47" s="43">
        <f t="shared" si="14"/>
        <v>3059.2799999999997</v>
      </c>
      <c r="I47" s="61"/>
      <c r="J47" s="61"/>
      <c r="K47" s="61"/>
      <c r="L47" s="31"/>
      <c r="M47" s="31"/>
      <c r="N47" s="31"/>
    </row>
    <row r="48" spans="1:14" x14ac:dyDescent="0.2">
      <c r="C48" s="69">
        <v>3072442</v>
      </c>
      <c r="D48" s="61"/>
      <c r="E48" s="25">
        <v>17096</v>
      </c>
      <c r="F48" s="43">
        <f t="shared" si="15"/>
        <v>17096</v>
      </c>
      <c r="G48" s="49">
        <v>0.21</v>
      </c>
      <c r="H48" s="43">
        <f t="shared" si="14"/>
        <v>3590.16</v>
      </c>
      <c r="I48" s="61"/>
      <c r="J48" s="61"/>
      <c r="K48" s="61"/>
      <c r="L48" s="31"/>
      <c r="M48" s="31"/>
      <c r="N48" s="31"/>
    </row>
    <row r="49" spans="3:14" x14ac:dyDescent="0.2">
      <c r="C49" s="69">
        <v>4608663</v>
      </c>
      <c r="D49" s="61"/>
      <c r="E49" s="39">
        <v>76811</v>
      </c>
      <c r="F49" s="43">
        <f t="shared" si="15"/>
        <v>76811</v>
      </c>
      <c r="G49" s="49">
        <v>0.21</v>
      </c>
      <c r="H49" s="43">
        <f t="shared" si="14"/>
        <v>16130.31</v>
      </c>
      <c r="I49" s="61"/>
      <c r="J49" s="61"/>
      <c r="K49" s="61"/>
      <c r="L49" s="31"/>
      <c r="M49" s="31"/>
      <c r="N49" s="31"/>
    </row>
    <row r="50" spans="3:14" x14ac:dyDescent="0.2">
      <c r="C50" s="69">
        <v>196791</v>
      </c>
      <c r="D50" s="61"/>
      <c r="E50" s="25">
        <v>1095</v>
      </c>
      <c r="F50" s="43">
        <f t="shared" si="15"/>
        <v>1095</v>
      </c>
      <c r="G50" s="49">
        <v>0.21</v>
      </c>
      <c r="H50" s="43">
        <f t="shared" si="14"/>
        <v>229.95</v>
      </c>
      <c r="I50" s="61"/>
      <c r="J50" s="61"/>
      <c r="K50" s="61"/>
      <c r="L50" s="31"/>
      <c r="M50" s="31"/>
      <c r="N50" s="31"/>
    </row>
    <row r="51" spans="3:14" x14ac:dyDescent="0.2">
      <c r="C51" s="69">
        <v>3557</v>
      </c>
      <c r="D51" s="61"/>
      <c r="E51" s="25">
        <v>0</v>
      </c>
      <c r="F51" s="43">
        <f t="shared" si="15"/>
        <v>0</v>
      </c>
      <c r="G51" s="49">
        <v>0.21</v>
      </c>
      <c r="H51" s="43">
        <f t="shared" si="14"/>
        <v>0</v>
      </c>
      <c r="I51" s="61"/>
      <c r="J51" s="61"/>
      <c r="K51" s="61"/>
      <c r="L51" s="31"/>
      <c r="M51" s="31"/>
      <c r="N51" s="31"/>
    </row>
    <row r="52" spans="3:14" ht="15" x14ac:dyDescent="0.35">
      <c r="C52" s="50">
        <v>5335</v>
      </c>
      <c r="D52" s="61"/>
      <c r="E52" s="34">
        <f>32+2</f>
        <v>34</v>
      </c>
      <c r="F52" s="46">
        <f t="shared" si="15"/>
        <v>34</v>
      </c>
      <c r="G52" s="49">
        <v>0.21</v>
      </c>
      <c r="H52" s="46">
        <f t="shared" si="14"/>
        <v>7.14</v>
      </c>
      <c r="I52" s="61"/>
      <c r="J52" s="61"/>
      <c r="K52" s="61"/>
      <c r="L52" s="31"/>
      <c r="M52" s="31"/>
      <c r="N52" s="31"/>
    </row>
    <row r="53" spans="3:14" x14ac:dyDescent="0.2">
      <c r="C53" s="64">
        <f>SUM(C41:C52)</f>
        <v>63608296.269999996</v>
      </c>
      <c r="D53" s="61"/>
      <c r="E53" s="64">
        <f>SUM(E41:E52)</f>
        <v>748038</v>
      </c>
      <c r="F53" s="64">
        <f>SUM(F41:F52)</f>
        <v>496229.32999999996</v>
      </c>
      <c r="G53" s="47" t="s">
        <v>28</v>
      </c>
      <c r="H53" s="64">
        <f>SUM(H41:H52)</f>
        <v>104208.1593</v>
      </c>
      <c r="I53" s="61"/>
      <c r="J53" s="61"/>
      <c r="K53" s="61"/>
      <c r="L53" s="31"/>
      <c r="M53" s="31"/>
      <c r="N53" s="31"/>
    </row>
    <row r="54" spans="3:14" ht="15" x14ac:dyDescent="0.35">
      <c r="C54" s="61"/>
      <c r="D54" s="61"/>
      <c r="E54" s="61"/>
      <c r="F54" s="61"/>
      <c r="G54" s="47" t="s">
        <v>29</v>
      </c>
      <c r="H54" s="46">
        <f>-H69*0.21</f>
        <v>-12391.695424500002</v>
      </c>
      <c r="I54" s="61"/>
      <c r="J54" s="61"/>
      <c r="K54" s="61"/>
      <c r="L54" s="31"/>
      <c r="M54" s="31"/>
      <c r="N54" s="31"/>
    </row>
    <row r="55" spans="3:14" x14ac:dyDescent="0.2">
      <c r="C55" s="61"/>
      <c r="D55" s="61"/>
      <c r="E55" s="61"/>
      <c r="F55" s="61"/>
      <c r="G55" s="61"/>
      <c r="H55" s="64">
        <f>H53+H54</f>
        <v>91816.463875499991</v>
      </c>
      <c r="I55" s="61"/>
      <c r="J55" s="61"/>
      <c r="K55" s="61"/>
      <c r="L55" s="31"/>
      <c r="M55" s="31"/>
      <c r="N55" s="31"/>
    </row>
    <row r="56" spans="3:14" x14ac:dyDescent="0.2">
      <c r="C56" s="61"/>
      <c r="D56" s="61"/>
      <c r="E56" s="61"/>
      <c r="F56" s="61"/>
      <c r="G56" s="61"/>
      <c r="H56" s="62">
        <f>H55-K33</f>
        <v>0.17210549999435898</v>
      </c>
      <c r="I56" s="61"/>
      <c r="J56" s="61"/>
      <c r="K56" s="61"/>
      <c r="L56" s="31"/>
      <c r="M56" s="31"/>
      <c r="N56" s="31"/>
    </row>
    <row r="57" spans="3:14" x14ac:dyDescent="0.2">
      <c r="C57" s="59" t="s">
        <v>30</v>
      </c>
      <c r="D57" s="26" t="s">
        <v>24</v>
      </c>
      <c r="E57" s="27" t="s">
        <v>31</v>
      </c>
      <c r="F57" s="59" t="s">
        <v>32</v>
      </c>
      <c r="G57" s="60" t="s">
        <v>13</v>
      </c>
      <c r="H57" s="59" t="s">
        <v>33</v>
      </c>
      <c r="I57" s="61"/>
      <c r="J57" s="61"/>
      <c r="K57" s="61"/>
      <c r="L57" s="31"/>
      <c r="M57" s="31"/>
      <c r="N57" s="31"/>
    </row>
    <row r="58" spans="3:14" x14ac:dyDescent="0.2">
      <c r="C58" s="68">
        <v>846667</v>
      </c>
      <c r="D58" s="64">
        <f>D41</f>
        <v>251808.67</v>
      </c>
      <c r="E58" s="27">
        <v>0</v>
      </c>
      <c r="F58" s="59">
        <f>E58-D58</f>
        <v>-251808.67</v>
      </c>
      <c r="G58" s="58">
        <v>0.05</v>
      </c>
      <c r="H58" s="59">
        <f>F58*G58</f>
        <v>-12590.433500000001</v>
      </c>
      <c r="I58" s="61"/>
      <c r="J58" s="61"/>
      <c r="K58" s="61"/>
      <c r="L58" s="31"/>
      <c r="M58" s="31"/>
      <c r="N58" s="31"/>
    </row>
    <row r="59" spans="3:14" x14ac:dyDescent="0.2">
      <c r="C59" s="69">
        <v>826019.67</v>
      </c>
      <c r="D59" s="26"/>
      <c r="E59" s="27">
        <v>0</v>
      </c>
      <c r="F59" s="59">
        <f>E59</f>
        <v>0</v>
      </c>
      <c r="G59" s="58">
        <v>0.05</v>
      </c>
      <c r="H59" s="59">
        <f>F59*G59</f>
        <v>0</v>
      </c>
      <c r="I59" s="61"/>
      <c r="J59" s="61"/>
      <c r="K59" s="61"/>
      <c r="L59" s="31"/>
      <c r="M59" s="31"/>
      <c r="N59" s="31"/>
    </row>
    <row r="60" spans="3:14" x14ac:dyDescent="0.2">
      <c r="C60" s="69">
        <f>42104034.364-265688.84</f>
        <v>41838345.523999996</v>
      </c>
      <c r="D60" s="61"/>
      <c r="E60" s="64">
        <v>216731</v>
      </c>
      <c r="F60" s="64">
        <f>E60</f>
        <v>216731</v>
      </c>
      <c r="G60" s="58">
        <v>0.05</v>
      </c>
      <c r="H60" s="59">
        <f t="shared" ref="H60:H68" si="16">F60*G60</f>
        <v>10836.550000000001</v>
      </c>
      <c r="I60" s="61"/>
      <c r="J60" s="61"/>
      <c r="K60" s="61"/>
      <c r="L60" s="31"/>
      <c r="M60" s="31"/>
      <c r="N60" s="31"/>
    </row>
    <row r="61" spans="3:14" x14ac:dyDescent="0.2">
      <c r="C61" s="69">
        <v>63156051.545999996</v>
      </c>
      <c r="D61" s="61"/>
      <c r="E61" s="64">
        <v>1052600.8589999999</v>
      </c>
      <c r="F61" s="64">
        <f>E61</f>
        <v>1052600.8589999999</v>
      </c>
      <c r="G61" s="58">
        <v>0.05</v>
      </c>
      <c r="H61" s="59">
        <f t="shared" si="16"/>
        <v>52630.042950000003</v>
      </c>
      <c r="I61" s="61"/>
      <c r="J61" s="61"/>
      <c r="K61" s="61"/>
      <c r="L61" s="31"/>
      <c r="M61" s="31"/>
      <c r="N61" s="31"/>
    </row>
    <row r="62" spans="3:14" x14ac:dyDescent="0.2">
      <c r="C62" s="69">
        <v>189602.13</v>
      </c>
      <c r="D62" s="61"/>
      <c r="E62" s="43">
        <v>1055</v>
      </c>
      <c r="F62" s="43">
        <f>E62</f>
        <v>1055</v>
      </c>
      <c r="G62" s="58">
        <v>0.05</v>
      </c>
      <c r="H62" s="41">
        <f t="shared" si="16"/>
        <v>52.75</v>
      </c>
      <c r="I62" s="61"/>
      <c r="J62" s="61"/>
      <c r="K62" s="61"/>
      <c r="L62" s="31"/>
      <c r="M62" s="31"/>
      <c r="N62" s="31"/>
    </row>
    <row r="63" spans="3:14" x14ac:dyDescent="0.2">
      <c r="C63" s="69">
        <v>58767</v>
      </c>
      <c r="D63" s="61"/>
      <c r="E63" s="43">
        <v>327</v>
      </c>
      <c r="F63" s="43">
        <f t="shared" ref="F63:F68" si="17">E63</f>
        <v>327</v>
      </c>
      <c r="G63" s="58">
        <v>0.05</v>
      </c>
      <c r="H63" s="41">
        <f t="shared" si="16"/>
        <v>16.350000000000001</v>
      </c>
      <c r="I63" s="61"/>
      <c r="J63" s="61"/>
      <c r="K63" s="61"/>
      <c r="L63" s="31"/>
      <c r="M63" s="31"/>
      <c r="N63" s="31"/>
    </row>
    <row r="64" spans="3:14" x14ac:dyDescent="0.2">
      <c r="C64" s="69">
        <v>88151</v>
      </c>
      <c r="D64" s="61"/>
      <c r="E64" s="43">
        <v>1468.72</v>
      </c>
      <c r="F64" s="43">
        <f t="shared" si="17"/>
        <v>1468.72</v>
      </c>
      <c r="G64" s="58">
        <v>0.05</v>
      </c>
      <c r="H64" s="41">
        <f t="shared" si="16"/>
        <v>73.436000000000007</v>
      </c>
      <c r="I64" s="61"/>
      <c r="J64" s="61"/>
      <c r="K64" s="61"/>
      <c r="L64" s="31"/>
      <c r="M64" s="31"/>
      <c r="N64" s="31"/>
    </row>
    <row r="65" spans="3:14" x14ac:dyDescent="0.2">
      <c r="C65" s="69">
        <v>5154542</v>
      </c>
      <c r="D65" s="61"/>
      <c r="E65" s="43">
        <v>28681</v>
      </c>
      <c r="F65" s="43">
        <f t="shared" si="17"/>
        <v>28681</v>
      </c>
      <c r="G65" s="58">
        <v>0.05</v>
      </c>
      <c r="H65" s="41">
        <f t="shared" si="16"/>
        <v>1434.0500000000002</v>
      </c>
      <c r="I65" s="61"/>
      <c r="J65" s="61"/>
      <c r="K65" s="61"/>
      <c r="L65" s="31"/>
      <c r="M65" s="31"/>
      <c r="N65" s="31"/>
    </row>
    <row r="66" spans="3:14" x14ac:dyDescent="0.2">
      <c r="C66" s="69">
        <v>7731813</v>
      </c>
      <c r="D66" s="61"/>
      <c r="E66" s="43">
        <v>128863.56</v>
      </c>
      <c r="F66" s="43">
        <f t="shared" si="17"/>
        <v>128863.56</v>
      </c>
      <c r="G66" s="58">
        <v>0.05</v>
      </c>
      <c r="H66" s="41">
        <f t="shared" si="16"/>
        <v>6443.1779999999999</v>
      </c>
      <c r="I66" s="61"/>
      <c r="J66" s="61"/>
      <c r="K66" s="61"/>
      <c r="L66" s="31"/>
      <c r="M66" s="31"/>
      <c r="N66" s="31"/>
    </row>
    <row r="67" spans="3:14" x14ac:dyDescent="0.2">
      <c r="C67" s="69">
        <v>393581</v>
      </c>
      <c r="D67" s="61"/>
      <c r="E67" s="43">
        <v>2190</v>
      </c>
      <c r="F67" s="43">
        <f t="shared" si="17"/>
        <v>2190</v>
      </c>
      <c r="G67" s="58">
        <v>0.05</v>
      </c>
      <c r="H67" s="41">
        <f t="shared" si="16"/>
        <v>109.5</v>
      </c>
      <c r="I67" s="61"/>
      <c r="J67" s="61"/>
      <c r="K67" s="61"/>
      <c r="L67" s="31"/>
      <c r="M67" s="31"/>
      <c r="N67" s="31"/>
    </row>
    <row r="68" spans="3:14" ht="15" x14ac:dyDescent="0.35">
      <c r="C68" s="50">
        <f>8892+0.7</f>
        <v>8892.7000000000007</v>
      </c>
      <c r="D68" s="61"/>
      <c r="E68" s="46">
        <v>53</v>
      </c>
      <c r="F68" s="46">
        <f t="shared" si="17"/>
        <v>53</v>
      </c>
      <c r="G68" s="58">
        <v>0.05</v>
      </c>
      <c r="H68" s="44">
        <f t="shared" si="16"/>
        <v>2.6500000000000004</v>
      </c>
      <c r="I68" s="61"/>
      <c r="J68" s="61"/>
      <c r="K68" s="61"/>
      <c r="L68" s="31"/>
      <c r="M68" s="31"/>
      <c r="N68" s="31"/>
    </row>
    <row r="69" spans="3:14" x14ac:dyDescent="0.2">
      <c r="C69" s="64">
        <f>SUM(C58:C68)</f>
        <v>120292432.56999999</v>
      </c>
      <c r="D69" s="61"/>
      <c r="E69" s="64">
        <f>SUM(E58:E68)</f>
        <v>1431970.139</v>
      </c>
      <c r="F69" s="64">
        <f>SUM(F58:F68)</f>
        <v>1180161.469</v>
      </c>
      <c r="G69" s="61"/>
      <c r="H69" s="56">
        <f>SUM(H58:H68)</f>
        <v>59008.073450000011</v>
      </c>
      <c r="I69" s="61"/>
      <c r="J69" s="61"/>
      <c r="K69" s="61"/>
      <c r="L69" s="31"/>
      <c r="M69" s="31"/>
      <c r="N69" s="31"/>
    </row>
    <row r="70" spans="3:14" x14ac:dyDescent="0.2">
      <c r="C70" s="61"/>
      <c r="D70" s="61"/>
      <c r="E70" s="61"/>
      <c r="F70" s="61"/>
      <c r="G70" s="61"/>
      <c r="H70" s="56">
        <f>H69-L33</f>
        <v>1.0450000008859206E-2</v>
      </c>
      <c r="I70" s="61"/>
      <c r="J70" s="61"/>
      <c r="K70" s="61"/>
      <c r="L70" s="31"/>
      <c r="M70" s="31"/>
      <c r="N70" s="31"/>
    </row>
    <row r="71" spans="3:14" x14ac:dyDescent="0.2">
      <c r="C71" s="61"/>
      <c r="D71" s="61"/>
      <c r="E71" s="61"/>
      <c r="F71" s="61"/>
      <c r="G71" s="61"/>
      <c r="H71" s="61"/>
      <c r="I71" s="61"/>
      <c r="J71" s="61"/>
      <c r="K71" s="61"/>
      <c r="L71" s="31"/>
      <c r="M71" s="31"/>
      <c r="N71" s="31"/>
    </row>
  </sheetData>
  <pageMargins left="0.7" right="0.7" top="1.15625" bottom="0.75" header="0.3" footer="0.3"/>
  <pageSetup scale="51" orientation="portrait" r:id="rId1"/>
  <headerFooter>
    <oddHeader>&amp;R&amp;"Times New Roman,Bold"&amp;12Attachment to Response to Question 3
Page &amp;P of &amp;N
Williams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115"/>
  <sheetViews>
    <sheetView topLeftCell="A7" zoomScaleNormal="100" workbookViewId="0">
      <selection activeCell="F31" sqref="F31"/>
    </sheetView>
  </sheetViews>
  <sheetFormatPr defaultColWidth="8.85546875" defaultRowHeight="12.75" x14ac:dyDescent="0.2"/>
  <cols>
    <col min="1" max="1" width="11.28515625" style="23" customWidth="1"/>
    <col min="2" max="2" width="1.7109375" style="15" customWidth="1"/>
    <col min="3" max="3" width="12.7109375" style="15" customWidth="1"/>
    <col min="4" max="4" width="14.28515625" style="15" bestFit="1" customWidth="1"/>
    <col min="5" max="5" width="14.28515625" style="15" customWidth="1"/>
    <col min="6" max="6" width="14.28515625" style="15" bestFit="1" customWidth="1"/>
    <col min="7" max="7" width="14.28515625" style="15" customWidth="1"/>
    <col min="8" max="12" width="12.7109375" style="15" customWidth="1"/>
    <col min="13" max="13" width="16.5703125" style="15" bestFit="1" customWidth="1"/>
    <col min="14" max="14" width="12.7109375" style="15" customWidth="1"/>
    <col min="15" max="16" width="11.28515625" style="15" bestFit="1" customWidth="1"/>
    <col min="17" max="16384" width="8.85546875" style="15"/>
  </cols>
  <sheetData>
    <row r="1" spans="1:15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x14ac:dyDescent="0.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5"/>
    </row>
    <row r="5" spans="1:15" x14ac:dyDescent="0.2">
      <c r="A5" s="18" t="s">
        <v>3</v>
      </c>
    </row>
    <row r="6" spans="1:15" x14ac:dyDescent="0.2">
      <c r="A6" s="19" t="s">
        <v>41</v>
      </c>
    </row>
    <row r="8" spans="1:15" s="22" customFormat="1" ht="38.25" x14ac:dyDescent="0.2">
      <c r="A8" s="20" t="s">
        <v>5</v>
      </c>
      <c r="B8" s="21"/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12</v>
      </c>
      <c r="J8" s="21" t="s">
        <v>13</v>
      </c>
      <c r="K8" s="21" t="s">
        <v>14</v>
      </c>
      <c r="L8" s="21" t="s">
        <v>15</v>
      </c>
      <c r="M8" s="21" t="s">
        <v>16</v>
      </c>
      <c r="N8" s="21" t="s">
        <v>17</v>
      </c>
    </row>
    <row r="9" spans="1:15" x14ac:dyDescent="0.2">
      <c r="A9" s="23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25">
        <v>63900144</v>
      </c>
      <c r="N9" s="31"/>
      <c r="O9" s="24"/>
    </row>
    <row r="10" spans="1:15" ht="15" x14ac:dyDescent="0.25">
      <c r="A10" s="10">
        <v>42795</v>
      </c>
      <c r="B10"/>
      <c r="C10" s="56">
        <v>328351293</v>
      </c>
      <c r="D10" s="25">
        <v>612278</v>
      </c>
      <c r="E10" s="25">
        <v>1102914</v>
      </c>
      <c r="F10" s="25">
        <v>2192343</v>
      </c>
      <c r="G10" s="25">
        <f>E10-D10</f>
        <v>490636</v>
      </c>
      <c r="H10" s="56">
        <f>F10-D10</f>
        <v>1580065</v>
      </c>
      <c r="I10" s="58">
        <v>0.35</v>
      </c>
      <c r="J10" s="58">
        <v>0.06</v>
      </c>
      <c r="K10" s="56">
        <f>G10*I10+-L10*I10</f>
        <v>138541.23499999999</v>
      </c>
      <c r="L10" s="56">
        <f>H10*J10</f>
        <v>94803.9</v>
      </c>
      <c r="M10" s="56">
        <f>M9+K10+L10</f>
        <v>64133489.134999998</v>
      </c>
      <c r="N10" s="56">
        <v>0</v>
      </c>
      <c r="O10" s="30"/>
    </row>
    <row r="11" spans="1:15" ht="15" x14ac:dyDescent="0.25">
      <c r="A11" s="12">
        <v>42826</v>
      </c>
      <c r="B11"/>
      <c r="C11" s="56">
        <v>328375527</v>
      </c>
      <c r="D11" s="25">
        <v>612141</v>
      </c>
      <c r="E11" s="25">
        <f>1103441+92</f>
        <v>1103533</v>
      </c>
      <c r="F11" s="25">
        <v>2191378</v>
      </c>
      <c r="G11" s="25">
        <f>E11-D11</f>
        <v>491392</v>
      </c>
      <c r="H11" s="56">
        <f>F11-D11</f>
        <v>1579237</v>
      </c>
      <c r="I11" s="58">
        <v>0.35</v>
      </c>
      <c r="J11" s="58">
        <v>0.06</v>
      </c>
      <c r="K11" s="56">
        <f>G11*I11+-L11*I11</f>
        <v>138823.223</v>
      </c>
      <c r="L11" s="56">
        <f>H11*J11</f>
        <v>94754.22</v>
      </c>
      <c r="M11" s="56">
        <f>M10+K11+L11</f>
        <v>64367066.577999994</v>
      </c>
      <c r="N11" s="56">
        <v>0</v>
      </c>
      <c r="O11" s="30"/>
    </row>
    <row r="12" spans="1:15" ht="15" x14ac:dyDescent="0.25">
      <c r="A12" s="12">
        <v>42856</v>
      </c>
      <c r="B12"/>
      <c r="C12" s="56">
        <v>328375527</v>
      </c>
      <c r="D12" s="25">
        <v>612178</v>
      </c>
      <c r="E12" s="25">
        <f>1103441+92+45</f>
        <v>1103578</v>
      </c>
      <c r="F12" s="25">
        <v>2191378</v>
      </c>
      <c r="G12" s="25">
        <f t="shared" ref="G12:G15" si="0">E12-D12</f>
        <v>491400</v>
      </c>
      <c r="H12" s="56">
        <f t="shared" ref="H12:H15" si="1">F12-D12</f>
        <v>1579200</v>
      </c>
      <c r="I12" s="58">
        <v>0.35</v>
      </c>
      <c r="J12" s="58">
        <v>0.06</v>
      </c>
      <c r="K12" s="56">
        <f t="shared" ref="K12:K15" si="2">G12*I12+-L12*I12</f>
        <v>138826.79999999999</v>
      </c>
      <c r="L12" s="56">
        <f t="shared" ref="L12:L15" si="3">H12*J12</f>
        <v>94752</v>
      </c>
      <c r="M12" s="56">
        <f t="shared" ref="M12:M15" si="4">M11+K12+L12</f>
        <v>64600645.377999991</v>
      </c>
      <c r="N12" s="56">
        <v>0</v>
      </c>
    </row>
    <row r="13" spans="1:15" ht="15" x14ac:dyDescent="0.25">
      <c r="A13" s="12">
        <v>42887</v>
      </c>
      <c r="B13"/>
      <c r="C13" s="56">
        <v>328375527</v>
      </c>
      <c r="D13" s="25">
        <v>612178</v>
      </c>
      <c r="E13" s="25">
        <f>1103441+92+40</f>
        <v>1103573</v>
      </c>
      <c r="F13" s="25">
        <v>2191378</v>
      </c>
      <c r="G13" s="25">
        <f t="shared" si="0"/>
        <v>491395</v>
      </c>
      <c r="H13" s="56">
        <f t="shared" si="1"/>
        <v>1579200</v>
      </c>
      <c r="I13" s="58">
        <v>0.35</v>
      </c>
      <c r="J13" s="58">
        <v>0.06</v>
      </c>
      <c r="K13" s="56">
        <f t="shared" si="2"/>
        <v>138825.04999999999</v>
      </c>
      <c r="L13" s="56">
        <f t="shared" si="3"/>
        <v>94752</v>
      </c>
      <c r="M13" s="56">
        <f t="shared" si="4"/>
        <v>64834222.427999988</v>
      </c>
      <c r="N13" s="56">
        <v>0</v>
      </c>
      <c r="O13" s="30"/>
    </row>
    <row r="14" spans="1:15" ht="15" x14ac:dyDescent="0.25">
      <c r="A14" s="12">
        <v>42917</v>
      </c>
      <c r="B14"/>
      <c r="C14" s="56">
        <v>328375527</v>
      </c>
      <c r="D14" s="25">
        <v>688621</v>
      </c>
      <c r="E14" s="25">
        <f>1103441+92+40+84384-84384+1</f>
        <v>1103574</v>
      </c>
      <c r="F14" s="25">
        <f>2191378+5182-5182</f>
        <v>2191378</v>
      </c>
      <c r="G14" s="25">
        <f t="shared" si="0"/>
        <v>414953</v>
      </c>
      <c r="H14" s="56">
        <f t="shared" si="1"/>
        <v>1502757</v>
      </c>
      <c r="I14" s="58">
        <v>0.35</v>
      </c>
      <c r="J14" s="58">
        <v>0.06</v>
      </c>
      <c r="K14" s="56">
        <f t="shared" si="2"/>
        <v>113675.65299999999</v>
      </c>
      <c r="L14" s="56">
        <f t="shared" si="3"/>
        <v>90165.42</v>
      </c>
      <c r="M14" s="56">
        <f t="shared" si="4"/>
        <v>65038063.500999987</v>
      </c>
      <c r="N14" s="56">
        <v>0</v>
      </c>
      <c r="O14" s="30"/>
    </row>
    <row r="15" spans="1:15" ht="15" x14ac:dyDescent="0.25">
      <c r="A15" s="12">
        <v>42948</v>
      </c>
      <c r="B15"/>
      <c r="C15" s="56">
        <v>328375527</v>
      </c>
      <c r="D15" s="25">
        <v>688621</v>
      </c>
      <c r="E15" s="25">
        <f>1103441+92+40+84384+2-84384</f>
        <v>1103575</v>
      </c>
      <c r="F15" s="25">
        <f>2191378+5182-1.49-5182</f>
        <v>2191376.5099999998</v>
      </c>
      <c r="G15" s="25">
        <f t="shared" si="0"/>
        <v>414954</v>
      </c>
      <c r="H15" s="56">
        <f t="shared" si="1"/>
        <v>1502755.5099999998</v>
      </c>
      <c r="I15" s="58">
        <v>0.35</v>
      </c>
      <c r="J15" s="58">
        <v>0.06</v>
      </c>
      <c r="K15" s="56">
        <f t="shared" si="2"/>
        <v>113676.03429</v>
      </c>
      <c r="L15" s="56">
        <f t="shared" si="3"/>
        <v>90165.330599999987</v>
      </c>
      <c r="M15" s="56">
        <f t="shared" si="4"/>
        <v>65241904.865889989</v>
      </c>
      <c r="N15" s="56">
        <v>0</v>
      </c>
    </row>
    <row r="16" spans="1:15" ht="15" x14ac:dyDescent="0.25">
      <c r="A16" s="10">
        <v>42987</v>
      </c>
      <c r="B16"/>
      <c r="C16" s="56">
        <v>328374527</v>
      </c>
      <c r="D16" s="25">
        <v>688621</v>
      </c>
      <c r="E16" s="25">
        <v>1103575</v>
      </c>
      <c r="F16" s="25">
        <v>2191377</v>
      </c>
      <c r="G16" s="56">
        <f>E16-D16</f>
        <v>414954</v>
      </c>
      <c r="H16" s="56">
        <f>F16-D16</f>
        <v>1502756</v>
      </c>
      <c r="I16" s="58">
        <v>0.35</v>
      </c>
      <c r="J16" s="58">
        <v>0.06</v>
      </c>
      <c r="K16" s="56">
        <f t="shared" ref="K16:K19" si="5">G16*I16-L16*I16</f>
        <v>113676.024</v>
      </c>
      <c r="L16" s="56">
        <f t="shared" ref="L16:L19" si="6">H16*J16</f>
        <v>90165.36</v>
      </c>
      <c r="M16" s="56">
        <f t="shared" ref="M16:M33" si="7">M15+K16+L16</f>
        <v>65445746.249889985</v>
      </c>
      <c r="N16" s="56">
        <v>0</v>
      </c>
    </row>
    <row r="17" spans="1:14" ht="15" x14ac:dyDescent="0.25">
      <c r="A17" s="12">
        <v>43009</v>
      </c>
      <c r="B17"/>
      <c r="C17" s="56">
        <v>349137977</v>
      </c>
      <c r="D17" s="25">
        <v>702926</v>
      </c>
      <c r="E17" s="25">
        <f>3484955+15900</f>
        <v>3500855</v>
      </c>
      <c r="F17" s="25">
        <v>2446582</v>
      </c>
      <c r="G17" s="56">
        <f t="shared" ref="G17:G21" si="8">E17-D17</f>
        <v>2797929</v>
      </c>
      <c r="H17" s="56">
        <f t="shared" ref="H17:H21" si="9">F17-D17</f>
        <v>1743656</v>
      </c>
      <c r="I17" s="58">
        <v>0.35</v>
      </c>
      <c r="J17" s="58">
        <v>0.06</v>
      </c>
      <c r="K17" s="56">
        <f t="shared" si="5"/>
        <v>942658.37399999995</v>
      </c>
      <c r="L17" s="56">
        <f t="shared" si="6"/>
        <v>104619.36</v>
      </c>
      <c r="M17" s="56">
        <f t="shared" si="7"/>
        <v>66493023.983889982</v>
      </c>
      <c r="N17" s="56">
        <v>35311</v>
      </c>
    </row>
    <row r="18" spans="1:14" ht="15" x14ac:dyDescent="0.25">
      <c r="A18" s="12">
        <v>43040</v>
      </c>
      <c r="B18"/>
      <c r="C18" s="56">
        <v>349137977</v>
      </c>
      <c r="D18" s="25">
        <v>717230</v>
      </c>
      <c r="E18" s="25">
        <f>3500855+15931</f>
        <v>3516786</v>
      </c>
      <c r="F18" s="25">
        <v>2446261.98</v>
      </c>
      <c r="G18" s="56">
        <f t="shared" si="8"/>
        <v>2799556</v>
      </c>
      <c r="H18" s="56">
        <f t="shared" si="9"/>
        <v>1729031.98</v>
      </c>
      <c r="I18" s="58">
        <v>0.35</v>
      </c>
      <c r="J18" s="58">
        <v>0.06</v>
      </c>
      <c r="K18" s="56">
        <f t="shared" si="5"/>
        <v>943534.92842000001</v>
      </c>
      <c r="L18" s="56">
        <f t="shared" si="6"/>
        <v>103741.9188</v>
      </c>
      <c r="M18" s="56">
        <f t="shared" si="7"/>
        <v>67540300.831109986</v>
      </c>
      <c r="N18" s="56">
        <v>62312.4</v>
      </c>
    </row>
    <row r="19" spans="1:14" ht="15" x14ac:dyDescent="0.25">
      <c r="A19" s="12">
        <v>43070</v>
      </c>
      <c r="B19"/>
      <c r="C19" s="56">
        <v>349137977</v>
      </c>
      <c r="D19" s="25">
        <v>717230</v>
      </c>
      <c r="E19" s="25">
        <v>3516786</v>
      </c>
      <c r="F19" s="25">
        <v>2446261.98</v>
      </c>
      <c r="G19" s="56">
        <f t="shared" si="8"/>
        <v>2799556</v>
      </c>
      <c r="H19" s="56">
        <f t="shared" si="9"/>
        <v>1729031.98</v>
      </c>
      <c r="I19" s="58">
        <v>0.35</v>
      </c>
      <c r="J19" s="58">
        <v>0.06</v>
      </c>
      <c r="K19" s="56">
        <f t="shared" si="5"/>
        <v>943534.92842000001</v>
      </c>
      <c r="L19" s="56">
        <f t="shared" si="6"/>
        <v>103741.9188</v>
      </c>
      <c r="M19" s="56">
        <f t="shared" si="7"/>
        <v>68587577.678329989</v>
      </c>
      <c r="N19" s="56">
        <v>66803.600000000006</v>
      </c>
    </row>
    <row r="20" spans="1:14" ht="15" x14ac:dyDescent="0.25">
      <c r="A20" s="12">
        <v>43101</v>
      </c>
      <c r="B20"/>
      <c r="C20" s="56">
        <v>349137977</v>
      </c>
      <c r="D20" s="25">
        <v>717230</v>
      </c>
      <c r="E20" s="25">
        <v>1157544</v>
      </c>
      <c r="F20" s="25">
        <f>2245240.52</f>
        <v>2245240.52</v>
      </c>
      <c r="G20" s="56">
        <f t="shared" si="8"/>
        <v>440314</v>
      </c>
      <c r="H20" s="56">
        <f t="shared" si="9"/>
        <v>1528010.52</v>
      </c>
      <c r="I20" s="58">
        <v>0.21</v>
      </c>
      <c r="J20" s="58">
        <v>0.05</v>
      </c>
      <c r="K20" s="56">
        <f>G20*I20-L20*I20-24404</f>
        <v>52917.889540000004</v>
      </c>
      <c r="L20" s="56">
        <f>H20*J20-4286</f>
        <v>72114.525999999998</v>
      </c>
      <c r="M20" s="56">
        <f t="shared" si="7"/>
        <v>68712610.093869984</v>
      </c>
      <c r="N20" s="56">
        <v>68054.52</v>
      </c>
    </row>
    <row r="21" spans="1:14" ht="15" x14ac:dyDescent="0.25">
      <c r="A21" s="12">
        <v>43132</v>
      </c>
      <c r="B21"/>
      <c r="C21" s="56">
        <v>349137977</v>
      </c>
      <c r="D21" s="25">
        <v>717230</v>
      </c>
      <c r="E21" s="25">
        <v>1157544</v>
      </c>
      <c r="F21" s="25">
        <f>2245240.52</f>
        <v>2245240.52</v>
      </c>
      <c r="G21" s="56">
        <f t="shared" si="8"/>
        <v>440314</v>
      </c>
      <c r="H21" s="56">
        <f t="shared" si="9"/>
        <v>1528010.52</v>
      </c>
      <c r="I21" s="58">
        <v>0.21</v>
      </c>
      <c r="J21" s="58">
        <v>0.05</v>
      </c>
      <c r="K21" s="56">
        <f t="shared" ref="K21:K33" si="10">G21*I21-L21*I21</f>
        <v>76421.829540000006</v>
      </c>
      <c r="L21" s="56">
        <f t="shared" ref="L21:L33" si="11">H21*J21</f>
        <v>76400.525999999998</v>
      </c>
      <c r="M21" s="56">
        <f t="shared" si="7"/>
        <v>68865432.449409977</v>
      </c>
      <c r="N21" s="56">
        <v>67744.58</v>
      </c>
    </row>
    <row r="22" spans="1:14" ht="15" x14ac:dyDescent="0.25">
      <c r="A22" s="12">
        <v>43160</v>
      </c>
      <c r="B22"/>
      <c r="C22" s="56">
        <v>349137977</v>
      </c>
      <c r="D22" s="25">
        <v>717230</v>
      </c>
      <c r="E22" s="25">
        <v>1157544.21</v>
      </c>
      <c r="F22" s="25">
        <v>2245240.52</v>
      </c>
      <c r="G22" s="56">
        <f>E22-D22</f>
        <v>440314.20999999996</v>
      </c>
      <c r="H22" s="56">
        <f>F22-D22</f>
        <v>1528010.52</v>
      </c>
      <c r="I22" s="58">
        <v>0.21</v>
      </c>
      <c r="J22" s="58">
        <v>0.05</v>
      </c>
      <c r="K22" s="56">
        <f t="shared" si="10"/>
        <v>76421.873639999991</v>
      </c>
      <c r="L22" s="56">
        <f t="shared" si="11"/>
        <v>76400.525999999998</v>
      </c>
      <c r="M22" s="56">
        <f t="shared" si="7"/>
        <v>69018254.849049971</v>
      </c>
      <c r="N22" s="56">
        <v>67308.81</v>
      </c>
    </row>
    <row r="23" spans="1:14" ht="15" x14ac:dyDescent="0.25">
      <c r="A23" s="12">
        <v>43191</v>
      </c>
      <c r="B23"/>
      <c r="C23" s="56">
        <v>349137977</v>
      </c>
      <c r="D23" s="25">
        <v>717230</v>
      </c>
      <c r="E23" s="25">
        <v>1157544.21</v>
      </c>
      <c r="F23" s="25">
        <v>2245240.52</v>
      </c>
      <c r="G23" s="56">
        <f t="shared" ref="G23:G27" si="12">E23-D23</f>
        <v>440314.20999999996</v>
      </c>
      <c r="H23" s="56">
        <f t="shared" ref="H23:H27" si="13">F23-D23</f>
        <v>1528010.52</v>
      </c>
      <c r="I23" s="58">
        <v>0.21</v>
      </c>
      <c r="J23" s="58">
        <v>0.05</v>
      </c>
      <c r="K23" s="56">
        <f t="shared" si="10"/>
        <v>76421.873639999991</v>
      </c>
      <c r="L23" s="56">
        <f t="shared" si="11"/>
        <v>76400.525999999998</v>
      </c>
      <c r="M23" s="56">
        <f t="shared" si="7"/>
        <v>69171077.248689964</v>
      </c>
      <c r="N23" s="56">
        <v>67308.81</v>
      </c>
    </row>
    <row r="24" spans="1:14" ht="15" x14ac:dyDescent="0.25">
      <c r="A24" s="12">
        <v>43221</v>
      </c>
      <c r="B24"/>
      <c r="C24" s="56">
        <v>349137977</v>
      </c>
      <c r="D24" s="25">
        <v>717230</v>
      </c>
      <c r="E24" s="25">
        <v>1157544.21</v>
      </c>
      <c r="F24" s="25">
        <v>2245240.52</v>
      </c>
      <c r="G24" s="56">
        <f t="shared" si="12"/>
        <v>440314.20999999996</v>
      </c>
      <c r="H24" s="56">
        <f t="shared" si="13"/>
        <v>1528010.52</v>
      </c>
      <c r="I24" s="58">
        <v>0.21</v>
      </c>
      <c r="J24" s="58">
        <v>0.05</v>
      </c>
      <c r="K24" s="56">
        <f t="shared" si="10"/>
        <v>76421.873639999991</v>
      </c>
      <c r="L24" s="56">
        <f t="shared" si="11"/>
        <v>76400.525999999998</v>
      </c>
      <c r="M24" s="56">
        <f t="shared" si="7"/>
        <v>69323899.648329958</v>
      </c>
      <c r="N24" s="56">
        <v>67308.81</v>
      </c>
    </row>
    <row r="25" spans="1:14" ht="15" x14ac:dyDescent="0.25">
      <c r="A25" s="12">
        <v>43252</v>
      </c>
      <c r="B25"/>
      <c r="C25" s="56">
        <v>349137977</v>
      </c>
      <c r="D25" s="25">
        <v>717230</v>
      </c>
      <c r="E25" s="25">
        <v>1157544.21</v>
      </c>
      <c r="F25" s="25">
        <v>2245240.52</v>
      </c>
      <c r="G25" s="56">
        <f t="shared" si="12"/>
        <v>440314.20999999996</v>
      </c>
      <c r="H25" s="56">
        <f t="shared" si="13"/>
        <v>1528010.52</v>
      </c>
      <c r="I25" s="58">
        <v>0.21</v>
      </c>
      <c r="J25" s="58">
        <v>0.05</v>
      </c>
      <c r="K25" s="56">
        <f t="shared" si="10"/>
        <v>76421.873639999991</v>
      </c>
      <c r="L25" s="56">
        <f t="shared" si="11"/>
        <v>76400.525999999998</v>
      </c>
      <c r="M25" s="56">
        <f t="shared" si="7"/>
        <v>69476722.047969952</v>
      </c>
      <c r="N25" s="56">
        <v>67308.81</v>
      </c>
    </row>
    <row r="26" spans="1:14" ht="15" x14ac:dyDescent="0.25">
      <c r="A26" s="12">
        <v>43282</v>
      </c>
      <c r="B26"/>
      <c r="C26" s="56">
        <v>349137977</v>
      </c>
      <c r="D26" s="25">
        <v>717230</v>
      </c>
      <c r="E26" s="25">
        <v>1157544.21</v>
      </c>
      <c r="F26" s="25">
        <v>2245240.52</v>
      </c>
      <c r="G26" s="56">
        <f t="shared" si="12"/>
        <v>440314.20999999996</v>
      </c>
      <c r="H26" s="56">
        <f t="shared" si="13"/>
        <v>1528010.52</v>
      </c>
      <c r="I26" s="58">
        <v>0.21</v>
      </c>
      <c r="J26" s="58">
        <v>0.05</v>
      </c>
      <c r="K26" s="56">
        <f t="shared" si="10"/>
        <v>76421.873639999991</v>
      </c>
      <c r="L26" s="56">
        <f t="shared" si="11"/>
        <v>76400.525999999998</v>
      </c>
      <c r="M26" s="56">
        <f t="shared" si="7"/>
        <v>69629544.447609946</v>
      </c>
      <c r="N26" s="56">
        <v>68053.31</v>
      </c>
    </row>
    <row r="27" spans="1:14" ht="15" x14ac:dyDescent="0.25">
      <c r="A27" s="12">
        <v>43313</v>
      </c>
      <c r="B27"/>
      <c r="C27" s="56">
        <v>349137977</v>
      </c>
      <c r="D27" s="25">
        <v>717230</v>
      </c>
      <c r="E27" s="25">
        <v>1157544.21</v>
      </c>
      <c r="F27" s="25">
        <v>2245240.52</v>
      </c>
      <c r="G27" s="56">
        <f t="shared" si="12"/>
        <v>440314.20999999996</v>
      </c>
      <c r="H27" s="56">
        <f t="shared" si="13"/>
        <v>1528010.52</v>
      </c>
      <c r="I27" s="58">
        <v>0.21</v>
      </c>
      <c r="J27" s="58">
        <v>0.05</v>
      </c>
      <c r="K27" s="56">
        <f t="shared" si="10"/>
        <v>76421.873639999991</v>
      </c>
      <c r="L27" s="56">
        <f t="shared" si="11"/>
        <v>76400.525999999998</v>
      </c>
      <c r="M27" s="56">
        <f t="shared" si="7"/>
        <v>69782366.84724994</v>
      </c>
      <c r="N27" s="56">
        <v>67758.710000000006</v>
      </c>
    </row>
    <row r="28" spans="1:14" ht="15" x14ac:dyDescent="0.25">
      <c r="A28" s="10">
        <v>43352</v>
      </c>
      <c r="B28"/>
      <c r="C28" s="56">
        <v>353127751</v>
      </c>
      <c r="D28" s="25">
        <v>720780</v>
      </c>
      <c r="E28" s="25">
        <f>1675903.19-348739.99-2</f>
        <v>1327161.2</v>
      </c>
      <c r="F28" s="25">
        <v>2284514.87</v>
      </c>
      <c r="G28" s="56">
        <f>E28-D28</f>
        <v>606381.19999999995</v>
      </c>
      <c r="H28" s="56">
        <f>F28-D28</f>
        <v>1563734.87</v>
      </c>
      <c r="I28" s="58">
        <v>0.21</v>
      </c>
      <c r="J28" s="58">
        <v>0.05</v>
      </c>
      <c r="K28" s="56">
        <f t="shared" si="10"/>
        <v>110920.83586499997</v>
      </c>
      <c r="L28" s="56">
        <f t="shared" si="11"/>
        <v>78186.743500000011</v>
      </c>
      <c r="M28" s="56">
        <f t="shared" si="7"/>
        <v>69971474.42661494</v>
      </c>
      <c r="N28" s="56">
        <f>21123.82+17059.52+3027.01+2220.41</f>
        <v>43430.759999999995</v>
      </c>
    </row>
    <row r="29" spans="1:14" ht="15" x14ac:dyDescent="0.25">
      <c r="A29" s="12">
        <v>43374</v>
      </c>
      <c r="B29"/>
      <c r="C29" s="56">
        <v>353127751</v>
      </c>
      <c r="D29" s="25">
        <v>724329</v>
      </c>
      <c r="E29" s="25">
        <f>1675903.19+116247.99</f>
        <v>1792151.18</v>
      </c>
      <c r="F29" s="25">
        <v>2284514.87</v>
      </c>
      <c r="G29" s="56">
        <f t="shared" ref="G29:G33" si="14">E29-D29</f>
        <v>1067822.18</v>
      </c>
      <c r="H29" s="56">
        <f t="shared" ref="H29:H33" si="15">F29-D29</f>
        <v>1560185.87</v>
      </c>
      <c r="I29" s="58">
        <v>0.21</v>
      </c>
      <c r="J29" s="58">
        <v>0.05</v>
      </c>
      <c r="K29" s="56">
        <f t="shared" si="10"/>
        <v>207860.70616499998</v>
      </c>
      <c r="L29" s="56">
        <f t="shared" si="11"/>
        <v>78009.293500000014</v>
      </c>
      <c r="M29" s="56">
        <f t="shared" si="7"/>
        <v>70257344.426279947</v>
      </c>
      <c r="N29" s="56">
        <v>43226</v>
      </c>
    </row>
    <row r="30" spans="1:14" ht="15" x14ac:dyDescent="0.25">
      <c r="A30" s="12">
        <v>43405</v>
      </c>
      <c r="B30"/>
      <c r="C30" s="56">
        <v>353127751</v>
      </c>
      <c r="D30" s="25">
        <v>724329</v>
      </c>
      <c r="E30" s="25">
        <f>1675903.19+116247.99-4-1</f>
        <v>1792146.18</v>
      </c>
      <c r="F30" s="25">
        <v>2284514.87</v>
      </c>
      <c r="G30" s="56">
        <f t="shared" si="14"/>
        <v>1067817.18</v>
      </c>
      <c r="H30" s="56">
        <f t="shared" si="15"/>
        <v>1560185.87</v>
      </c>
      <c r="I30" s="58">
        <v>0.21</v>
      </c>
      <c r="J30" s="58">
        <v>0.05</v>
      </c>
      <c r="K30" s="56">
        <f t="shared" si="10"/>
        <v>207859.65616499996</v>
      </c>
      <c r="L30" s="56">
        <f t="shared" si="11"/>
        <v>78009.293500000014</v>
      </c>
      <c r="M30" s="56">
        <f t="shared" si="7"/>
        <v>70543213.375944957</v>
      </c>
      <c r="N30" s="56">
        <v>43021</v>
      </c>
    </row>
    <row r="31" spans="1:14" ht="15" x14ac:dyDescent="0.25">
      <c r="A31" s="12">
        <v>43435</v>
      </c>
      <c r="B31"/>
      <c r="C31" s="56">
        <v>353127751</v>
      </c>
      <c r="D31" s="25">
        <v>724329</v>
      </c>
      <c r="E31" s="25">
        <f>1675903.19+116247.99-2</f>
        <v>1792149.18</v>
      </c>
      <c r="F31" s="25">
        <v>2284514.87</v>
      </c>
      <c r="G31" s="56">
        <f t="shared" si="14"/>
        <v>1067820.18</v>
      </c>
      <c r="H31" s="56">
        <f t="shared" si="15"/>
        <v>1560185.87</v>
      </c>
      <c r="I31" s="58">
        <v>0.21</v>
      </c>
      <c r="J31" s="58">
        <v>0.05</v>
      </c>
      <c r="K31" s="56">
        <f t="shared" si="10"/>
        <v>207860.28616499997</v>
      </c>
      <c r="L31" s="56">
        <f t="shared" si="11"/>
        <v>78009.293500000014</v>
      </c>
      <c r="M31" s="56">
        <f t="shared" si="7"/>
        <v>70829082.955609962</v>
      </c>
      <c r="N31" s="56">
        <v>42818</v>
      </c>
    </row>
    <row r="32" spans="1:14" ht="15" x14ac:dyDescent="0.25">
      <c r="A32" s="12">
        <v>43466</v>
      </c>
      <c r="B32"/>
      <c r="C32" s="56">
        <v>354379709</v>
      </c>
      <c r="D32" s="25">
        <v>725685</v>
      </c>
      <c r="E32" s="25">
        <f>981014.61-1474.73</f>
        <v>979539.88</v>
      </c>
      <c r="F32" s="25">
        <v>1893906.17</v>
      </c>
      <c r="G32" s="56">
        <f t="shared" si="14"/>
        <v>253854.88</v>
      </c>
      <c r="H32" s="56">
        <f t="shared" si="15"/>
        <v>1168221.17</v>
      </c>
      <c r="I32" s="58">
        <v>0.21</v>
      </c>
      <c r="J32" s="58">
        <v>0.05</v>
      </c>
      <c r="K32" s="56">
        <f t="shared" si="10"/>
        <v>41043.202514999997</v>
      </c>
      <c r="L32" s="56">
        <f t="shared" si="11"/>
        <v>58411.058499999999</v>
      </c>
      <c r="M32" s="56">
        <f t="shared" si="7"/>
        <v>70928537.216624975</v>
      </c>
      <c r="N32" s="56">
        <v>42612</v>
      </c>
    </row>
    <row r="33" spans="1:14" ht="15" x14ac:dyDescent="0.25">
      <c r="A33" s="12">
        <v>43497</v>
      </c>
      <c r="B33"/>
      <c r="C33" s="56">
        <v>354379709</v>
      </c>
      <c r="D33" s="25">
        <v>727041</v>
      </c>
      <c r="E33" s="25">
        <f>981014.61+130.33</f>
        <v>981144.94</v>
      </c>
      <c r="F33" s="25">
        <f>1893906.17</f>
        <v>1893906.17</v>
      </c>
      <c r="G33" s="56">
        <f t="shared" si="14"/>
        <v>254103.93999999994</v>
      </c>
      <c r="H33" s="56">
        <f t="shared" si="15"/>
        <v>1166865.17</v>
      </c>
      <c r="I33" s="58">
        <v>0.21</v>
      </c>
      <c r="J33" s="58">
        <v>0.05</v>
      </c>
      <c r="K33" s="56">
        <f t="shared" si="10"/>
        <v>41109.74311499999</v>
      </c>
      <c r="L33" s="56">
        <f t="shared" si="11"/>
        <v>58343.258499999996</v>
      </c>
      <c r="M33" s="56">
        <f t="shared" si="7"/>
        <v>71027990.218239963</v>
      </c>
      <c r="N33" s="56">
        <v>371592</v>
      </c>
    </row>
    <row r="34" spans="1:14" x14ac:dyDescent="0.2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x14ac:dyDescent="0.2">
      <c r="C35" s="40" t="s">
        <v>42</v>
      </c>
      <c r="D35" s="61"/>
      <c r="E35" s="61"/>
      <c r="F35" s="61"/>
      <c r="G35" s="61"/>
      <c r="H35" s="61"/>
      <c r="I35" s="61"/>
      <c r="J35" s="61"/>
      <c r="K35" s="61"/>
      <c r="L35" s="31"/>
      <c r="M35" s="31"/>
      <c r="N35" s="31"/>
    </row>
    <row r="36" spans="1:14" x14ac:dyDescent="0.2">
      <c r="C36" s="40" t="s">
        <v>21</v>
      </c>
      <c r="D36" s="61"/>
      <c r="E36" s="61"/>
      <c r="F36" s="61"/>
      <c r="G36" s="61"/>
      <c r="H36" s="61"/>
      <c r="I36" s="61"/>
      <c r="J36" s="61"/>
      <c r="K36" s="61"/>
      <c r="L36" s="31"/>
      <c r="M36" s="31"/>
      <c r="N36" s="31"/>
    </row>
    <row r="37" spans="1:14" x14ac:dyDescent="0.2">
      <c r="C37" s="40" t="s">
        <v>58</v>
      </c>
      <c r="D37" s="61"/>
      <c r="E37" s="61"/>
      <c r="F37" s="61"/>
      <c r="G37" s="61"/>
      <c r="H37" s="61"/>
      <c r="I37" s="61"/>
      <c r="J37" s="61"/>
      <c r="K37" s="61"/>
      <c r="L37" s="31"/>
      <c r="M37" s="31"/>
      <c r="N37" s="31"/>
    </row>
    <row r="38" spans="1:14" x14ac:dyDescent="0.2">
      <c r="C38" s="59" t="s">
        <v>22</v>
      </c>
      <c r="D38" s="61"/>
      <c r="E38" s="61"/>
      <c r="F38" s="61"/>
      <c r="G38" s="61"/>
      <c r="H38" s="61"/>
      <c r="I38" s="61"/>
      <c r="J38" s="61"/>
      <c r="K38" s="61"/>
      <c r="L38" s="31"/>
      <c r="M38" s="31"/>
      <c r="N38" s="31"/>
    </row>
    <row r="39" spans="1:14" x14ac:dyDescent="0.2">
      <c r="C39" s="61"/>
      <c r="D39" s="61"/>
      <c r="E39" s="61"/>
      <c r="F39" s="61"/>
      <c r="G39" s="61"/>
      <c r="H39" s="61"/>
      <c r="I39" s="61"/>
      <c r="J39" s="61"/>
      <c r="K39" s="61"/>
      <c r="L39" s="31"/>
      <c r="M39" s="31"/>
      <c r="N39" s="31"/>
    </row>
    <row r="40" spans="1:14" x14ac:dyDescent="0.2">
      <c r="C40" s="59" t="s">
        <v>23</v>
      </c>
      <c r="D40" s="28" t="s">
        <v>24</v>
      </c>
      <c r="E40" s="27" t="s">
        <v>25</v>
      </c>
      <c r="F40" s="59" t="s">
        <v>26</v>
      </c>
      <c r="G40" s="60" t="s">
        <v>12</v>
      </c>
      <c r="H40" s="59" t="s">
        <v>27</v>
      </c>
      <c r="I40" s="61"/>
      <c r="J40" s="61"/>
      <c r="K40" s="61"/>
      <c r="L40" s="31"/>
      <c r="M40" s="31"/>
      <c r="N40" s="31"/>
    </row>
    <row r="41" spans="1:14" x14ac:dyDescent="0.2">
      <c r="C41" s="25">
        <v>17068.5</v>
      </c>
      <c r="D41" s="25">
        <v>727041</v>
      </c>
      <c r="E41" s="25">
        <v>0</v>
      </c>
      <c r="F41" s="64">
        <f>E41-D41</f>
        <v>-727041</v>
      </c>
      <c r="G41" s="58">
        <v>0.21</v>
      </c>
      <c r="H41" s="64">
        <f>F41*G41</f>
        <v>-152678.60999999999</v>
      </c>
      <c r="I41" s="61"/>
      <c r="J41" s="61"/>
      <c r="K41" s="61"/>
      <c r="L41" s="31"/>
      <c r="M41" s="31"/>
      <c r="N41" s="31"/>
    </row>
    <row r="42" spans="1:14" x14ac:dyDescent="0.2">
      <c r="C42" s="25">
        <v>863123.25</v>
      </c>
      <c r="D42" s="61"/>
      <c r="E42" s="25">
        <v>3516</v>
      </c>
      <c r="F42" s="64">
        <f>E42</f>
        <v>3516</v>
      </c>
      <c r="G42" s="58">
        <v>0.21</v>
      </c>
      <c r="H42" s="64">
        <f t="shared" ref="H42:H73" si="16">F42*G42</f>
        <v>738.36</v>
      </c>
      <c r="I42" s="61"/>
      <c r="J42" s="61"/>
      <c r="K42" s="61"/>
      <c r="L42" s="31"/>
      <c r="M42" s="31"/>
      <c r="N42" s="31"/>
    </row>
    <row r="43" spans="1:14" x14ac:dyDescent="0.2">
      <c r="C43" s="25">
        <v>172624.8</v>
      </c>
      <c r="D43" s="61"/>
      <c r="E43" s="25">
        <v>0</v>
      </c>
      <c r="F43" s="64">
        <f t="shared" ref="F43:F73" si="17">E43</f>
        <v>0</v>
      </c>
      <c r="G43" s="58">
        <v>0.21</v>
      </c>
      <c r="H43" s="64">
        <f t="shared" si="16"/>
        <v>0</v>
      </c>
      <c r="I43" s="61"/>
      <c r="J43" s="61"/>
      <c r="K43" s="61"/>
      <c r="L43" s="31"/>
      <c r="M43" s="31"/>
      <c r="N43" s="31"/>
    </row>
    <row r="44" spans="1:14" x14ac:dyDescent="0.2">
      <c r="C44" s="25">
        <v>115083.20000000001</v>
      </c>
      <c r="D44" s="61"/>
      <c r="E44" s="25">
        <v>469</v>
      </c>
      <c r="F44" s="64">
        <f t="shared" si="17"/>
        <v>469</v>
      </c>
      <c r="G44" s="58">
        <v>0.21</v>
      </c>
      <c r="H44" s="64">
        <f t="shared" si="16"/>
        <v>98.49</v>
      </c>
      <c r="I44" s="61"/>
      <c r="J44" s="61"/>
      <c r="K44" s="61"/>
      <c r="L44" s="31"/>
      <c r="M44" s="31"/>
      <c r="N44" s="31"/>
    </row>
    <row r="45" spans="1:14" x14ac:dyDescent="0.2">
      <c r="C45" s="25">
        <v>10406297</v>
      </c>
      <c r="D45" s="61"/>
      <c r="E45" s="25">
        <v>0</v>
      </c>
      <c r="F45" s="64">
        <f t="shared" si="17"/>
        <v>0</v>
      </c>
      <c r="G45" s="58">
        <v>0.21</v>
      </c>
      <c r="H45" s="64">
        <f t="shared" si="16"/>
        <v>0</v>
      </c>
      <c r="I45" s="61"/>
      <c r="J45" s="61"/>
      <c r="K45" s="61"/>
      <c r="L45" s="31"/>
      <c r="M45" s="31"/>
      <c r="N45" s="31"/>
    </row>
    <row r="46" spans="1:14" x14ac:dyDescent="0.2">
      <c r="C46" s="25">
        <v>16958769.375</v>
      </c>
      <c r="D46" s="61"/>
      <c r="E46" s="25">
        <v>74689</v>
      </c>
      <c r="F46" s="64">
        <f t="shared" si="17"/>
        <v>74689</v>
      </c>
      <c r="G46" s="58">
        <v>0.21</v>
      </c>
      <c r="H46" s="64">
        <f t="shared" si="16"/>
        <v>15684.689999999999</v>
      </c>
      <c r="I46" s="61"/>
      <c r="J46" s="61"/>
      <c r="K46" s="61"/>
      <c r="L46" s="31"/>
      <c r="M46" s="31"/>
      <c r="N46" s="31"/>
    </row>
    <row r="47" spans="1:14" x14ac:dyDescent="0.2">
      <c r="C47" s="25">
        <v>3391753.8750000005</v>
      </c>
      <c r="D47" s="61"/>
      <c r="E47" s="25">
        <v>23554</v>
      </c>
      <c r="F47" s="64">
        <f t="shared" si="17"/>
        <v>23554</v>
      </c>
      <c r="G47" s="58">
        <v>0.21</v>
      </c>
      <c r="H47" s="64">
        <f t="shared" si="16"/>
        <v>4946.34</v>
      </c>
      <c r="I47" s="61"/>
      <c r="J47" s="61"/>
      <c r="K47" s="61"/>
      <c r="L47" s="31"/>
      <c r="M47" s="31"/>
      <c r="N47" s="31"/>
    </row>
    <row r="48" spans="1:14" x14ac:dyDescent="0.2">
      <c r="C48" s="25">
        <v>2261169.2500000005</v>
      </c>
      <c r="D48" s="61"/>
      <c r="E48" s="25">
        <v>9959</v>
      </c>
      <c r="F48" s="64">
        <f t="shared" si="17"/>
        <v>9959</v>
      </c>
      <c r="G48" s="58">
        <v>0.21</v>
      </c>
      <c r="H48" s="64">
        <f t="shared" si="16"/>
        <v>2091.39</v>
      </c>
      <c r="I48" s="61"/>
      <c r="J48" s="61"/>
      <c r="K48" s="61"/>
      <c r="L48" s="31"/>
      <c r="M48" s="31"/>
      <c r="N48" s="31"/>
    </row>
    <row r="49" spans="3:14" x14ac:dyDescent="0.2">
      <c r="C49" s="25">
        <v>96326943.479999989</v>
      </c>
      <c r="D49" s="61"/>
      <c r="E49" s="25">
        <v>424240</v>
      </c>
      <c r="F49" s="64">
        <f t="shared" si="17"/>
        <v>424240</v>
      </c>
      <c r="G49" s="58">
        <v>0.21</v>
      </c>
      <c r="H49" s="64">
        <f t="shared" si="16"/>
        <v>89090.4</v>
      </c>
      <c r="I49" s="61"/>
      <c r="J49" s="61"/>
      <c r="K49" s="61"/>
      <c r="L49" s="31"/>
      <c r="M49" s="31"/>
      <c r="N49" s="31"/>
    </row>
    <row r="50" spans="3:14" x14ac:dyDescent="0.2">
      <c r="C50" s="25">
        <v>18955938.995999999</v>
      </c>
      <c r="D50" s="61"/>
      <c r="E50" s="25">
        <v>210622</v>
      </c>
      <c r="F50" s="64">
        <f t="shared" si="17"/>
        <v>210622</v>
      </c>
      <c r="G50" s="58">
        <v>0.21</v>
      </c>
      <c r="H50" s="64">
        <f t="shared" si="16"/>
        <v>44230.619999999995</v>
      </c>
      <c r="I50" s="61"/>
      <c r="J50" s="61"/>
      <c r="K50" s="61"/>
      <c r="L50" s="31"/>
      <c r="M50" s="31"/>
      <c r="N50" s="31"/>
    </row>
    <row r="51" spans="3:14" x14ac:dyDescent="0.2">
      <c r="C51" s="25">
        <v>12637292.664000001</v>
      </c>
      <c r="D51" s="61"/>
      <c r="E51" s="25">
        <v>55657</v>
      </c>
      <c r="F51" s="64">
        <f t="shared" si="17"/>
        <v>55657</v>
      </c>
      <c r="G51" s="58">
        <v>0.21</v>
      </c>
      <c r="H51" s="64">
        <f t="shared" si="16"/>
        <v>11687.97</v>
      </c>
      <c r="I51" s="61"/>
      <c r="J51" s="61"/>
      <c r="K51" s="61"/>
      <c r="L51" s="31"/>
      <c r="M51" s="31"/>
      <c r="N51" s="31"/>
    </row>
    <row r="52" spans="3:14" x14ac:dyDescent="0.2">
      <c r="C52" s="25">
        <v>2579539.44</v>
      </c>
      <c r="D52" s="61"/>
      <c r="E52" s="25">
        <v>12281</v>
      </c>
      <c r="F52" s="64">
        <f t="shared" si="17"/>
        <v>12281</v>
      </c>
      <c r="G52" s="58">
        <v>0.21</v>
      </c>
      <c r="H52" s="64">
        <f t="shared" si="16"/>
        <v>2579.0099999999998</v>
      </c>
      <c r="I52" s="61"/>
      <c r="J52" s="61"/>
      <c r="K52" s="61"/>
      <c r="L52" s="31"/>
      <c r="M52" s="31"/>
      <c r="N52" s="31"/>
    </row>
    <row r="53" spans="3:14" x14ac:dyDescent="0.2">
      <c r="C53" s="25">
        <v>515907.88799999998</v>
      </c>
      <c r="D53" s="61"/>
      <c r="E53" s="25">
        <v>8598</v>
      </c>
      <c r="F53" s="64">
        <f t="shared" si="17"/>
        <v>8598</v>
      </c>
      <c r="G53" s="58">
        <v>0.21</v>
      </c>
      <c r="H53" s="64">
        <f t="shared" si="16"/>
        <v>1805.58</v>
      </c>
      <c r="I53" s="61"/>
      <c r="J53" s="61"/>
      <c r="K53" s="61"/>
      <c r="L53" s="31"/>
      <c r="M53" s="31"/>
      <c r="N53" s="31"/>
    </row>
    <row r="54" spans="3:14" x14ac:dyDescent="0.2">
      <c r="C54" s="25">
        <v>343938.592</v>
      </c>
      <c r="D54" s="61"/>
      <c r="E54" s="25">
        <v>1637</v>
      </c>
      <c r="F54" s="64">
        <f t="shared" si="17"/>
        <v>1637</v>
      </c>
      <c r="G54" s="58">
        <v>0.21</v>
      </c>
      <c r="H54" s="64">
        <f t="shared" si="16"/>
        <v>343.77</v>
      </c>
      <c r="I54" s="61"/>
      <c r="J54" s="61"/>
      <c r="K54" s="61"/>
      <c r="L54" s="31"/>
      <c r="M54" s="31"/>
      <c r="N54" s="31"/>
    </row>
    <row r="55" spans="3:14" x14ac:dyDescent="0.2">
      <c r="C55" s="25">
        <v>3753722.94</v>
      </c>
      <c r="D55" s="61"/>
      <c r="E55" s="25">
        <v>19322</v>
      </c>
      <c r="F55" s="64">
        <f t="shared" si="17"/>
        <v>19322</v>
      </c>
      <c r="G55" s="58">
        <v>0.21</v>
      </c>
      <c r="H55" s="64">
        <f t="shared" si="16"/>
        <v>4057.62</v>
      </c>
      <c r="I55" s="61"/>
      <c r="J55" s="61"/>
      <c r="K55" s="61"/>
      <c r="L55" s="31"/>
      <c r="M55" s="31"/>
      <c r="N55" s="31"/>
    </row>
    <row r="56" spans="3:14" x14ac:dyDescent="0.2">
      <c r="C56" s="25">
        <v>750744.58799999999</v>
      </c>
      <c r="D56" s="61"/>
      <c r="E56" s="25">
        <v>12512.409799999999</v>
      </c>
      <c r="F56" s="64">
        <f t="shared" si="17"/>
        <v>12512.409799999999</v>
      </c>
      <c r="G56" s="58">
        <v>0.21</v>
      </c>
      <c r="H56" s="64">
        <f t="shared" si="16"/>
        <v>2627.6060579999998</v>
      </c>
      <c r="I56" s="61"/>
      <c r="J56" s="61"/>
      <c r="K56" s="61"/>
      <c r="L56" s="31"/>
      <c r="M56" s="31"/>
      <c r="N56" s="31"/>
    </row>
    <row r="57" spans="3:14" x14ac:dyDescent="0.2">
      <c r="C57" s="25">
        <v>500496.39199999999</v>
      </c>
      <c r="D57" s="61"/>
      <c r="E57" s="25">
        <v>2576</v>
      </c>
      <c r="F57" s="64">
        <f t="shared" si="17"/>
        <v>2576</v>
      </c>
      <c r="G57" s="58">
        <v>0.21</v>
      </c>
      <c r="H57" s="64">
        <f t="shared" si="16"/>
        <v>540.96</v>
      </c>
      <c r="I57" s="61"/>
      <c r="J57" s="61"/>
      <c r="K57" s="61"/>
      <c r="L57" s="31"/>
      <c r="M57" s="31"/>
      <c r="N57" s="31"/>
    </row>
    <row r="58" spans="3:14" x14ac:dyDescent="0.2">
      <c r="C58" s="25">
        <v>-21906.708749999998</v>
      </c>
      <c r="D58" s="61"/>
      <c r="E58" s="25">
        <v>-113</v>
      </c>
      <c r="F58" s="64">
        <f t="shared" si="17"/>
        <v>-113</v>
      </c>
      <c r="G58" s="58">
        <v>0.21</v>
      </c>
      <c r="H58" s="64">
        <f t="shared" si="16"/>
        <v>-23.73</v>
      </c>
      <c r="I58" s="61"/>
      <c r="J58" s="61"/>
      <c r="K58" s="61"/>
      <c r="L58" s="31"/>
      <c r="M58" s="31"/>
      <c r="N58" s="31"/>
    </row>
    <row r="59" spans="3:14" x14ac:dyDescent="0.2">
      <c r="C59" s="25">
        <v>-4381.3417499999996</v>
      </c>
      <c r="D59" s="61"/>
      <c r="E59" s="25">
        <v>-73</v>
      </c>
      <c r="F59" s="64">
        <f t="shared" si="17"/>
        <v>-73</v>
      </c>
      <c r="G59" s="58">
        <v>0.21</v>
      </c>
      <c r="H59" s="64">
        <f t="shared" si="16"/>
        <v>-15.33</v>
      </c>
      <c r="I59" s="61"/>
      <c r="J59" s="61"/>
      <c r="K59" s="61"/>
      <c r="L59" s="31"/>
      <c r="M59" s="31"/>
      <c r="N59" s="31"/>
    </row>
    <row r="60" spans="3:14" x14ac:dyDescent="0.2">
      <c r="C60" s="25">
        <v>-2920.8945000000003</v>
      </c>
      <c r="D60" s="61"/>
      <c r="E60" s="25">
        <v>-15</v>
      </c>
      <c r="F60" s="64">
        <f t="shared" si="17"/>
        <v>-15</v>
      </c>
      <c r="G60" s="58">
        <v>0.21</v>
      </c>
      <c r="H60" s="64">
        <f t="shared" si="16"/>
        <v>-3.15</v>
      </c>
      <c r="I60" s="61"/>
      <c r="J60" s="61"/>
      <c r="K60" s="61"/>
      <c r="L60" s="31"/>
      <c r="M60" s="31"/>
      <c r="N60" s="31"/>
    </row>
    <row r="61" spans="3:14" x14ac:dyDescent="0.2">
      <c r="C61" s="25">
        <v>29295.040000000001</v>
      </c>
      <c r="D61" s="61"/>
      <c r="E61" s="25">
        <v>151</v>
      </c>
      <c r="F61" s="64">
        <f t="shared" si="17"/>
        <v>151</v>
      </c>
      <c r="G61" s="58">
        <v>0.21</v>
      </c>
      <c r="H61" s="64">
        <f t="shared" si="16"/>
        <v>31.709999999999997</v>
      </c>
      <c r="I61" s="61"/>
      <c r="J61" s="61"/>
      <c r="K61" s="61"/>
      <c r="L61" s="31"/>
      <c r="M61" s="31"/>
      <c r="N61" s="31"/>
    </row>
    <row r="62" spans="3:14" x14ac:dyDescent="0.2">
      <c r="C62" s="25">
        <v>15.78</v>
      </c>
      <c r="D62" s="61"/>
      <c r="E62" s="25">
        <v>5.3795454545454542E-2</v>
      </c>
      <c r="F62" s="64">
        <f t="shared" si="17"/>
        <v>5.3795454545454542E-2</v>
      </c>
      <c r="G62" s="58">
        <v>0.21</v>
      </c>
      <c r="H62" s="64">
        <f t="shared" si="16"/>
        <v>1.1297045454545454E-2</v>
      </c>
      <c r="I62" s="61"/>
      <c r="J62" s="61"/>
      <c r="K62" s="61"/>
      <c r="L62" s="31"/>
      <c r="M62" s="31"/>
      <c r="N62" s="31"/>
    </row>
    <row r="63" spans="3:14" x14ac:dyDescent="0.2">
      <c r="C63" s="25">
        <v>3.1559999999999997</v>
      </c>
      <c r="D63" s="61"/>
      <c r="E63" s="25">
        <v>5.2600000000000001E-2</v>
      </c>
      <c r="F63" s="64">
        <f t="shared" si="17"/>
        <v>5.2600000000000001E-2</v>
      </c>
      <c r="G63" s="58">
        <v>0.21</v>
      </c>
      <c r="H63" s="64">
        <f t="shared" si="16"/>
        <v>1.1046E-2</v>
      </c>
      <c r="I63" s="61"/>
      <c r="J63" s="61"/>
      <c r="K63" s="61"/>
      <c r="L63" s="31"/>
      <c r="M63" s="31"/>
      <c r="N63" s="31"/>
    </row>
    <row r="64" spans="3:14" x14ac:dyDescent="0.2">
      <c r="C64" s="25">
        <v>2.1040000000000001</v>
      </c>
      <c r="D64" s="61"/>
      <c r="E64" s="25">
        <v>7.1727272727272725E-3</v>
      </c>
      <c r="F64" s="43">
        <f t="shared" si="17"/>
        <v>7.1727272727272725E-3</v>
      </c>
      <c r="G64" s="58">
        <v>0.21</v>
      </c>
      <c r="H64" s="43">
        <f t="shared" si="16"/>
        <v>1.5062727272727272E-3</v>
      </c>
      <c r="I64" s="61"/>
      <c r="J64" s="61"/>
      <c r="K64" s="61"/>
      <c r="L64" s="31"/>
      <c r="M64" s="31"/>
      <c r="N64" s="31"/>
    </row>
    <row r="65" spans="3:14" x14ac:dyDescent="0.2">
      <c r="C65" s="25">
        <v>-7367</v>
      </c>
      <c r="D65" s="61"/>
      <c r="E65" s="25">
        <v>0</v>
      </c>
      <c r="F65" s="43">
        <f t="shared" si="17"/>
        <v>0</v>
      </c>
      <c r="G65" s="58">
        <v>0.21</v>
      </c>
      <c r="H65" s="43">
        <f t="shared" si="16"/>
        <v>0</v>
      </c>
      <c r="I65" s="61"/>
      <c r="J65" s="61"/>
      <c r="K65" s="61"/>
      <c r="L65" s="31"/>
      <c r="M65" s="31"/>
      <c r="N65" s="31"/>
    </row>
    <row r="66" spans="3:14" x14ac:dyDescent="0.2">
      <c r="C66" s="25">
        <v>19484</v>
      </c>
      <c r="D66" s="61"/>
      <c r="E66" s="25">
        <v>108</v>
      </c>
      <c r="F66" s="43">
        <f t="shared" si="17"/>
        <v>108</v>
      </c>
      <c r="G66" s="58">
        <v>0.21</v>
      </c>
      <c r="H66" s="43">
        <f t="shared" si="16"/>
        <v>22.68</v>
      </c>
      <c r="I66" s="61"/>
      <c r="J66" s="61"/>
      <c r="K66" s="61"/>
      <c r="L66" s="31"/>
      <c r="M66" s="31"/>
      <c r="N66" s="31"/>
    </row>
    <row r="67" spans="3:14" x14ac:dyDescent="0.2">
      <c r="C67" s="25">
        <v>10604784</v>
      </c>
      <c r="D67" s="61"/>
      <c r="E67" s="25">
        <v>59007</v>
      </c>
      <c r="F67" s="43">
        <f t="shared" si="17"/>
        <v>59007</v>
      </c>
      <c r="G67" s="58">
        <v>0.21</v>
      </c>
      <c r="H67" s="43">
        <f t="shared" si="16"/>
        <v>12391.47</v>
      </c>
      <c r="I67" s="61"/>
      <c r="J67" s="61"/>
      <c r="K67" s="61"/>
      <c r="L67" s="31"/>
      <c r="M67" s="31"/>
      <c r="N67" s="31"/>
    </row>
    <row r="68" spans="3:14" x14ac:dyDescent="0.2">
      <c r="C68" s="25">
        <v>2120957</v>
      </c>
      <c r="D68" s="61"/>
      <c r="E68" s="25">
        <v>35349</v>
      </c>
      <c r="F68" s="43">
        <f t="shared" si="17"/>
        <v>35349</v>
      </c>
      <c r="G68" s="58">
        <v>0.21</v>
      </c>
      <c r="H68" s="43">
        <f t="shared" si="16"/>
        <v>7423.29</v>
      </c>
      <c r="I68" s="61"/>
      <c r="J68" s="61"/>
      <c r="K68" s="61"/>
      <c r="L68" s="31"/>
      <c r="M68" s="31"/>
      <c r="N68" s="31"/>
    </row>
    <row r="69" spans="3:14" x14ac:dyDescent="0.2">
      <c r="C69" s="25">
        <v>1413971</v>
      </c>
      <c r="D69" s="47"/>
      <c r="E69" s="25">
        <v>7868</v>
      </c>
      <c r="F69" s="43">
        <f t="shared" si="17"/>
        <v>7868</v>
      </c>
      <c r="G69" s="49">
        <v>0.21</v>
      </c>
      <c r="H69" s="43">
        <f t="shared" si="16"/>
        <v>1652.28</v>
      </c>
      <c r="I69" s="61"/>
      <c r="J69" s="61"/>
      <c r="K69" s="61"/>
      <c r="L69" s="31"/>
      <c r="M69" s="31"/>
      <c r="N69" s="31"/>
    </row>
    <row r="70" spans="3:14" x14ac:dyDescent="0.2">
      <c r="C70" s="25">
        <v>1496165</v>
      </c>
      <c r="D70" s="47"/>
      <c r="E70" s="25">
        <v>9001</v>
      </c>
      <c r="F70" s="43">
        <f t="shared" si="17"/>
        <v>9001</v>
      </c>
      <c r="G70" s="49">
        <v>0.21</v>
      </c>
      <c r="H70" s="43">
        <f t="shared" si="16"/>
        <v>1890.21</v>
      </c>
      <c r="I70" s="61"/>
      <c r="J70" s="61"/>
      <c r="K70" s="61"/>
      <c r="L70" s="31"/>
      <c r="M70" s="31"/>
      <c r="N70" s="31"/>
    </row>
    <row r="71" spans="3:14" x14ac:dyDescent="0.2">
      <c r="C71" s="25">
        <v>299233</v>
      </c>
      <c r="D71" s="47"/>
      <c r="E71" s="25">
        <v>4987</v>
      </c>
      <c r="F71" s="43">
        <f t="shared" si="17"/>
        <v>4987</v>
      </c>
      <c r="G71" s="49">
        <v>0.21</v>
      </c>
      <c r="H71" s="43">
        <f t="shared" si="16"/>
        <v>1047.27</v>
      </c>
      <c r="I71" s="61"/>
      <c r="J71" s="61"/>
      <c r="K71" s="61"/>
      <c r="L71" s="31"/>
      <c r="M71" s="31"/>
      <c r="N71" s="31"/>
    </row>
    <row r="72" spans="3:14" x14ac:dyDescent="0.2">
      <c r="C72" s="25">
        <v>199489</v>
      </c>
      <c r="D72" s="47"/>
      <c r="E72" s="25">
        <v>1200</v>
      </c>
      <c r="F72" s="43">
        <f t="shared" si="17"/>
        <v>1200</v>
      </c>
      <c r="G72" s="49">
        <v>0.21</v>
      </c>
      <c r="H72" s="43">
        <f t="shared" si="16"/>
        <v>252</v>
      </c>
      <c r="I72" s="61"/>
      <c r="J72" s="61"/>
      <c r="K72" s="61"/>
      <c r="L72" s="31"/>
      <c r="M72" s="31"/>
      <c r="N72" s="31"/>
    </row>
    <row r="73" spans="3:14" ht="15" x14ac:dyDescent="0.35">
      <c r="C73" s="34">
        <v>1251958</v>
      </c>
      <c r="D73" s="47"/>
      <c r="E73" s="34">
        <f>3912+130</f>
        <v>4042</v>
      </c>
      <c r="F73" s="51">
        <f t="shared" si="17"/>
        <v>4042</v>
      </c>
      <c r="G73" s="49">
        <v>0.21</v>
      </c>
      <c r="H73" s="46">
        <f t="shared" si="16"/>
        <v>848.81999999999994</v>
      </c>
      <c r="I73" s="61"/>
      <c r="J73" s="61"/>
      <c r="K73" s="61"/>
      <c r="L73" s="31"/>
      <c r="M73" s="31"/>
      <c r="N73" s="31"/>
    </row>
    <row r="74" spans="3:14" x14ac:dyDescent="0.2">
      <c r="C74" s="64">
        <f>SUM(C41:C73)</f>
        <v>187949195.36499998</v>
      </c>
      <c r="D74" s="61"/>
      <c r="E74" s="64">
        <f>SUM(E41:E73)</f>
        <v>981144.52336818189</v>
      </c>
      <c r="F74" s="64">
        <f>SUM(F41:F73)</f>
        <v>254103.52336818181</v>
      </c>
      <c r="G74" s="47" t="s">
        <v>28</v>
      </c>
      <c r="H74" s="64">
        <f>SUM(H41:H73)</f>
        <v>53361.739907318151</v>
      </c>
      <c r="I74" s="61"/>
      <c r="J74" s="61"/>
      <c r="K74" s="61"/>
      <c r="L74" s="31"/>
      <c r="M74" s="31"/>
      <c r="N74" s="31"/>
    </row>
    <row r="75" spans="3:14" ht="15" x14ac:dyDescent="0.35">
      <c r="C75" s="61"/>
      <c r="D75" s="61"/>
      <c r="E75" s="61"/>
      <c r="F75" s="61"/>
      <c r="G75" s="47" t="s">
        <v>29</v>
      </c>
      <c r="H75" s="46">
        <f>-H112*0.21</f>
        <v>-12252.084686187498</v>
      </c>
      <c r="I75" s="61"/>
      <c r="J75" s="61"/>
      <c r="K75" s="61"/>
      <c r="L75" s="31"/>
      <c r="M75" s="31"/>
      <c r="N75" s="31"/>
    </row>
    <row r="76" spans="3:14" x14ac:dyDescent="0.2">
      <c r="C76" s="61"/>
      <c r="D76" s="61"/>
      <c r="E76" s="61"/>
      <c r="F76" s="61"/>
      <c r="G76" s="61"/>
      <c r="H76" s="64">
        <f>H74+H75</f>
        <v>41109.655221130655</v>
      </c>
      <c r="I76" s="61"/>
      <c r="J76" s="61"/>
      <c r="K76" s="61"/>
      <c r="L76" s="31"/>
      <c r="M76" s="31"/>
      <c r="N76" s="31"/>
    </row>
    <row r="77" spans="3:14" x14ac:dyDescent="0.2">
      <c r="C77" s="61"/>
      <c r="D77" s="61"/>
      <c r="E77" s="61"/>
      <c r="F77" s="61"/>
      <c r="G77" s="61"/>
      <c r="H77" s="64">
        <f>H76-K33</f>
        <v>-8.7893869334948249E-2</v>
      </c>
      <c r="I77" s="61"/>
      <c r="J77" s="61"/>
      <c r="K77" s="61"/>
      <c r="L77" s="31"/>
      <c r="M77" s="31"/>
      <c r="N77" s="31"/>
    </row>
    <row r="78" spans="3:14" x14ac:dyDescent="0.2">
      <c r="C78" s="59" t="s">
        <v>30</v>
      </c>
      <c r="D78" s="26" t="s">
        <v>24</v>
      </c>
      <c r="E78" s="27" t="s">
        <v>31</v>
      </c>
      <c r="F78" s="59" t="s">
        <v>32</v>
      </c>
      <c r="G78" s="60" t="s">
        <v>13</v>
      </c>
      <c r="H78" s="59" t="s">
        <v>33</v>
      </c>
      <c r="I78" s="61"/>
      <c r="J78" s="61"/>
      <c r="K78" s="61"/>
      <c r="L78" s="31"/>
      <c r="M78" s="31"/>
      <c r="N78" s="31"/>
    </row>
    <row r="79" spans="3:14" x14ac:dyDescent="0.2">
      <c r="C79" s="64">
        <v>34138</v>
      </c>
      <c r="D79" s="64">
        <f>D41</f>
        <v>727041</v>
      </c>
      <c r="E79" s="64">
        <v>0</v>
      </c>
      <c r="F79" s="64">
        <f>E79-D79</f>
        <v>-727041</v>
      </c>
      <c r="G79" s="58">
        <v>0.05</v>
      </c>
      <c r="H79" s="64">
        <f>F79*G79</f>
        <v>-36352.050000000003</v>
      </c>
      <c r="I79" s="61"/>
      <c r="J79" s="61"/>
      <c r="K79" s="61"/>
      <c r="L79" s="31"/>
      <c r="M79" s="31"/>
      <c r="N79" s="31"/>
    </row>
    <row r="80" spans="3:14" x14ac:dyDescent="0.2">
      <c r="C80" s="64">
        <v>1726246.5</v>
      </c>
      <c r="D80" s="61"/>
      <c r="E80" s="64">
        <v>7032</v>
      </c>
      <c r="F80" s="64">
        <f>E80</f>
        <v>7032</v>
      </c>
      <c r="G80" s="58">
        <v>0.05</v>
      </c>
      <c r="H80" s="64">
        <f t="shared" ref="H80:H111" si="18">F80*G80</f>
        <v>351.6</v>
      </c>
      <c r="I80" s="61"/>
      <c r="J80" s="61"/>
      <c r="K80" s="61"/>
      <c r="L80" s="31"/>
      <c r="M80" s="31"/>
      <c r="N80" s="31"/>
    </row>
    <row r="81" spans="3:14" x14ac:dyDescent="0.2">
      <c r="C81" s="64">
        <v>345249.3</v>
      </c>
      <c r="D81" s="61"/>
      <c r="E81" s="64">
        <v>0</v>
      </c>
      <c r="F81" s="64">
        <f t="shared" ref="F81:F111" si="19">E81</f>
        <v>0</v>
      </c>
      <c r="G81" s="58">
        <v>0.05</v>
      </c>
      <c r="H81" s="64">
        <f t="shared" si="18"/>
        <v>0</v>
      </c>
      <c r="I81" s="61"/>
      <c r="J81" s="61"/>
      <c r="K81" s="61"/>
      <c r="L81" s="31"/>
      <c r="M81" s="31"/>
      <c r="N81" s="31"/>
    </row>
    <row r="82" spans="3:14" x14ac:dyDescent="0.2">
      <c r="C82" s="64">
        <v>230166.2</v>
      </c>
      <c r="D82" s="61"/>
      <c r="E82" s="64">
        <v>938</v>
      </c>
      <c r="F82" s="64">
        <f t="shared" si="19"/>
        <v>938</v>
      </c>
      <c r="G82" s="58">
        <v>0.05</v>
      </c>
      <c r="H82" s="64">
        <f t="shared" si="18"/>
        <v>46.900000000000006</v>
      </c>
      <c r="I82" s="61"/>
      <c r="J82" s="61"/>
      <c r="K82" s="61"/>
      <c r="L82" s="31"/>
      <c r="M82" s="31"/>
      <c r="N82" s="31"/>
    </row>
    <row r="83" spans="3:14" x14ac:dyDescent="0.2">
      <c r="C83" s="64">
        <v>10406297</v>
      </c>
      <c r="D83" s="61"/>
      <c r="E83" s="64">
        <v>0</v>
      </c>
      <c r="F83" s="64">
        <f t="shared" si="19"/>
        <v>0</v>
      </c>
      <c r="G83" s="58">
        <v>0.05</v>
      </c>
      <c r="H83" s="64">
        <f t="shared" si="18"/>
        <v>0</v>
      </c>
      <c r="I83" s="61"/>
      <c r="J83" s="61"/>
      <c r="K83" s="61"/>
      <c r="L83" s="31"/>
      <c r="M83" s="31"/>
      <c r="N83" s="31"/>
    </row>
    <row r="84" spans="3:14" x14ac:dyDescent="0.2">
      <c r="C84" s="64">
        <v>32248976.25</v>
      </c>
      <c r="D84" s="61"/>
      <c r="E84" s="64">
        <v>142030</v>
      </c>
      <c r="F84" s="64">
        <f t="shared" si="19"/>
        <v>142030</v>
      </c>
      <c r="G84" s="58">
        <v>0.05</v>
      </c>
      <c r="H84" s="64">
        <f t="shared" si="18"/>
        <v>7101.5</v>
      </c>
      <c r="I84" s="61"/>
      <c r="J84" s="61"/>
      <c r="K84" s="61"/>
      <c r="L84" s="31"/>
      <c r="M84" s="31"/>
      <c r="N84" s="31"/>
    </row>
    <row r="85" spans="3:14" x14ac:dyDescent="0.2">
      <c r="C85" s="64">
        <v>6449795.25</v>
      </c>
      <c r="D85" s="61"/>
      <c r="E85" s="64">
        <v>44790</v>
      </c>
      <c r="F85" s="64">
        <f t="shared" si="19"/>
        <v>44790</v>
      </c>
      <c r="G85" s="58">
        <v>0.05</v>
      </c>
      <c r="H85" s="64">
        <f t="shared" si="18"/>
        <v>2239.5</v>
      </c>
      <c r="I85" s="61"/>
      <c r="J85" s="61"/>
      <c r="K85" s="61"/>
      <c r="L85" s="31"/>
      <c r="M85" s="31"/>
      <c r="N85" s="31"/>
    </row>
    <row r="86" spans="3:14" x14ac:dyDescent="0.2">
      <c r="C86" s="64">
        <v>4299863.5</v>
      </c>
      <c r="D86" s="61"/>
      <c r="E86" s="64">
        <v>18937</v>
      </c>
      <c r="F86" s="64">
        <f t="shared" si="19"/>
        <v>18937</v>
      </c>
      <c r="G86" s="58">
        <v>0.05</v>
      </c>
      <c r="H86" s="64">
        <f t="shared" si="18"/>
        <v>946.85</v>
      </c>
      <c r="I86" s="61"/>
      <c r="J86" s="61"/>
      <c r="K86" s="61"/>
      <c r="L86" s="31"/>
      <c r="M86" s="31"/>
      <c r="N86" s="31"/>
    </row>
    <row r="87" spans="3:14" x14ac:dyDescent="0.2">
      <c r="C87" s="64">
        <v>192267074.83500001</v>
      </c>
      <c r="D87" s="61"/>
      <c r="E87" s="64">
        <v>846776</v>
      </c>
      <c r="F87" s="64">
        <f t="shared" si="19"/>
        <v>846776</v>
      </c>
      <c r="G87" s="58">
        <v>0.05</v>
      </c>
      <c r="H87" s="64">
        <f t="shared" si="18"/>
        <v>42338.8</v>
      </c>
      <c r="I87" s="61"/>
      <c r="J87" s="61"/>
      <c r="K87" s="61"/>
      <c r="L87" s="31"/>
      <c r="M87" s="31"/>
      <c r="N87" s="31"/>
    </row>
    <row r="88" spans="3:14" x14ac:dyDescent="0.2">
      <c r="C88" s="64">
        <v>38143965.266999997</v>
      </c>
      <c r="D88" s="61"/>
      <c r="E88" s="64">
        <v>423822</v>
      </c>
      <c r="F88" s="64">
        <f t="shared" si="19"/>
        <v>423822</v>
      </c>
      <c r="G88" s="58">
        <v>0.05</v>
      </c>
      <c r="H88" s="64">
        <f t="shared" si="18"/>
        <v>21191.100000000002</v>
      </c>
      <c r="I88" s="61"/>
      <c r="J88" s="61"/>
      <c r="K88" s="61"/>
      <c r="L88" s="31"/>
      <c r="M88" s="31"/>
      <c r="N88" s="31"/>
    </row>
    <row r="89" spans="3:14" x14ac:dyDescent="0.2">
      <c r="C89" s="64">
        <v>25429310.178000003</v>
      </c>
      <c r="D89" s="61"/>
      <c r="E89" s="64">
        <v>111995</v>
      </c>
      <c r="F89" s="64">
        <f t="shared" si="19"/>
        <v>111995</v>
      </c>
      <c r="G89" s="58">
        <v>0.05</v>
      </c>
      <c r="H89" s="64">
        <f t="shared" si="18"/>
        <v>5599.75</v>
      </c>
      <c r="I89" s="61"/>
      <c r="J89" s="61"/>
      <c r="K89" s="61"/>
      <c r="L89" s="31"/>
      <c r="M89" s="31"/>
      <c r="N89" s="31"/>
    </row>
    <row r="90" spans="3:14" x14ac:dyDescent="0.2">
      <c r="C90" s="64">
        <v>5070051.5025000004</v>
      </c>
      <c r="D90" s="61"/>
      <c r="E90" s="64">
        <v>24138</v>
      </c>
      <c r="F90" s="64">
        <f t="shared" si="19"/>
        <v>24138</v>
      </c>
      <c r="G90" s="58">
        <v>0.05</v>
      </c>
      <c r="H90" s="64">
        <f t="shared" si="18"/>
        <v>1206.9000000000001</v>
      </c>
      <c r="I90" s="61"/>
      <c r="J90" s="61"/>
      <c r="K90" s="61"/>
      <c r="L90" s="31"/>
      <c r="M90" s="31"/>
      <c r="N90" s="31"/>
    </row>
    <row r="91" spans="3:14" x14ac:dyDescent="0.2">
      <c r="C91" s="64">
        <v>1014010.3005</v>
      </c>
      <c r="D91" s="61"/>
      <c r="E91" s="64">
        <v>16900</v>
      </c>
      <c r="F91" s="64">
        <f t="shared" si="19"/>
        <v>16900</v>
      </c>
      <c r="G91" s="58">
        <v>0.05</v>
      </c>
      <c r="H91" s="64">
        <f t="shared" si="18"/>
        <v>845</v>
      </c>
      <c r="I91" s="61"/>
      <c r="J91" s="61"/>
      <c r="K91" s="61"/>
      <c r="L91" s="31"/>
      <c r="M91" s="31"/>
      <c r="N91" s="31"/>
    </row>
    <row r="92" spans="3:14" x14ac:dyDescent="0.2">
      <c r="C92" s="64">
        <v>676006.86699999997</v>
      </c>
      <c r="D92" s="61"/>
      <c r="E92" s="64">
        <v>3218</v>
      </c>
      <c r="F92" s="64">
        <f t="shared" si="19"/>
        <v>3218</v>
      </c>
      <c r="G92" s="58">
        <v>0.05</v>
      </c>
      <c r="H92" s="64">
        <f t="shared" si="18"/>
        <v>160.9</v>
      </c>
      <c r="I92" s="61"/>
      <c r="J92" s="61"/>
      <c r="K92" s="61"/>
      <c r="L92" s="31"/>
      <c r="M92" s="31"/>
      <c r="N92" s="31"/>
    </row>
    <row r="93" spans="3:14" x14ac:dyDescent="0.2">
      <c r="C93" s="64">
        <v>7507445.8799999999</v>
      </c>
      <c r="D93" s="61"/>
      <c r="E93" s="64">
        <v>38645</v>
      </c>
      <c r="F93" s="64">
        <f t="shared" si="19"/>
        <v>38645</v>
      </c>
      <c r="G93" s="58">
        <v>0.05</v>
      </c>
      <c r="H93" s="64">
        <f t="shared" si="18"/>
        <v>1932.25</v>
      </c>
      <c r="I93" s="61"/>
      <c r="J93" s="61"/>
      <c r="K93" s="61"/>
      <c r="L93" s="31"/>
      <c r="M93" s="31"/>
      <c r="N93" s="31"/>
    </row>
    <row r="94" spans="3:14" x14ac:dyDescent="0.2">
      <c r="C94" s="64">
        <v>1501489.176</v>
      </c>
      <c r="D94" s="61"/>
      <c r="E94" s="64">
        <v>25025</v>
      </c>
      <c r="F94" s="64">
        <f t="shared" si="19"/>
        <v>25025</v>
      </c>
      <c r="G94" s="58">
        <v>0.05</v>
      </c>
      <c r="H94" s="64">
        <f t="shared" si="18"/>
        <v>1251.25</v>
      </c>
      <c r="I94" s="61"/>
      <c r="J94" s="61"/>
      <c r="K94" s="61"/>
      <c r="L94" s="31"/>
      <c r="M94" s="31"/>
      <c r="N94" s="31"/>
    </row>
    <row r="95" spans="3:14" x14ac:dyDescent="0.2">
      <c r="C95" s="64">
        <v>1000992.784</v>
      </c>
      <c r="D95" s="61"/>
      <c r="E95" s="64">
        <v>5153</v>
      </c>
      <c r="F95" s="64">
        <f t="shared" si="19"/>
        <v>5153</v>
      </c>
      <c r="G95" s="58">
        <v>0.05</v>
      </c>
      <c r="H95" s="64">
        <f t="shared" si="18"/>
        <v>257.65000000000003</v>
      </c>
      <c r="I95" s="61"/>
      <c r="J95" s="61"/>
      <c r="K95" s="61"/>
      <c r="L95" s="31"/>
      <c r="M95" s="31"/>
      <c r="N95" s="31"/>
    </row>
    <row r="96" spans="3:14" x14ac:dyDescent="0.2">
      <c r="C96" s="64">
        <v>-43813.417499999996</v>
      </c>
      <c r="D96" s="61"/>
      <c r="E96" s="64">
        <v>-226</v>
      </c>
      <c r="F96" s="64">
        <f t="shared" si="19"/>
        <v>-226</v>
      </c>
      <c r="G96" s="58">
        <v>0.05</v>
      </c>
      <c r="H96" s="64">
        <f t="shared" si="18"/>
        <v>-11.3</v>
      </c>
      <c r="I96" s="61"/>
      <c r="J96" s="61"/>
      <c r="K96" s="61"/>
      <c r="L96" s="31"/>
      <c r="M96" s="31"/>
      <c r="N96" s="31"/>
    </row>
    <row r="97" spans="3:14" x14ac:dyDescent="0.2">
      <c r="C97" s="64">
        <v>-8762.6834999999992</v>
      </c>
      <c r="D97" s="61"/>
      <c r="E97" s="64">
        <v>-146</v>
      </c>
      <c r="F97" s="64">
        <f t="shared" si="19"/>
        <v>-146</v>
      </c>
      <c r="G97" s="58">
        <v>0.05</v>
      </c>
      <c r="H97" s="64">
        <f t="shared" si="18"/>
        <v>-7.3000000000000007</v>
      </c>
      <c r="I97" s="61"/>
      <c r="J97" s="61"/>
      <c r="K97" s="61"/>
      <c r="L97" s="31"/>
      <c r="M97" s="31"/>
      <c r="N97" s="31"/>
    </row>
    <row r="98" spans="3:14" x14ac:dyDescent="0.2">
      <c r="C98" s="64">
        <v>-5841.7890000000007</v>
      </c>
      <c r="D98" s="61"/>
      <c r="E98" s="64">
        <v>-30</v>
      </c>
      <c r="F98" s="64">
        <f t="shared" si="19"/>
        <v>-30</v>
      </c>
      <c r="G98" s="58">
        <v>0.05</v>
      </c>
      <c r="H98" s="64">
        <f t="shared" si="18"/>
        <v>-1.5</v>
      </c>
      <c r="I98" s="61"/>
      <c r="J98" s="61"/>
      <c r="K98" s="61"/>
      <c r="L98" s="31"/>
      <c r="M98" s="31"/>
      <c r="N98" s="31"/>
    </row>
    <row r="99" spans="3:14" x14ac:dyDescent="0.2">
      <c r="C99" s="64">
        <v>58590.080000000002</v>
      </c>
      <c r="D99" s="61"/>
      <c r="E99" s="64">
        <v>302</v>
      </c>
      <c r="F99" s="64">
        <f t="shared" si="19"/>
        <v>302</v>
      </c>
      <c r="G99" s="58">
        <v>0.05</v>
      </c>
      <c r="H99" s="64">
        <f t="shared" si="18"/>
        <v>15.100000000000001</v>
      </c>
      <c r="I99" s="61"/>
      <c r="J99" s="61"/>
      <c r="K99" s="61"/>
      <c r="L99" s="31"/>
      <c r="M99" s="31"/>
      <c r="N99" s="31"/>
    </row>
    <row r="100" spans="3:14" x14ac:dyDescent="0.2">
      <c r="C100" s="64">
        <v>31.56</v>
      </c>
      <c r="D100" s="61"/>
      <c r="E100" s="64">
        <v>9.8625000000000004E-2</v>
      </c>
      <c r="F100" s="64">
        <f t="shared" si="19"/>
        <v>9.8625000000000004E-2</v>
      </c>
      <c r="G100" s="58">
        <v>0.05</v>
      </c>
      <c r="H100" s="64">
        <f t="shared" si="18"/>
        <v>4.9312500000000007E-3</v>
      </c>
      <c r="I100" s="61"/>
      <c r="J100" s="61"/>
      <c r="K100" s="61"/>
      <c r="L100" s="31"/>
      <c r="M100" s="31"/>
      <c r="N100" s="31"/>
    </row>
    <row r="101" spans="3:14" x14ac:dyDescent="0.2">
      <c r="C101" s="64">
        <v>6.3119999999999994</v>
      </c>
      <c r="D101" s="61"/>
      <c r="E101" s="64">
        <v>9.6433333333333329E-2</v>
      </c>
      <c r="F101" s="64">
        <f t="shared" si="19"/>
        <v>9.6433333333333329E-2</v>
      </c>
      <c r="G101" s="58">
        <v>0.05</v>
      </c>
      <c r="H101" s="64">
        <f t="shared" si="18"/>
        <v>4.8216666666666668E-3</v>
      </c>
      <c r="I101" s="61"/>
      <c r="J101" s="61"/>
      <c r="K101" s="61"/>
      <c r="L101" s="31"/>
      <c r="M101" s="31"/>
      <c r="N101" s="31"/>
    </row>
    <row r="102" spans="3:14" x14ac:dyDescent="0.2">
      <c r="C102" s="64">
        <v>4.2080000000000002</v>
      </c>
      <c r="D102" s="61"/>
      <c r="E102" s="43">
        <v>1.315E-2</v>
      </c>
      <c r="F102" s="43">
        <f t="shared" si="19"/>
        <v>1.315E-2</v>
      </c>
      <c r="G102" s="58">
        <v>0.05</v>
      </c>
      <c r="H102" s="43">
        <f t="shared" si="18"/>
        <v>6.575000000000001E-4</v>
      </c>
      <c r="I102" s="61"/>
      <c r="J102" s="61"/>
      <c r="K102" s="61"/>
      <c r="L102" s="31"/>
      <c r="M102" s="31"/>
      <c r="N102" s="31"/>
    </row>
    <row r="103" spans="3:14" x14ac:dyDescent="0.2">
      <c r="C103" s="64">
        <v>38967</v>
      </c>
      <c r="D103" s="61"/>
      <c r="E103" s="43">
        <v>217</v>
      </c>
      <c r="F103" s="43">
        <f t="shared" si="19"/>
        <v>217</v>
      </c>
      <c r="G103" s="58">
        <v>0.05</v>
      </c>
      <c r="H103" s="43">
        <f t="shared" si="18"/>
        <v>10.850000000000001</v>
      </c>
      <c r="I103" s="61"/>
      <c r="J103" s="61"/>
      <c r="K103" s="61"/>
      <c r="L103" s="31"/>
      <c r="M103" s="31"/>
      <c r="N103" s="31"/>
    </row>
    <row r="104" spans="3:14" x14ac:dyDescent="0.2">
      <c r="C104" s="64">
        <v>-14732</v>
      </c>
      <c r="D104" s="61"/>
      <c r="E104" s="43">
        <v>0</v>
      </c>
      <c r="F104" s="43">
        <f t="shared" si="19"/>
        <v>0</v>
      </c>
      <c r="G104" s="58">
        <v>0.05</v>
      </c>
      <c r="H104" s="43">
        <f t="shared" si="18"/>
        <v>0</v>
      </c>
      <c r="I104" s="61"/>
      <c r="J104" s="61"/>
      <c r="K104" s="61"/>
      <c r="L104" s="31"/>
      <c r="M104" s="31"/>
      <c r="N104" s="31"/>
    </row>
    <row r="105" spans="3:14" x14ac:dyDescent="0.2">
      <c r="C105" s="64">
        <v>15571837</v>
      </c>
      <c r="D105" s="61"/>
      <c r="E105" s="43">
        <v>86644</v>
      </c>
      <c r="F105" s="43">
        <f t="shared" si="19"/>
        <v>86644</v>
      </c>
      <c r="G105" s="58">
        <v>0.05</v>
      </c>
      <c r="H105" s="43">
        <f t="shared" si="18"/>
        <v>4332.2</v>
      </c>
      <c r="I105" s="61"/>
      <c r="J105" s="61"/>
      <c r="K105" s="61"/>
      <c r="L105" s="31"/>
      <c r="M105" s="31"/>
      <c r="N105" s="31"/>
    </row>
    <row r="106" spans="3:14" x14ac:dyDescent="0.2">
      <c r="C106" s="64">
        <v>3114367</v>
      </c>
      <c r="D106" s="61"/>
      <c r="E106" s="43">
        <v>51906</v>
      </c>
      <c r="F106" s="43">
        <f t="shared" si="19"/>
        <v>51906</v>
      </c>
      <c r="G106" s="58">
        <v>0.05</v>
      </c>
      <c r="H106" s="43">
        <f t="shared" si="18"/>
        <v>2595.3000000000002</v>
      </c>
      <c r="I106" s="61"/>
      <c r="J106" s="61"/>
      <c r="K106" s="61"/>
      <c r="L106" s="31"/>
      <c r="M106" s="31"/>
      <c r="N106" s="31"/>
    </row>
    <row r="107" spans="3:14" x14ac:dyDescent="0.2">
      <c r="C107" s="64">
        <v>2076245</v>
      </c>
      <c r="D107" s="61"/>
      <c r="E107" s="43">
        <v>11553</v>
      </c>
      <c r="F107" s="43">
        <f t="shared" si="19"/>
        <v>11553</v>
      </c>
      <c r="G107" s="49">
        <v>0.05</v>
      </c>
      <c r="H107" s="43">
        <f t="shared" si="18"/>
        <v>577.65</v>
      </c>
      <c r="I107" s="61"/>
      <c r="J107" s="61"/>
      <c r="K107" s="61"/>
      <c r="L107" s="31"/>
      <c r="M107" s="31"/>
      <c r="N107" s="31"/>
    </row>
    <row r="108" spans="3:14" x14ac:dyDescent="0.2">
      <c r="C108" s="64">
        <v>2992331</v>
      </c>
      <c r="D108" s="61"/>
      <c r="E108" s="43">
        <v>18001</v>
      </c>
      <c r="F108" s="43">
        <f t="shared" si="19"/>
        <v>18001</v>
      </c>
      <c r="G108" s="49">
        <v>0.05</v>
      </c>
      <c r="H108" s="43">
        <f t="shared" si="18"/>
        <v>900.05000000000007</v>
      </c>
      <c r="I108" s="61"/>
      <c r="J108" s="61"/>
      <c r="K108" s="61"/>
      <c r="L108" s="31"/>
      <c r="M108" s="31"/>
      <c r="N108" s="31"/>
    </row>
    <row r="109" spans="3:14" x14ac:dyDescent="0.2">
      <c r="C109" s="64">
        <v>598466</v>
      </c>
      <c r="D109" s="61"/>
      <c r="E109" s="43">
        <v>9974</v>
      </c>
      <c r="F109" s="43">
        <f t="shared" si="19"/>
        <v>9974</v>
      </c>
      <c r="G109" s="49">
        <v>0.05</v>
      </c>
      <c r="H109" s="43">
        <f t="shared" si="18"/>
        <v>498.70000000000005</v>
      </c>
      <c r="I109" s="61"/>
      <c r="J109" s="61"/>
      <c r="K109" s="61"/>
      <c r="L109" s="31"/>
      <c r="M109" s="31"/>
      <c r="N109" s="31"/>
    </row>
    <row r="110" spans="3:14" x14ac:dyDescent="0.2">
      <c r="C110" s="64">
        <v>398977</v>
      </c>
      <c r="D110" s="61"/>
      <c r="E110" s="43">
        <v>2400</v>
      </c>
      <c r="F110" s="43">
        <f t="shared" si="19"/>
        <v>2400</v>
      </c>
      <c r="G110" s="49">
        <v>0.05</v>
      </c>
      <c r="H110" s="43">
        <f t="shared" si="18"/>
        <v>120</v>
      </c>
      <c r="I110" s="61"/>
      <c r="J110" s="61"/>
      <c r="K110" s="61"/>
      <c r="L110" s="31"/>
      <c r="M110" s="31"/>
      <c r="N110" s="31"/>
    </row>
    <row r="111" spans="3:14" ht="15" x14ac:dyDescent="0.35">
      <c r="C111" s="46">
        <v>1251958</v>
      </c>
      <c r="D111" s="61"/>
      <c r="E111" s="46">
        <v>3912</v>
      </c>
      <c r="F111" s="46">
        <f t="shared" si="19"/>
        <v>3912</v>
      </c>
      <c r="G111" s="49">
        <v>0.05</v>
      </c>
      <c r="H111" s="46">
        <f t="shared" si="18"/>
        <v>195.60000000000002</v>
      </c>
      <c r="I111" s="61"/>
      <c r="J111" s="61"/>
      <c r="K111" s="61"/>
      <c r="L111" s="31"/>
      <c r="M111" s="31"/>
      <c r="N111" s="31"/>
    </row>
    <row r="112" spans="3:14" x14ac:dyDescent="0.2">
      <c r="C112" s="64">
        <f>SUM(C79:C111)</f>
        <v>354379709.05999988</v>
      </c>
      <c r="D112" s="61"/>
      <c r="E112" s="64">
        <f>SUM(E79:E111)</f>
        <v>1893906.2082083335</v>
      </c>
      <c r="F112" s="64">
        <f>SUM(F79:F111)</f>
        <v>1166865.2082083332</v>
      </c>
      <c r="G112" s="61"/>
      <c r="H112" s="64">
        <f>SUM(H79:H111)</f>
        <v>58343.26041041666</v>
      </c>
      <c r="I112" s="61"/>
      <c r="J112" s="61"/>
      <c r="K112" s="61"/>
      <c r="L112" s="31"/>
      <c r="M112" s="31"/>
      <c r="N112" s="31"/>
    </row>
    <row r="113" spans="3:14" x14ac:dyDescent="0.2">
      <c r="C113" s="61"/>
      <c r="D113" s="61"/>
      <c r="E113" s="61"/>
      <c r="F113" s="61"/>
      <c r="G113" s="61"/>
      <c r="H113" s="64">
        <f>H112-L33</f>
        <v>1.9104166640317999E-3</v>
      </c>
      <c r="I113" s="61"/>
      <c r="J113" s="61"/>
      <c r="K113" s="61"/>
      <c r="L113" s="31"/>
      <c r="M113" s="31"/>
      <c r="N113" s="31"/>
    </row>
    <row r="114" spans="3:14" x14ac:dyDescent="0.2">
      <c r="C114" s="61"/>
      <c r="D114" s="61"/>
      <c r="E114" s="61"/>
      <c r="F114" s="61"/>
      <c r="G114" s="61"/>
      <c r="H114" s="61"/>
      <c r="I114" s="61"/>
      <c r="J114" s="61"/>
      <c r="K114" s="61"/>
      <c r="L114" s="31"/>
      <c r="M114" s="31"/>
      <c r="N114" s="31"/>
    </row>
    <row r="115" spans="3:14" x14ac:dyDescent="0.2"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</sheetData>
  <pageMargins left="0.7" right="0.7" top="1.15625" bottom="0.75" header="0.3" footer="0.3"/>
  <pageSetup scale="41" orientation="portrait" r:id="rId1"/>
  <headerFooter>
    <oddHeader>&amp;R&amp;"Times New Roman,Bold"&amp;12Attachment to Response to Question 3
Page &amp;P of &amp;N
Williams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34"/>
  <sheetViews>
    <sheetView zoomScaleNormal="100" workbookViewId="0">
      <selection activeCell="F31" sqref="F31"/>
    </sheetView>
  </sheetViews>
  <sheetFormatPr defaultColWidth="8.85546875" defaultRowHeight="12.75" x14ac:dyDescent="0.2"/>
  <cols>
    <col min="1" max="1" width="11.28515625" style="23" customWidth="1"/>
    <col min="2" max="2" width="1.7109375" style="15" customWidth="1"/>
    <col min="3" max="3" width="12.7109375" style="15" customWidth="1"/>
    <col min="4" max="4" width="14.28515625" style="15" bestFit="1" customWidth="1"/>
    <col min="5" max="5" width="14.28515625" style="15" customWidth="1"/>
    <col min="6" max="6" width="14.28515625" style="15" bestFit="1" customWidth="1"/>
    <col min="7" max="7" width="14.28515625" style="15" customWidth="1"/>
    <col min="8" max="12" width="12.7109375" style="15" customWidth="1"/>
    <col min="13" max="13" width="16.5703125" style="15" bestFit="1" customWidth="1"/>
    <col min="14" max="14" width="12.7109375" style="15" customWidth="1"/>
    <col min="15" max="15" width="9.28515625" style="15" customWidth="1"/>
    <col min="16" max="16384" width="8.85546875" style="15"/>
  </cols>
  <sheetData>
    <row r="1" spans="1:15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x14ac:dyDescent="0.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5"/>
    </row>
    <row r="5" spans="1:15" x14ac:dyDescent="0.2">
      <c r="A5" s="18" t="s">
        <v>3</v>
      </c>
    </row>
    <row r="6" spans="1:15" x14ac:dyDescent="0.2">
      <c r="A6" s="19" t="s">
        <v>43</v>
      </c>
    </row>
    <row r="8" spans="1:15" s="22" customFormat="1" ht="38.25" x14ac:dyDescent="0.2">
      <c r="A8" s="20" t="s">
        <v>5</v>
      </c>
      <c r="B8" s="21"/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12</v>
      </c>
      <c r="J8" s="21" t="s">
        <v>13</v>
      </c>
      <c r="K8" s="21" t="s">
        <v>14</v>
      </c>
      <c r="L8" s="21" t="s">
        <v>15</v>
      </c>
      <c r="M8" s="21" t="s">
        <v>16</v>
      </c>
      <c r="N8" s="21" t="s">
        <v>17</v>
      </c>
    </row>
    <row r="9" spans="1:15" x14ac:dyDescent="0.2">
      <c r="A9" s="23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25">
        <v>860472</v>
      </c>
      <c r="N9" s="31"/>
      <c r="O9" s="31"/>
    </row>
    <row r="10" spans="1:15" ht="15" x14ac:dyDescent="0.25">
      <c r="A10" s="10">
        <v>42795</v>
      </c>
      <c r="B10"/>
      <c r="C10" s="56">
        <v>9031671</v>
      </c>
      <c r="D10" s="25">
        <v>15782</v>
      </c>
      <c r="E10" s="25">
        <v>36712.959999999999</v>
      </c>
      <c r="F10" s="25">
        <v>36712.959999999999</v>
      </c>
      <c r="G10" s="25">
        <f>E10-D10</f>
        <v>20930.96</v>
      </c>
      <c r="H10" s="56">
        <f>F10-D10</f>
        <v>20930.96</v>
      </c>
      <c r="I10" s="58">
        <v>0.35</v>
      </c>
      <c r="J10" s="58">
        <v>0.06</v>
      </c>
      <c r="K10" s="56">
        <f>G10*I10-L10*I10</f>
        <v>6886.2858399999996</v>
      </c>
      <c r="L10" s="56">
        <f>H10*J10</f>
        <v>1255.8575999999998</v>
      </c>
      <c r="M10" s="56">
        <f>M9+K10+L10</f>
        <v>868614.14344000001</v>
      </c>
      <c r="N10" s="56">
        <v>0</v>
      </c>
      <c r="O10" s="31"/>
    </row>
    <row r="11" spans="1:15" ht="15" x14ac:dyDescent="0.25">
      <c r="A11" s="12">
        <v>42826</v>
      </c>
      <c r="B11"/>
      <c r="C11" s="56">
        <v>9031671</v>
      </c>
      <c r="D11" s="25">
        <v>15782</v>
      </c>
      <c r="E11" s="25">
        <v>36712.959999999999</v>
      </c>
      <c r="F11" s="25">
        <v>36712.959999999999</v>
      </c>
      <c r="G11" s="25">
        <f t="shared" ref="G11:G15" si="0">E11-D11</f>
        <v>20930.96</v>
      </c>
      <c r="H11" s="56">
        <f t="shared" ref="H11:H15" si="1">F11-D11</f>
        <v>20930.96</v>
      </c>
      <c r="I11" s="58">
        <v>0.35</v>
      </c>
      <c r="J11" s="58">
        <v>0.06</v>
      </c>
      <c r="K11" s="56">
        <f t="shared" ref="K11:K15" si="2">G11*I11-L11*I11</f>
        <v>6886.2858399999996</v>
      </c>
      <c r="L11" s="56">
        <f t="shared" ref="L11:L15" si="3">H11*J11</f>
        <v>1255.8575999999998</v>
      </c>
      <c r="M11" s="56">
        <f t="shared" ref="M11:M14" si="4">M10+K11+L11</f>
        <v>876756.28688000003</v>
      </c>
      <c r="N11" s="56">
        <v>0</v>
      </c>
      <c r="O11" s="31"/>
    </row>
    <row r="12" spans="1:15" ht="15" x14ac:dyDescent="0.25">
      <c r="A12" s="12">
        <v>42856</v>
      </c>
      <c r="B12"/>
      <c r="C12" s="56">
        <v>9031671</v>
      </c>
      <c r="D12" s="25">
        <v>15782</v>
      </c>
      <c r="E12" s="25">
        <v>36712.959999999999</v>
      </c>
      <c r="F12" s="25">
        <v>36712.959999999999</v>
      </c>
      <c r="G12" s="25">
        <f t="shared" si="0"/>
        <v>20930.96</v>
      </c>
      <c r="H12" s="56">
        <f t="shared" si="1"/>
        <v>20930.96</v>
      </c>
      <c r="I12" s="58">
        <v>0.35</v>
      </c>
      <c r="J12" s="58">
        <v>0.06</v>
      </c>
      <c r="K12" s="56">
        <f t="shared" si="2"/>
        <v>6886.2858399999996</v>
      </c>
      <c r="L12" s="56">
        <f t="shared" si="3"/>
        <v>1255.8575999999998</v>
      </c>
      <c r="M12" s="56">
        <f t="shared" si="4"/>
        <v>884898.43032000004</v>
      </c>
      <c r="N12" s="56">
        <v>0</v>
      </c>
      <c r="O12" s="68"/>
    </row>
    <row r="13" spans="1:15" ht="15" x14ac:dyDescent="0.25">
      <c r="A13" s="12">
        <v>42887</v>
      </c>
      <c r="B13"/>
      <c r="C13" s="56">
        <v>9031671</v>
      </c>
      <c r="D13" s="25">
        <v>15782</v>
      </c>
      <c r="E13" s="25">
        <v>36712</v>
      </c>
      <c r="F13" s="25">
        <v>36712</v>
      </c>
      <c r="G13" s="25">
        <f t="shared" si="0"/>
        <v>20930</v>
      </c>
      <c r="H13" s="56">
        <f t="shared" si="1"/>
        <v>20930</v>
      </c>
      <c r="I13" s="58">
        <v>0.35</v>
      </c>
      <c r="J13" s="58">
        <v>0.06</v>
      </c>
      <c r="K13" s="56">
        <f t="shared" si="2"/>
        <v>6885.9699999999993</v>
      </c>
      <c r="L13" s="56">
        <f t="shared" si="3"/>
        <v>1255.8</v>
      </c>
      <c r="M13" s="56">
        <f t="shared" si="4"/>
        <v>893040.20032000006</v>
      </c>
      <c r="N13" s="56">
        <v>0</v>
      </c>
      <c r="O13" s="68"/>
    </row>
    <row r="14" spans="1:15" ht="15" x14ac:dyDescent="0.25">
      <c r="A14" s="12">
        <v>42917</v>
      </c>
      <c r="B14"/>
      <c r="C14" s="56">
        <v>9031671</v>
      </c>
      <c r="D14" s="25">
        <v>8705</v>
      </c>
      <c r="E14" s="25">
        <f>36712-7076+7076</f>
        <v>36712</v>
      </c>
      <c r="F14" s="25">
        <f>36712-7076+7076</f>
        <v>36712</v>
      </c>
      <c r="G14" s="25">
        <f t="shared" si="0"/>
        <v>28007</v>
      </c>
      <c r="H14" s="56">
        <f t="shared" si="1"/>
        <v>28007</v>
      </c>
      <c r="I14" s="58">
        <v>0.35</v>
      </c>
      <c r="J14" s="58">
        <v>0.06</v>
      </c>
      <c r="K14" s="56">
        <f t="shared" si="2"/>
        <v>9214.3029999999999</v>
      </c>
      <c r="L14" s="56">
        <f t="shared" si="3"/>
        <v>1680.4199999999998</v>
      </c>
      <c r="M14" s="56">
        <f t="shared" si="4"/>
        <v>903934.92332000006</v>
      </c>
      <c r="N14" s="56">
        <v>0</v>
      </c>
      <c r="O14" s="30"/>
    </row>
    <row r="15" spans="1:15" ht="15" x14ac:dyDescent="0.25">
      <c r="A15" s="12">
        <v>42948</v>
      </c>
      <c r="B15"/>
      <c r="C15" s="56">
        <v>9031671</v>
      </c>
      <c r="D15" s="25">
        <v>8705</v>
      </c>
      <c r="E15" s="25">
        <f>36712-7076+7076+3</f>
        <v>36715</v>
      </c>
      <c r="F15" s="25">
        <f>36712-7076+7076+1</f>
        <v>36713</v>
      </c>
      <c r="G15" s="25">
        <f t="shared" si="0"/>
        <v>28010</v>
      </c>
      <c r="H15" s="56">
        <f t="shared" si="1"/>
        <v>28008</v>
      </c>
      <c r="I15" s="58">
        <v>0.35</v>
      </c>
      <c r="J15" s="58">
        <v>0.06</v>
      </c>
      <c r="K15" s="56">
        <f t="shared" si="2"/>
        <v>9215.3320000000003</v>
      </c>
      <c r="L15" s="56">
        <f t="shared" si="3"/>
        <v>1680.48</v>
      </c>
      <c r="M15" s="59">
        <f>M14+K15+L15+100</f>
        <v>914930.73532000009</v>
      </c>
      <c r="N15" s="56">
        <v>0</v>
      </c>
      <c r="O15" s="31"/>
    </row>
    <row r="16" spans="1:15" ht="15" x14ac:dyDescent="0.25">
      <c r="A16" s="10">
        <v>42987</v>
      </c>
      <c r="B16"/>
      <c r="C16" s="56">
        <v>9031671</v>
      </c>
      <c r="D16" s="25">
        <v>8705</v>
      </c>
      <c r="E16" s="25">
        <f>36715-283</f>
        <v>36432</v>
      </c>
      <c r="F16" s="25">
        <v>36712.959999999999</v>
      </c>
      <c r="G16" s="56">
        <f t="shared" ref="G16:G33" si="5">E16-D16</f>
        <v>27727</v>
      </c>
      <c r="H16" s="56">
        <f t="shared" ref="H16:H33" si="6">F16-D16</f>
        <v>28007.96</v>
      </c>
      <c r="I16" s="58">
        <v>0.35</v>
      </c>
      <c r="J16" s="58">
        <v>0.06</v>
      </c>
      <c r="K16" s="56">
        <f t="shared" ref="K16:K33" si="7">G16*I16-L16*I16</f>
        <v>9116.2828399999999</v>
      </c>
      <c r="L16" s="56">
        <f t="shared" ref="L16:L33" si="8">H16*J16</f>
        <v>1680.4775999999999</v>
      </c>
      <c r="M16" s="56">
        <f t="shared" ref="M16:M33" si="9">M15+K16+L16</f>
        <v>925727.49576000008</v>
      </c>
      <c r="N16" s="56">
        <v>0</v>
      </c>
      <c r="O16" s="31"/>
    </row>
    <row r="17" spans="1:15" ht="15" x14ac:dyDescent="0.25">
      <c r="A17" s="12">
        <v>43009</v>
      </c>
      <c r="B17"/>
      <c r="C17" s="56">
        <v>9031671</v>
      </c>
      <c r="D17" s="25">
        <v>8705</v>
      </c>
      <c r="E17" s="25">
        <v>36715</v>
      </c>
      <c r="F17" s="25">
        <v>36712.959999999999</v>
      </c>
      <c r="G17" s="56">
        <f t="shared" si="5"/>
        <v>28010</v>
      </c>
      <c r="H17" s="56">
        <f t="shared" si="6"/>
        <v>28007.96</v>
      </c>
      <c r="I17" s="58">
        <v>0.35</v>
      </c>
      <c r="J17" s="58">
        <v>0.06</v>
      </c>
      <c r="K17" s="56">
        <f t="shared" si="7"/>
        <v>9215.3328399999991</v>
      </c>
      <c r="L17" s="56">
        <f t="shared" si="8"/>
        <v>1680.4775999999999</v>
      </c>
      <c r="M17" s="59">
        <f t="shared" si="9"/>
        <v>936623.30620000011</v>
      </c>
      <c r="N17" s="56">
        <v>0</v>
      </c>
      <c r="O17" s="31"/>
    </row>
    <row r="18" spans="1:15" ht="15" x14ac:dyDescent="0.25">
      <c r="A18" s="12">
        <v>43040</v>
      </c>
      <c r="B18"/>
      <c r="C18" s="56">
        <v>9031671</v>
      </c>
      <c r="D18" s="25">
        <v>8705</v>
      </c>
      <c r="E18" s="25">
        <v>36715</v>
      </c>
      <c r="F18" s="25">
        <v>36712.959999999999</v>
      </c>
      <c r="G18" s="56">
        <f t="shared" si="5"/>
        <v>28010</v>
      </c>
      <c r="H18" s="56">
        <f t="shared" si="6"/>
        <v>28007.96</v>
      </c>
      <c r="I18" s="58">
        <v>0.35</v>
      </c>
      <c r="J18" s="58">
        <v>0.06</v>
      </c>
      <c r="K18" s="56">
        <f t="shared" si="7"/>
        <v>9215.3328399999991</v>
      </c>
      <c r="L18" s="56">
        <f t="shared" si="8"/>
        <v>1680.4775999999999</v>
      </c>
      <c r="M18" s="56">
        <f t="shared" si="9"/>
        <v>947519.11664000014</v>
      </c>
      <c r="N18" s="56">
        <v>0</v>
      </c>
      <c r="O18" s="31"/>
    </row>
    <row r="19" spans="1:15" ht="15" x14ac:dyDescent="0.25">
      <c r="A19" s="12">
        <v>43070</v>
      </c>
      <c r="B19"/>
      <c r="C19" s="56">
        <v>9031671</v>
      </c>
      <c r="D19" s="25">
        <v>8705</v>
      </c>
      <c r="E19" s="25">
        <v>36715</v>
      </c>
      <c r="F19" s="25">
        <v>36712.959999999999</v>
      </c>
      <c r="G19" s="56">
        <f t="shared" si="5"/>
        <v>28010</v>
      </c>
      <c r="H19" s="56">
        <f t="shared" si="6"/>
        <v>28007.96</v>
      </c>
      <c r="I19" s="58">
        <v>0.35</v>
      </c>
      <c r="J19" s="58">
        <v>0.06</v>
      </c>
      <c r="K19" s="56">
        <f t="shared" si="7"/>
        <v>9215.3328399999991</v>
      </c>
      <c r="L19" s="56">
        <f t="shared" si="8"/>
        <v>1680.4775999999999</v>
      </c>
      <c r="M19" s="56">
        <f t="shared" si="9"/>
        <v>958414.92708000017</v>
      </c>
      <c r="N19" s="56">
        <v>0</v>
      </c>
      <c r="O19" s="31"/>
    </row>
    <row r="20" spans="1:15" ht="15" x14ac:dyDescent="0.25">
      <c r="A20" s="12">
        <v>43101</v>
      </c>
      <c r="B20"/>
      <c r="C20" s="56">
        <v>9031671</v>
      </c>
      <c r="D20" s="25">
        <v>8705</v>
      </c>
      <c r="E20" s="25">
        <v>33964</v>
      </c>
      <c r="F20" s="25">
        <f>33964.08</f>
        <v>33964.080000000002</v>
      </c>
      <c r="G20" s="56">
        <f t="shared" si="5"/>
        <v>25259</v>
      </c>
      <c r="H20" s="56">
        <f t="shared" si="6"/>
        <v>25259.08</v>
      </c>
      <c r="I20" s="58">
        <v>0.21</v>
      </c>
      <c r="J20" s="58">
        <v>0.05</v>
      </c>
      <c r="K20" s="56">
        <f t="shared" si="7"/>
        <v>5039.1696599999996</v>
      </c>
      <c r="L20" s="56">
        <f t="shared" si="8"/>
        <v>1262.9540000000002</v>
      </c>
      <c r="M20" s="56">
        <f t="shared" si="9"/>
        <v>964717.05074000021</v>
      </c>
      <c r="N20" s="56">
        <v>0</v>
      </c>
      <c r="O20" s="31"/>
    </row>
    <row r="21" spans="1:15" ht="15" x14ac:dyDescent="0.25">
      <c r="A21" s="12">
        <v>43132</v>
      </c>
      <c r="B21"/>
      <c r="C21" s="56">
        <v>9031671</v>
      </c>
      <c r="D21" s="25">
        <v>8705</v>
      </c>
      <c r="E21" s="25">
        <v>33964</v>
      </c>
      <c r="F21" s="25">
        <f>33964.08</f>
        <v>33964.080000000002</v>
      </c>
      <c r="G21" s="56">
        <f t="shared" si="5"/>
        <v>25259</v>
      </c>
      <c r="H21" s="56">
        <f t="shared" si="6"/>
        <v>25259.08</v>
      </c>
      <c r="I21" s="58">
        <v>0.21</v>
      </c>
      <c r="J21" s="58">
        <v>0.05</v>
      </c>
      <c r="K21" s="56">
        <f t="shared" si="7"/>
        <v>5039.1696599999996</v>
      </c>
      <c r="L21" s="56">
        <f t="shared" si="8"/>
        <v>1262.9540000000002</v>
      </c>
      <c r="M21" s="56">
        <f t="shared" si="9"/>
        <v>971019.17440000025</v>
      </c>
      <c r="N21" s="56">
        <v>0</v>
      </c>
      <c r="O21" s="31"/>
    </row>
    <row r="22" spans="1:15" ht="15" x14ac:dyDescent="0.25">
      <c r="A22" s="12">
        <v>43160</v>
      </c>
      <c r="B22"/>
      <c r="C22" s="56">
        <v>9031671</v>
      </c>
      <c r="D22" s="25">
        <v>8705</v>
      </c>
      <c r="E22" s="25">
        <v>33964.080000000002</v>
      </c>
      <c r="F22" s="25">
        <v>33964.080000000002</v>
      </c>
      <c r="G22" s="56">
        <f t="shared" si="5"/>
        <v>25259.08</v>
      </c>
      <c r="H22" s="56">
        <f t="shared" si="6"/>
        <v>25259.08</v>
      </c>
      <c r="I22" s="58">
        <v>0.21</v>
      </c>
      <c r="J22" s="58">
        <v>0.05</v>
      </c>
      <c r="K22" s="56">
        <f t="shared" si="7"/>
        <v>5039.1864599999999</v>
      </c>
      <c r="L22" s="56">
        <f t="shared" si="8"/>
        <v>1262.9540000000002</v>
      </c>
      <c r="M22" s="56">
        <f t="shared" si="9"/>
        <v>977321.31486000028</v>
      </c>
      <c r="N22" s="56">
        <v>0</v>
      </c>
      <c r="O22" s="31"/>
    </row>
    <row r="23" spans="1:15" ht="15" x14ac:dyDescent="0.25">
      <c r="A23" s="12">
        <v>43191</v>
      </c>
      <c r="B23"/>
      <c r="C23" s="56">
        <v>9031671</v>
      </c>
      <c r="D23" s="25">
        <v>8705</v>
      </c>
      <c r="E23" s="25">
        <v>33964.080000000002</v>
      </c>
      <c r="F23" s="25">
        <v>33964.080000000002</v>
      </c>
      <c r="G23" s="56">
        <f t="shared" si="5"/>
        <v>25259.08</v>
      </c>
      <c r="H23" s="56">
        <f t="shared" si="6"/>
        <v>25259.08</v>
      </c>
      <c r="I23" s="58">
        <v>0.21</v>
      </c>
      <c r="J23" s="58">
        <v>0.05</v>
      </c>
      <c r="K23" s="56">
        <f t="shared" si="7"/>
        <v>5039.1864599999999</v>
      </c>
      <c r="L23" s="56">
        <f t="shared" si="8"/>
        <v>1262.9540000000002</v>
      </c>
      <c r="M23" s="59">
        <f t="shared" si="9"/>
        <v>983623.4553200003</v>
      </c>
      <c r="N23" s="56">
        <v>0</v>
      </c>
      <c r="O23" s="31"/>
    </row>
    <row r="24" spans="1:15" ht="15" x14ac:dyDescent="0.25">
      <c r="A24" s="12">
        <v>43221</v>
      </c>
      <c r="B24"/>
      <c r="C24" s="56">
        <v>9031671</v>
      </c>
      <c r="D24" s="25">
        <v>8705</v>
      </c>
      <c r="E24" s="25">
        <v>33964.080000000002</v>
      </c>
      <c r="F24" s="25">
        <v>33964.080000000002</v>
      </c>
      <c r="G24" s="56">
        <f t="shared" si="5"/>
        <v>25259.08</v>
      </c>
      <c r="H24" s="56">
        <f t="shared" si="6"/>
        <v>25259.08</v>
      </c>
      <c r="I24" s="58">
        <v>0.21</v>
      </c>
      <c r="J24" s="58">
        <v>0.05</v>
      </c>
      <c r="K24" s="56">
        <f t="shared" si="7"/>
        <v>5039.1864599999999</v>
      </c>
      <c r="L24" s="56">
        <f t="shared" si="8"/>
        <v>1262.9540000000002</v>
      </c>
      <c r="M24" s="56">
        <f t="shared" si="9"/>
        <v>989925.59578000032</v>
      </c>
      <c r="N24" s="56">
        <v>0</v>
      </c>
      <c r="O24" s="31"/>
    </row>
    <row r="25" spans="1:15" ht="15" x14ac:dyDescent="0.25">
      <c r="A25" s="12">
        <v>43252</v>
      </c>
      <c r="B25"/>
      <c r="C25" s="56">
        <v>9031671</v>
      </c>
      <c r="D25" s="25">
        <v>8705</v>
      </c>
      <c r="E25" s="25">
        <v>33964.080000000002</v>
      </c>
      <c r="F25" s="25">
        <v>33964.080000000002</v>
      </c>
      <c r="G25" s="56">
        <f t="shared" si="5"/>
        <v>25259.08</v>
      </c>
      <c r="H25" s="56">
        <f t="shared" si="6"/>
        <v>25259.08</v>
      </c>
      <c r="I25" s="58">
        <v>0.21</v>
      </c>
      <c r="J25" s="58">
        <v>0.05</v>
      </c>
      <c r="K25" s="56">
        <f t="shared" si="7"/>
        <v>5039.1864599999999</v>
      </c>
      <c r="L25" s="56">
        <f t="shared" si="8"/>
        <v>1262.9540000000002</v>
      </c>
      <c r="M25" s="56">
        <f t="shared" si="9"/>
        <v>996227.73624000035</v>
      </c>
      <c r="N25" s="56">
        <v>0</v>
      </c>
      <c r="O25" s="31"/>
    </row>
    <row r="26" spans="1:15" ht="15" x14ac:dyDescent="0.25">
      <c r="A26" s="12">
        <v>43282</v>
      </c>
      <c r="B26"/>
      <c r="C26" s="56">
        <v>9031671</v>
      </c>
      <c r="D26" s="25">
        <v>8705</v>
      </c>
      <c r="E26" s="25">
        <v>33964.080000000002</v>
      </c>
      <c r="F26" s="25">
        <v>33964.080000000002</v>
      </c>
      <c r="G26" s="56">
        <f t="shared" si="5"/>
        <v>25259.08</v>
      </c>
      <c r="H26" s="56">
        <f t="shared" si="6"/>
        <v>25259.08</v>
      </c>
      <c r="I26" s="58">
        <v>0.21</v>
      </c>
      <c r="J26" s="58">
        <v>0.05</v>
      </c>
      <c r="K26" s="56">
        <f t="shared" si="7"/>
        <v>5039.1864599999999</v>
      </c>
      <c r="L26" s="56">
        <f t="shared" si="8"/>
        <v>1262.9540000000002</v>
      </c>
      <c r="M26" s="56">
        <f t="shared" si="9"/>
        <v>1002529.8767000004</v>
      </c>
      <c r="N26" s="56">
        <v>0</v>
      </c>
      <c r="O26" s="31"/>
    </row>
    <row r="27" spans="1:15" ht="15" x14ac:dyDescent="0.25">
      <c r="A27" s="12">
        <v>43313</v>
      </c>
      <c r="B27"/>
      <c r="C27" s="56">
        <v>9031671</v>
      </c>
      <c r="D27" s="25">
        <v>8705</v>
      </c>
      <c r="E27" s="25">
        <v>33964.080000000002</v>
      </c>
      <c r="F27" s="25">
        <v>33964.080000000002</v>
      </c>
      <c r="G27" s="56">
        <f t="shared" si="5"/>
        <v>25259.08</v>
      </c>
      <c r="H27" s="56">
        <f t="shared" si="6"/>
        <v>25259.08</v>
      </c>
      <c r="I27" s="58">
        <v>0.21</v>
      </c>
      <c r="J27" s="58">
        <v>0.05</v>
      </c>
      <c r="K27" s="56">
        <f t="shared" si="7"/>
        <v>5039.1864599999999</v>
      </c>
      <c r="L27" s="56">
        <f t="shared" si="8"/>
        <v>1262.9540000000002</v>
      </c>
      <c r="M27" s="56">
        <f t="shared" si="9"/>
        <v>1008832.0171600004</v>
      </c>
      <c r="N27" s="56">
        <v>0</v>
      </c>
      <c r="O27" s="31"/>
    </row>
    <row r="28" spans="1:15" ht="15" x14ac:dyDescent="0.25">
      <c r="A28" s="10">
        <v>43352</v>
      </c>
      <c r="B28"/>
      <c r="C28" s="56">
        <v>9031671</v>
      </c>
      <c r="D28" s="25">
        <v>8705</v>
      </c>
      <c r="E28" s="25">
        <f>33964.08-11</f>
        <v>33953.08</v>
      </c>
      <c r="F28" s="25">
        <f>33964.08-11</f>
        <v>33953.08</v>
      </c>
      <c r="G28" s="56">
        <f t="shared" si="5"/>
        <v>25248.080000000002</v>
      </c>
      <c r="H28" s="56">
        <f t="shared" si="6"/>
        <v>25248.080000000002</v>
      </c>
      <c r="I28" s="58">
        <v>0.21</v>
      </c>
      <c r="J28" s="58">
        <v>0.05</v>
      </c>
      <c r="K28" s="56">
        <f t="shared" si="7"/>
        <v>5036.9919600000003</v>
      </c>
      <c r="L28" s="56">
        <f t="shared" si="8"/>
        <v>1262.4040000000002</v>
      </c>
      <c r="M28" s="56">
        <f t="shared" si="9"/>
        <v>1015131.4131200004</v>
      </c>
      <c r="N28" s="56">
        <v>0</v>
      </c>
      <c r="O28" s="31"/>
    </row>
    <row r="29" spans="1:15" ht="15" x14ac:dyDescent="0.25">
      <c r="A29" s="12">
        <v>43374</v>
      </c>
      <c r="B29"/>
      <c r="C29" s="56">
        <v>9031671</v>
      </c>
      <c r="D29" s="25">
        <v>8705</v>
      </c>
      <c r="E29" s="25">
        <f>33964.08+2</f>
        <v>33966.080000000002</v>
      </c>
      <c r="F29" s="25">
        <v>33964.080000000002</v>
      </c>
      <c r="G29" s="56">
        <f t="shared" si="5"/>
        <v>25261.08</v>
      </c>
      <c r="H29" s="56">
        <f t="shared" si="6"/>
        <v>25259.08</v>
      </c>
      <c r="I29" s="58">
        <v>0.21</v>
      </c>
      <c r="J29" s="58">
        <v>0.05</v>
      </c>
      <c r="K29" s="56">
        <f t="shared" si="7"/>
        <v>5039.60646</v>
      </c>
      <c r="L29" s="56">
        <f t="shared" si="8"/>
        <v>1262.9540000000002</v>
      </c>
      <c r="M29" s="59">
        <f t="shared" si="9"/>
        <v>1021433.9735800005</v>
      </c>
      <c r="N29" s="56">
        <v>0</v>
      </c>
      <c r="O29" s="31"/>
    </row>
    <row r="30" spans="1:15" ht="15" x14ac:dyDescent="0.25">
      <c r="A30" s="12">
        <v>43405</v>
      </c>
      <c r="B30"/>
      <c r="C30" s="56">
        <v>9031671</v>
      </c>
      <c r="D30" s="25">
        <v>8705</v>
      </c>
      <c r="E30" s="25">
        <f>33964.08</f>
        <v>33964.080000000002</v>
      </c>
      <c r="F30" s="25">
        <v>33964.080000000002</v>
      </c>
      <c r="G30" s="56">
        <f t="shared" si="5"/>
        <v>25259.08</v>
      </c>
      <c r="H30" s="56">
        <f t="shared" si="6"/>
        <v>25259.08</v>
      </c>
      <c r="I30" s="58">
        <v>0.21</v>
      </c>
      <c r="J30" s="58">
        <v>0.05</v>
      </c>
      <c r="K30" s="56">
        <f t="shared" si="7"/>
        <v>5039.1864599999999</v>
      </c>
      <c r="L30" s="56">
        <f t="shared" si="8"/>
        <v>1262.9540000000002</v>
      </c>
      <c r="M30" s="56">
        <f t="shared" si="9"/>
        <v>1027736.1140400005</v>
      </c>
      <c r="N30" s="56">
        <v>0</v>
      </c>
      <c r="O30" s="31"/>
    </row>
    <row r="31" spans="1:15" ht="15" x14ac:dyDescent="0.25">
      <c r="A31" s="12">
        <v>43435</v>
      </c>
      <c r="B31"/>
      <c r="C31" s="56">
        <v>9031671</v>
      </c>
      <c r="D31" s="25">
        <v>8705</v>
      </c>
      <c r="E31" s="25">
        <f>33964.08</f>
        <v>33964.080000000002</v>
      </c>
      <c r="F31" s="25">
        <v>33964.080000000002</v>
      </c>
      <c r="G31" s="56">
        <f t="shared" si="5"/>
        <v>25259.08</v>
      </c>
      <c r="H31" s="56">
        <f t="shared" si="6"/>
        <v>25259.08</v>
      </c>
      <c r="I31" s="58">
        <v>0.21</v>
      </c>
      <c r="J31" s="58">
        <v>0.05</v>
      </c>
      <c r="K31" s="56">
        <f t="shared" si="7"/>
        <v>5039.1864599999999</v>
      </c>
      <c r="L31" s="56">
        <f t="shared" si="8"/>
        <v>1262.9540000000002</v>
      </c>
      <c r="M31" s="56">
        <f t="shared" si="9"/>
        <v>1034038.2545000005</v>
      </c>
      <c r="N31" s="56">
        <v>0</v>
      </c>
      <c r="O31" s="31"/>
    </row>
    <row r="32" spans="1:15" ht="15" x14ac:dyDescent="0.25">
      <c r="A32" s="12">
        <v>43466</v>
      </c>
      <c r="B32"/>
      <c r="C32" s="56">
        <v>9031671</v>
      </c>
      <c r="D32" s="25">
        <v>8705</v>
      </c>
      <c r="E32" s="25">
        <f>33534.21-1</f>
        <v>33533.21</v>
      </c>
      <c r="F32" s="25">
        <f>33534.21-1</f>
        <v>33533.21</v>
      </c>
      <c r="G32" s="56">
        <f t="shared" si="5"/>
        <v>24828.21</v>
      </c>
      <c r="H32" s="56">
        <f t="shared" si="6"/>
        <v>24828.21</v>
      </c>
      <c r="I32" s="58">
        <v>0.21</v>
      </c>
      <c r="J32" s="58">
        <v>0.05</v>
      </c>
      <c r="K32" s="56">
        <f t="shared" si="7"/>
        <v>4953.2278949999991</v>
      </c>
      <c r="L32" s="56">
        <f t="shared" si="8"/>
        <v>1241.4105</v>
      </c>
      <c r="M32" s="56">
        <f t="shared" si="9"/>
        <v>1040232.8928950005</v>
      </c>
      <c r="N32" s="56">
        <v>0</v>
      </c>
      <c r="O32" s="31"/>
    </row>
    <row r="33" spans="1:15" ht="15" x14ac:dyDescent="0.25">
      <c r="A33" s="12">
        <v>43497</v>
      </c>
      <c r="B33"/>
      <c r="C33" s="56">
        <v>9031671</v>
      </c>
      <c r="D33" s="25">
        <v>8705</v>
      </c>
      <c r="E33" s="25">
        <f>33534.21</f>
        <v>33534.21</v>
      </c>
      <c r="F33" s="25">
        <v>33534.21</v>
      </c>
      <c r="G33" s="56">
        <f t="shared" si="5"/>
        <v>24829.21</v>
      </c>
      <c r="H33" s="56">
        <f t="shared" si="6"/>
        <v>24829.21</v>
      </c>
      <c r="I33" s="58">
        <v>0.21</v>
      </c>
      <c r="J33" s="58">
        <v>0.05</v>
      </c>
      <c r="K33" s="56">
        <f t="shared" si="7"/>
        <v>4953.4273949999997</v>
      </c>
      <c r="L33" s="56">
        <f t="shared" si="8"/>
        <v>1241.4605000000001</v>
      </c>
      <c r="M33" s="56">
        <f t="shared" si="9"/>
        <v>1046427.7807900006</v>
      </c>
      <c r="N33" s="56">
        <v>0</v>
      </c>
      <c r="O33" s="31"/>
    </row>
    <row r="34" spans="1:15" x14ac:dyDescent="0.2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</sheetData>
  <pageMargins left="0.7" right="0.7" top="1.15625" bottom="0.75" header="0.3" footer="0.3"/>
  <pageSetup scale="51" orientation="portrait" r:id="rId1"/>
  <headerFooter>
    <oddHeader>&amp;R&amp;"Times New Roman,Bold"&amp;12Attachment to Response to Question 3
Page &amp;P of &amp;N
Williams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54"/>
  <sheetViews>
    <sheetView zoomScaleNormal="100" workbookViewId="0">
      <selection activeCell="F31" sqref="F31"/>
    </sheetView>
  </sheetViews>
  <sheetFormatPr defaultColWidth="8.85546875" defaultRowHeight="12.75" x14ac:dyDescent="0.2"/>
  <cols>
    <col min="1" max="1" width="11.28515625" style="23" customWidth="1"/>
    <col min="2" max="2" width="1.7109375" style="15" customWidth="1"/>
    <col min="3" max="3" width="12.7109375" style="15" customWidth="1"/>
    <col min="4" max="4" width="14.28515625" style="15" bestFit="1" customWidth="1"/>
    <col min="5" max="5" width="14.28515625" style="15" customWidth="1"/>
    <col min="6" max="6" width="14.28515625" style="15" bestFit="1" customWidth="1"/>
    <col min="7" max="7" width="14.28515625" style="15" customWidth="1"/>
    <col min="8" max="12" width="12.7109375" style="15" customWidth="1"/>
    <col min="13" max="13" width="16.5703125" style="15" bestFit="1" customWidth="1"/>
    <col min="14" max="14" width="12.7109375" style="15" customWidth="1"/>
    <col min="15" max="15" width="9.28515625" style="15" customWidth="1"/>
    <col min="16" max="16384" width="8.85546875" style="15"/>
  </cols>
  <sheetData>
    <row r="1" spans="1:15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x14ac:dyDescent="0.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5"/>
    </row>
    <row r="5" spans="1:15" x14ac:dyDescent="0.2">
      <c r="A5" s="18" t="s">
        <v>3</v>
      </c>
    </row>
    <row r="6" spans="1:15" x14ac:dyDescent="0.2">
      <c r="A6" s="19" t="s">
        <v>44</v>
      </c>
    </row>
    <row r="8" spans="1:15" s="22" customFormat="1" ht="38.25" x14ac:dyDescent="0.2">
      <c r="A8" s="20" t="s">
        <v>5</v>
      </c>
      <c r="B8" s="21"/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38</v>
      </c>
      <c r="J8" s="21" t="s">
        <v>39</v>
      </c>
      <c r="K8" s="21" t="s">
        <v>14</v>
      </c>
      <c r="L8" s="21" t="s">
        <v>15</v>
      </c>
      <c r="M8" s="21" t="s">
        <v>16</v>
      </c>
      <c r="N8" s="21" t="s">
        <v>17</v>
      </c>
    </row>
    <row r="9" spans="1:15" x14ac:dyDescent="0.2">
      <c r="A9" s="23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25">
        <v>695385</v>
      </c>
      <c r="N9" s="31"/>
    </row>
    <row r="10" spans="1:15" ht="15" x14ac:dyDescent="0.25">
      <c r="A10" s="10">
        <v>42795</v>
      </c>
      <c r="B10"/>
      <c r="C10" s="56">
        <v>3760136</v>
      </c>
      <c r="D10" s="25">
        <v>6548</v>
      </c>
      <c r="E10" s="25">
        <v>10461.01</v>
      </c>
      <c r="F10" s="25">
        <v>20922</v>
      </c>
      <c r="G10" s="25">
        <f>E10-D10</f>
        <v>3913.01</v>
      </c>
      <c r="H10" s="56">
        <f>F10-D10</f>
        <v>14374</v>
      </c>
      <c r="I10" s="58">
        <v>0.35</v>
      </c>
      <c r="J10" s="58">
        <v>0.06</v>
      </c>
      <c r="K10" s="56">
        <f>G10*I10-L10*I10</f>
        <v>1067.6994999999999</v>
      </c>
      <c r="L10" s="56">
        <f>H10*J10</f>
        <v>862.43999999999994</v>
      </c>
      <c r="M10" s="56">
        <f>M9+K10+L10</f>
        <v>697315.13949999993</v>
      </c>
      <c r="N10" s="56">
        <v>0</v>
      </c>
    </row>
    <row r="11" spans="1:15" ht="15" x14ac:dyDescent="0.25">
      <c r="A11" s="12">
        <v>42826</v>
      </c>
      <c r="B11"/>
      <c r="C11" s="56">
        <v>3760136</v>
      </c>
      <c r="D11" s="25">
        <v>6548</v>
      </c>
      <c r="E11" s="25">
        <v>10461.01</v>
      </c>
      <c r="F11" s="25">
        <v>20922</v>
      </c>
      <c r="G11" s="25">
        <f t="shared" ref="G11:G15" si="0">E11-D11</f>
        <v>3913.01</v>
      </c>
      <c r="H11" s="56">
        <f t="shared" ref="H11:H15" si="1">F11-D11</f>
        <v>14374</v>
      </c>
      <c r="I11" s="58">
        <v>0.35</v>
      </c>
      <c r="J11" s="58">
        <v>0.06</v>
      </c>
      <c r="K11" s="56">
        <f t="shared" ref="K11:K15" si="2">G11*I11-L11*I11</f>
        <v>1067.6994999999999</v>
      </c>
      <c r="L11" s="56">
        <f t="shared" ref="L11:L15" si="3">H11*J11</f>
        <v>862.43999999999994</v>
      </c>
      <c r="M11" s="56">
        <f t="shared" ref="M11:M15" si="4">M10+K11+L11</f>
        <v>699245.27899999986</v>
      </c>
      <c r="N11" s="56">
        <v>0</v>
      </c>
    </row>
    <row r="12" spans="1:15" ht="15" x14ac:dyDescent="0.25">
      <c r="A12" s="12">
        <v>42856</v>
      </c>
      <c r="B12"/>
      <c r="C12" s="56">
        <v>3760136</v>
      </c>
      <c r="D12" s="25">
        <v>6548</v>
      </c>
      <c r="E12" s="25">
        <v>10461.49</v>
      </c>
      <c r="F12" s="25">
        <v>20922</v>
      </c>
      <c r="G12" s="25">
        <f t="shared" si="0"/>
        <v>3913.49</v>
      </c>
      <c r="H12" s="56">
        <f t="shared" si="1"/>
        <v>14374</v>
      </c>
      <c r="I12" s="58">
        <v>0.35</v>
      </c>
      <c r="J12" s="58">
        <v>0.06</v>
      </c>
      <c r="K12" s="56">
        <f t="shared" si="2"/>
        <v>1067.8674999999998</v>
      </c>
      <c r="L12" s="56">
        <f t="shared" si="3"/>
        <v>862.43999999999994</v>
      </c>
      <c r="M12" s="56">
        <f t="shared" si="4"/>
        <v>701175.58649999986</v>
      </c>
      <c r="N12" s="56">
        <v>0</v>
      </c>
      <c r="O12" s="33"/>
    </row>
    <row r="13" spans="1:15" ht="15" x14ac:dyDescent="0.25">
      <c r="A13" s="12">
        <v>42887</v>
      </c>
      <c r="B13"/>
      <c r="C13" s="56">
        <v>3760136</v>
      </c>
      <c r="D13" s="25">
        <v>6548</v>
      </c>
      <c r="E13" s="25">
        <v>10461.01</v>
      </c>
      <c r="F13" s="25">
        <v>20922</v>
      </c>
      <c r="G13" s="25">
        <f t="shared" si="0"/>
        <v>3913.01</v>
      </c>
      <c r="H13" s="56">
        <f t="shared" si="1"/>
        <v>14374</v>
      </c>
      <c r="I13" s="58">
        <v>0.35</v>
      </c>
      <c r="J13" s="58">
        <v>0.06</v>
      </c>
      <c r="K13" s="56">
        <f t="shared" si="2"/>
        <v>1067.6994999999999</v>
      </c>
      <c r="L13" s="56">
        <f t="shared" si="3"/>
        <v>862.43999999999994</v>
      </c>
      <c r="M13" s="56">
        <f t="shared" si="4"/>
        <v>703105.72599999979</v>
      </c>
      <c r="N13" s="56">
        <v>0</v>
      </c>
      <c r="O13" s="33"/>
    </row>
    <row r="14" spans="1:15" ht="15" x14ac:dyDescent="0.25">
      <c r="A14" s="12">
        <v>42917</v>
      </c>
      <c r="B14"/>
      <c r="C14" s="56">
        <v>3760136</v>
      </c>
      <c r="D14" s="25">
        <v>7390</v>
      </c>
      <c r="E14" s="25">
        <f>10461.01+842-842</f>
        <v>10461.01</v>
      </c>
      <c r="F14" s="25">
        <f>20922+842-842</f>
        <v>20922</v>
      </c>
      <c r="G14" s="25">
        <f t="shared" si="0"/>
        <v>3071.01</v>
      </c>
      <c r="H14" s="56">
        <f t="shared" si="1"/>
        <v>13532</v>
      </c>
      <c r="I14" s="58">
        <v>0.35</v>
      </c>
      <c r="J14" s="58">
        <v>0.06</v>
      </c>
      <c r="K14" s="56">
        <f t="shared" si="2"/>
        <v>790.68149999999991</v>
      </c>
      <c r="L14" s="56">
        <f t="shared" si="3"/>
        <v>811.92</v>
      </c>
      <c r="M14" s="56">
        <f t="shared" si="4"/>
        <v>704708.32749999978</v>
      </c>
      <c r="N14" s="56">
        <v>0</v>
      </c>
      <c r="O14" s="24"/>
    </row>
    <row r="15" spans="1:15" ht="15" x14ac:dyDescent="0.25">
      <c r="A15" s="12">
        <v>42948</v>
      </c>
      <c r="B15"/>
      <c r="C15" s="56">
        <v>3760136</v>
      </c>
      <c r="D15" s="25">
        <v>7390</v>
      </c>
      <c r="E15" s="25">
        <f>10461.01+842-842</f>
        <v>10461.01</v>
      </c>
      <c r="F15" s="25">
        <f>20922+842-842</f>
        <v>20922</v>
      </c>
      <c r="G15" s="25">
        <f t="shared" si="0"/>
        <v>3071.01</v>
      </c>
      <c r="H15" s="56">
        <f t="shared" si="1"/>
        <v>13532</v>
      </c>
      <c r="I15" s="58">
        <v>0.35</v>
      </c>
      <c r="J15" s="58">
        <v>0.06</v>
      </c>
      <c r="K15" s="56">
        <f t="shared" si="2"/>
        <v>790.68149999999991</v>
      </c>
      <c r="L15" s="56">
        <f t="shared" si="3"/>
        <v>811.92</v>
      </c>
      <c r="M15" s="56">
        <f t="shared" si="4"/>
        <v>706310.92899999977</v>
      </c>
      <c r="N15" s="56">
        <v>0</v>
      </c>
    </row>
    <row r="16" spans="1:15" ht="15" x14ac:dyDescent="0.25">
      <c r="A16" s="10">
        <v>42987</v>
      </c>
      <c r="B16"/>
      <c r="C16" s="56">
        <v>3760136</v>
      </c>
      <c r="D16" s="25">
        <v>7390</v>
      </c>
      <c r="E16" s="25">
        <v>10461</v>
      </c>
      <c r="F16" s="25">
        <v>20922.03</v>
      </c>
      <c r="G16" s="56">
        <f t="shared" ref="G16:G33" si="5">E16-D16</f>
        <v>3071</v>
      </c>
      <c r="H16" s="56">
        <f t="shared" ref="H16:H33" si="6">F16-D16</f>
        <v>13532.029999999999</v>
      </c>
      <c r="I16" s="58">
        <v>0.35</v>
      </c>
      <c r="J16" s="58">
        <v>0.06</v>
      </c>
      <c r="K16" s="56">
        <f t="shared" ref="K16:K33" si="7">G16*I16-L16*I16</f>
        <v>790.67737</v>
      </c>
      <c r="L16" s="56">
        <f t="shared" ref="L16:L33" si="8">H16*J16</f>
        <v>811.92179999999985</v>
      </c>
      <c r="M16" s="56">
        <f t="shared" ref="M16:M33" si="9">M15+K16+L16</f>
        <v>707913.52816999983</v>
      </c>
      <c r="N16" s="56">
        <v>0</v>
      </c>
    </row>
    <row r="17" spans="1:14" ht="15" x14ac:dyDescent="0.25">
      <c r="A17" s="12">
        <v>43009</v>
      </c>
      <c r="B17"/>
      <c r="C17" s="56">
        <v>3760136</v>
      </c>
      <c r="D17" s="25">
        <v>7390</v>
      </c>
      <c r="E17" s="25">
        <v>10461</v>
      </c>
      <c r="F17" s="25">
        <v>20922.03</v>
      </c>
      <c r="G17" s="56">
        <f t="shared" si="5"/>
        <v>3071</v>
      </c>
      <c r="H17" s="56">
        <f t="shared" si="6"/>
        <v>13532.029999999999</v>
      </c>
      <c r="I17" s="58">
        <v>0.35</v>
      </c>
      <c r="J17" s="58">
        <v>0.06</v>
      </c>
      <c r="K17" s="56">
        <f t="shared" si="7"/>
        <v>790.67737</v>
      </c>
      <c r="L17" s="56">
        <f t="shared" si="8"/>
        <v>811.92179999999985</v>
      </c>
      <c r="M17" s="59">
        <f t="shared" si="9"/>
        <v>709516.12733999989</v>
      </c>
      <c r="N17" s="56">
        <v>0</v>
      </c>
    </row>
    <row r="18" spans="1:14" ht="15" x14ac:dyDescent="0.25">
      <c r="A18" s="12">
        <v>43040</v>
      </c>
      <c r="B18"/>
      <c r="C18" s="56">
        <v>3760136</v>
      </c>
      <c r="D18" s="25">
        <v>7390</v>
      </c>
      <c r="E18" s="25">
        <v>10461</v>
      </c>
      <c r="F18" s="25">
        <v>20922.03</v>
      </c>
      <c r="G18" s="56">
        <f t="shared" si="5"/>
        <v>3071</v>
      </c>
      <c r="H18" s="56">
        <f t="shared" si="6"/>
        <v>13532.029999999999</v>
      </c>
      <c r="I18" s="58">
        <v>0.35</v>
      </c>
      <c r="J18" s="58">
        <v>0.06</v>
      </c>
      <c r="K18" s="56">
        <f t="shared" si="7"/>
        <v>790.67737</v>
      </c>
      <c r="L18" s="56">
        <f t="shared" si="8"/>
        <v>811.92179999999985</v>
      </c>
      <c r="M18" s="56">
        <f t="shared" si="9"/>
        <v>711118.72650999995</v>
      </c>
      <c r="N18" s="56">
        <v>0</v>
      </c>
    </row>
    <row r="19" spans="1:14" ht="15" x14ac:dyDescent="0.25">
      <c r="A19" s="12">
        <v>43070</v>
      </c>
      <c r="B19"/>
      <c r="C19" s="56">
        <v>4907957</v>
      </c>
      <c r="D19" s="25">
        <v>7390</v>
      </c>
      <c r="E19" s="25">
        <v>10461</v>
      </c>
      <c r="F19" s="25">
        <v>20922.03</v>
      </c>
      <c r="G19" s="56">
        <f t="shared" si="5"/>
        <v>3071</v>
      </c>
      <c r="H19" s="56">
        <f t="shared" si="6"/>
        <v>13532.029999999999</v>
      </c>
      <c r="I19" s="58">
        <v>0.35</v>
      </c>
      <c r="J19" s="58">
        <v>0.06</v>
      </c>
      <c r="K19" s="56">
        <f t="shared" si="7"/>
        <v>790.67737</v>
      </c>
      <c r="L19" s="56">
        <f t="shared" si="8"/>
        <v>811.92179999999985</v>
      </c>
      <c r="M19" s="56">
        <f t="shared" si="9"/>
        <v>712721.32568000001</v>
      </c>
      <c r="N19" s="56">
        <v>0</v>
      </c>
    </row>
    <row r="20" spans="1:14" ht="15" x14ac:dyDescent="0.25">
      <c r="A20" s="12">
        <v>43101</v>
      </c>
      <c r="B20"/>
      <c r="C20" s="56">
        <v>4907957</v>
      </c>
      <c r="D20" s="25">
        <v>7390</v>
      </c>
      <c r="E20" s="25">
        <v>9678</v>
      </c>
      <c r="F20" s="25">
        <f>19355.3</f>
        <v>19355.3</v>
      </c>
      <c r="G20" s="56">
        <f t="shared" si="5"/>
        <v>2288</v>
      </c>
      <c r="H20" s="56">
        <f t="shared" si="6"/>
        <v>11965.3</v>
      </c>
      <c r="I20" s="58">
        <v>0.21</v>
      </c>
      <c r="J20" s="58">
        <v>0.05</v>
      </c>
      <c r="K20" s="56">
        <f t="shared" si="7"/>
        <v>354.84434999999996</v>
      </c>
      <c r="L20" s="56">
        <f t="shared" si="8"/>
        <v>598.26499999999999</v>
      </c>
      <c r="M20" s="56">
        <f t="shared" si="9"/>
        <v>713674.43503000005</v>
      </c>
      <c r="N20" s="56">
        <v>0</v>
      </c>
    </row>
    <row r="21" spans="1:14" ht="15" x14ac:dyDescent="0.25">
      <c r="A21" s="12">
        <v>43132</v>
      </c>
      <c r="B21"/>
      <c r="C21" s="56">
        <v>4907957</v>
      </c>
      <c r="D21" s="25">
        <v>7390</v>
      </c>
      <c r="E21" s="25">
        <v>9678</v>
      </c>
      <c r="F21" s="25">
        <f>19355.3</f>
        <v>19355.3</v>
      </c>
      <c r="G21" s="56">
        <f t="shared" si="5"/>
        <v>2288</v>
      </c>
      <c r="H21" s="56">
        <f t="shared" si="6"/>
        <v>11965.3</v>
      </c>
      <c r="I21" s="58">
        <v>0.21</v>
      </c>
      <c r="J21" s="58">
        <v>0.05</v>
      </c>
      <c r="K21" s="56">
        <f t="shared" si="7"/>
        <v>354.84434999999996</v>
      </c>
      <c r="L21" s="56">
        <f t="shared" si="8"/>
        <v>598.26499999999999</v>
      </c>
      <c r="M21" s="56">
        <f t="shared" si="9"/>
        <v>714627.54438000009</v>
      </c>
      <c r="N21" s="56">
        <v>0</v>
      </c>
    </row>
    <row r="22" spans="1:14" ht="15" x14ac:dyDescent="0.25">
      <c r="A22" s="12">
        <v>43160</v>
      </c>
      <c r="B22"/>
      <c r="C22" s="56">
        <v>4907957</v>
      </c>
      <c r="D22" s="25">
        <v>7390</v>
      </c>
      <c r="E22" s="25">
        <v>9677.65</v>
      </c>
      <c r="F22" s="25">
        <v>19355.3</v>
      </c>
      <c r="G22" s="56">
        <f t="shared" si="5"/>
        <v>2287.6499999999996</v>
      </c>
      <c r="H22" s="56">
        <f t="shared" si="6"/>
        <v>11965.3</v>
      </c>
      <c r="I22" s="58">
        <v>0.21</v>
      </c>
      <c r="J22" s="58">
        <v>0.05</v>
      </c>
      <c r="K22" s="56">
        <f t="shared" si="7"/>
        <v>354.77084999999988</v>
      </c>
      <c r="L22" s="56">
        <f t="shared" si="8"/>
        <v>598.26499999999999</v>
      </c>
      <c r="M22" s="56">
        <f t="shared" si="9"/>
        <v>715580.58023000008</v>
      </c>
      <c r="N22" s="56">
        <v>0</v>
      </c>
    </row>
    <row r="23" spans="1:14" ht="15" x14ac:dyDescent="0.25">
      <c r="A23" s="12">
        <v>43191</v>
      </c>
      <c r="B23"/>
      <c r="C23" s="56">
        <v>4907957</v>
      </c>
      <c r="D23" s="25">
        <v>7390</v>
      </c>
      <c r="E23" s="25">
        <v>9677.65</v>
      </c>
      <c r="F23" s="25">
        <v>19355.3</v>
      </c>
      <c r="G23" s="56">
        <f t="shared" si="5"/>
        <v>2287.6499999999996</v>
      </c>
      <c r="H23" s="56">
        <f t="shared" si="6"/>
        <v>11965.3</v>
      </c>
      <c r="I23" s="58">
        <v>0.21</v>
      </c>
      <c r="J23" s="58">
        <v>0.05</v>
      </c>
      <c r="K23" s="56">
        <f t="shared" si="7"/>
        <v>354.77084999999988</v>
      </c>
      <c r="L23" s="56">
        <f t="shared" si="8"/>
        <v>598.26499999999999</v>
      </c>
      <c r="M23" s="59">
        <f t="shared" si="9"/>
        <v>716533.61608000007</v>
      </c>
      <c r="N23" s="56">
        <v>0</v>
      </c>
    </row>
    <row r="24" spans="1:14" ht="15" x14ac:dyDescent="0.25">
      <c r="A24" s="12">
        <v>43221</v>
      </c>
      <c r="B24"/>
      <c r="C24" s="56">
        <v>4907957</v>
      </c>
      <c r="D24" s="25">
        <v>7390</v>
      </c>
      <c r="E24" s="25">
        <v>9677.65</v>
      </c>
      <c r="F24" s="25">
        <v>19355.3</v>
      </c>
      <c r="G24" s="56">
        <f t="shared" si="5"/>
        <v>2287.6499999999996</v>
      </c>
      <c r="H24" s="56">
        <f t="shared" si="6"/>
        <v>11965.3</v>
      </c>
      <c r="I24" s="58">
        <v>0.21</v>
      </c>
      <c r="J24" s="58">
        <v>0.05</v>
      </c>
      <c r="K24" s="56">
        <f t="shared" si="7"/>
        <v>354.77084999999988</v>
      </c>
      <c r="L24" s="56">
        <f t="shared" si="8"/>
        <v>598.26499999999999</v>
      </c>
      <c r="M24" s="56">
        <f t="shared" si="9"/>
        <v>717486.65193000005</v>
      </c>
      <c r="N24" s="56">
        <v>0</v>
      </c>
    </row>
    <row r="25" spans="1:14" ht="15" x14ac:dyDescent="0.25">
      <c r="A25" s="12">
        <v>43252</v>
      </c>
      <c r="B25"/>
      <c r="C25" s="56">
        <v>4907957</v>
      </c>
      <c r="D25" s="25">
        <v>7390</v>
      </c>
      <c r="E25" s="25">
        <v>9677.65</v>
      </c>
      <c r="F25" s="25">
        <v>19355.3</v>
      </c>
      <c r="G25" s="56">
        <f t="shared" si="5"/>
        <v>2287.6499999999996</v>
      </c>
      <c r="H25" s="56">
        <f t="shared" si="6"/>
        <v>11965.3</v>
      </c>
      <c r="I25" s="58">
        <v>0.21</v>
      </c>
      <c r="J25" s="58">
        <v>0.05</v>
      </c>
      <c r="K25" s="56">
        <f t="shared" si="7"/>
        <v>354.77084999999988</v>
      </c>
      <c r="L25" s="56">
        <f t="shared" si="8"/>
        <v>598.26499999999999</v>
      </c>
      <c r="M25" s="56">
        <f t="shared" si="9"/>
        <v>718439.68778000004</v>
      </c>
      <c r="N25" s="56">
        <v>0</v>
      </c>
    </row>
    <row r="26" spans="1:14" ht="15" x14ac:dyDescent="0.25">
      <c r="A26" s="12">
        <v>43282</v>
      </c>
      <c r="B26"/>
      <c r="C26" s="56">
        <v>4907957</v>
      </c>
      <c r="D26" s="25">
        <v>7390</v>
      </c>
      <c r="E26" s="25">
        <v>9677.65</v>
      </c>
      <c r="F26" s="25">
        <v>19355.3</v>
      </c>
      <c r="G26" s="56">
        <f t="shared" si="5"/>
        <v>2287.6499999999996</v>
      </c>
      <c r="H26" s="56">
        <f t="shared" si="6"/>
        <v>11965.3</v>
      </c>
      <c r="I26" s="58">
        <v>0.21</v>
      </c>
      <c r="J26" s="58">
        <v>0.05</v>
      </c>
      <c r="K26" s="56">
        <f t="shared" si="7"/>
        <v>354.77084999999988</v>
      </c>
      <c r="L26" s="56">
        <f t="shared" si="8"/>
        <v>598.26499999999999</v>
      </c>
      <c r="M26" s="56">
        <f t="shared" si="9"/>
        <v>719392.72363000002</v>
      </c>
      <c r="N26" s="56">
        <v>0</v>
      </c>
    </row>
    <row r="27" spans="1:14" ht="15" x14ac:dyDescent="0.25">
      <c r="A27" s="12">
        <v>43313</v>
      </c>
      <c r="B27"/>
      <c r="C27" s="56">
        <v>4911253</v>
      </c>
      <c r="D27" s="25">
        <v>7390</v>
      </c>
      <c r="E27" s="25">
        <v>9677.65</v>
      </c>
      <c r="F27" s="25">
        <v>19355.3</v>
      </c>
      <c r="G27" s="56">
        <f t="shared" si="5"/>
        <v>2287.6499999999996</v>
      </c>
      <c r="H27" s="56">
        <f t="shared" si="6"/>
        <v>11965.3</v>
      </c>
      <c r="I27" s="58">
        <v>0.21</v>
      </c>
      <c r="J27" s="58">
        <v>0.05</v>
      </c>
      <c r="K27" s="56">
        <f t="shared" si="7"/>
        <v>354.77084999999988</v>
      </c>
      <c r="L27" s="56">
        <f t="shared" si="8"/>
        <v>598.26499999999999</v>
      </c>
      <c r="M27" s="56">
        <f t="shared" si="9"/>
        <v>720345.75948000001</v>
      </c>
      <c r="N27" s="56">
        <v>0</v>
      </c>
    </row>
    <row r="28" spans="1:14" ht="15" x14ac:dyDescent="0.25">
      <c r="A28" s="10">
        <v>43352</v>
      </c>
      <c r="B28"/>
      <c r="C28" s="56">
        <v>4911253</v>
      </c>
      <c r="D28" s="25">
        <v>7390</v>
      </c>
      <c r="E28" s="25">
        <v>9677.65</v>
      </c>
      <c r="F28" s="25">
        <v>19355.3</v>
      </c>
      <c r="G28" s="56">
        <f t="shared" si="5"/>
        <v>2287.6499999999996</v>
      </c>
      <c r="H28" s="56">
        <f t="shared" si="6"/>
        <v>11965.3</v>
      </c>
      <c r="I28" s="58">
        <v>0.21</v>
      </c>
      <c r="J28" s="58">
        <v>0.05</v>
      </c>
      <c r="K28" s="56">
        <f t="shared" si="7"/>
        <v>354.77084999999988</v>
      </c>
      <c r="L28" s="56">
        <f t="shared" si="8"/>
        <v>598.26499999999999</v>
      </c>
      <c r="M28" s="56">
        <f t="shared" si="9"/>
        <v>721298.79532999999</v>
      </c>
      <c r="N28" s="56">
        <v>0</v>
      </c>
    </row>
    <row r="29" spans="1:14" ht="15" x14ac:dyDescent="0.25">
      <c r="A29" s="12">
        <v>43374</v>
      </c>
      <c r="B29"/>
      <c r="C29" s="56">
        <v>4911253</v>
      </c>
      <c r="D29" s="25">
        <v>7390</v>
      </c>
      <c r="E29" s="25">
        <v>9677.65</v>
      </c>
      <c r="F29" s="25">
        <v>19355.3</v>
      </c>
      <c r="G29" s="56">
        <f t="shared" si="5"/>
        <v>2287.6499999999996</v>
      </c>
      <c r="H29" s="56">
        <f t="shared" si="6"/>
        <v>11965.3</v>
      </c>
      <c r="I29" s="58">
        <v>0.21</v>
      </c>
      <c r="J29" s="58">
        <v>0.05</v>
      </c>
      <c r="K29" s="56">
        <f t="shared" si="7"/>
        <v>354.77084999999988</v>
      </c>
      <c r="L29" s="56">
        <f t="shared" si="8"/>
        <v>598.26499999999999</v>
      </c>
      <c r="M29" s="59">
        <f t="shared" si="9"/>
        <v>722251.83117999998</v>
      </c>
      <c r="N29" s="56">
        <v>0</v>
      </c>
    </row>
    <row r="30" spans="1:14" ht="15" x14ac:dyDescent="0.25">
      <c r="A30" s="12">
        <v>43405</v>
      </c>
      <c r="B30"/>
      <c r="C30" s="56">
        <v>4911253</v>
      </c>
      <c r="D30" s="25">
        <v>7390</v>
      </c>
      <c r="E30" s="25">
        <v>9677.65</v>
      </c>
      <c r="F30" s="25">
        <v>19355.3</v>
      </c>
      <c r="G30" s="56">
        <f t="shared" si="5"/>
        <v>2287.6499999999996</v>
      </c>
      <c r="H30" s="56">
        <f t="shared" si="6"/>
        <v>11965.3</v>
      </c>
      <c r="I30" s="58">
        <v>0.21</v>
      </c>
      <c r="J30" s="58">
        <v>0.05</v>
      </c>
      <c r="K30" s="56">
        <f t="shared" si="7"/>
        <v>354.77084999999988</v>
      </c>
      <c r="L30" s="56">
        <f t="shared" si="8"/>
        <v>598.26499999999999</v>
      </c>
      <c r="M30" s="56">
        <f t="shared" si="9"/>
        <v>723204.86702999996</v>
      </c>
      <c r="N30" s="56">
        <v>0</v>
      </c>
    </row>
    <row r="31" spans="1:14" ht="15" x14ac:dyDescent="0.25">
      <c r="A31" s="12">
        <v>43435</v>
      </c>
      <c r="B31"/>
      <c r="C31" s="56">
        <v>5154734</v>
      </c>
      <c r="D31" s="25">
        <v>7572</v>
      </c>
      <c r="E31" s="25">
        <f>16590.23</f>
        <v>16590.23</v>
      </c>
      <c r="F31" s="25">
        <f>26267.88</f>
        <v>26267.88</v>
      </c>
      <c r="G31" s="56">
        <f t="shared" si="5"/>
        <v>9018.23</v>
      </c>
      <c r="H31" s="56">
        <f t="shared" si="6"/>
        <v>18695.88</v>
      </c>
      <c r="I31" s="58">
        <v>0.21</v>
      </c>
      <c r="J31" s="58">
        <v>0.05</v>
      </c>
      <c r="K31" s="56">
        <f t="shared" si="7"/>
        <v>1697.5215599999999</v>
      </c>
      <c r="L31" s="56">
        <f t="shared" si="8"/>
        <v>934.7940000000001</v>
      </c>
      <c r="M31" s="56">
        <f t="shared" si="9"/>
        <v>725837.18258999998</v>
      </c>
      <c r="N31" s="56">
        <v>0</v>
      </c>
    </row>
    <row r="32" spans="1:14" ht="15" x14ac:dyDescent="0.25">
      <c r="A32" s="12">
        <v>43466</v>
      </c>
      <c r="B32"/>
      <c r="C32" s="56">
        <v>5154734</v>
      </c>
      <c r="D32" s="25">
        <v>7754</v>
      </c>
      <c r="E32" s="25">
        <f>10059.62</f>
        <v>10059.620000000001</v>
      </c>
      <c r="F32" s="25">
        <v>19010.310000000001</v>
      </c>
      <c r="G32" s="56">
        <f t="shared" si="5"/>
        <v>2305.6200000000008</v>
      </c>
      <c r="H32" s="56">
        <f t="shared" si="6"/>
        <v>11256.310000000001</v>
      </c>
      <c r="I32" s="58">
        <v>0.21</v>
      </c>
      <c r="J32" s="58">
        <v>0.05</v>
      </c>
      <c r="K32" s="56">
        <f t="shared" si="7"/>
        <v>365.98894500000011</v>
      </c>
      <c r="L32" s="56">
        <f t="shared" si="8"/>
        <v>562.81550000000004</v>
      </c>
      <c r="M32" s="56">
        <f t="shared" si="9"/>
        <v>726765.987035</v>
      </c>
      <c r="N32" s="56">
        <v>0</v>
      </c>
    </row>
    <row r="33" spans="1:14" ht="15" x14ac:dyDescent="0.25">
      <c r="A33" s="12">
        <v>43497</v>
      </c>
      <c r="B33"/>
      <c r="C33" s="56">
        <v>5154734</v>
      </c>
      <c r="D33" s="25">
        <v>7754</v>
      </c>
      <c r="E33" s="25">
        <f>10059.62-4</f>
        <v>10055.620000000001</v>
      </c>
      <c r="F33" s="25">
        <v>19010.310000000001</v>
      </c>
      <c r="G33" s="56">
        <f t="shared" si="5"/>
        <v>2301.6200000000008</v>
      </c>
      <c r="H33" s="56">
        <f t="shared" si="6"/>
        <v>11256.310000000001</v>
      </c>
      <c r="I33" s="58">
        <v>0.21</v>
      </c>
      <c r="J33" s="58">
        <v>0.05</v>
      </c>
      <c r="K33" s="56">
        <f t="shared" si="7"/>
        <v>365.14894500000014</v>
      </c>
      <c r="L33" s="56">
        <f t="shared" si="8"/>
        <v>562.81550000000004</v>
      </c>
      <c r="M33" s="56">
        <f t="shared" si="9"/>
        <v>727693.95148000005</v>
      </c>
      <c r="N33" s="56">
        <v>0</v>
      </c>
    </row>
    <row r="34" spans="1:14" x14ac:dyDescent="0.2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x14ac:dyDescent="0.2">
      <c r="C35" s="40" t="s">
        <v>45</v>
      </c>
      <c r="D35" s="61"/>
      <c r="E35" s="61"/>
      <c r="F35" s="61"/>
      <c r="G35" s="61"/>
      <c r="H35" s="61"/>
      <c r="I35" s="61"/>
      <c r="J35" s="61"/>
      <c r="K35" s="31"/>
      <c r="L35" s="31"/>
      <c r="M35" s="31"/>
      <c r="N35" s="31"/>
    </row>
    <row r="36" spans="1:14" x14ac:dyDescent="0.2">
      <c r="C36" s="40" t="s">
        <v>21</v>
      </c>
      <c r="D36" s="61"/>
      <c r="E36" s="61"/>
      <c r="F36" s="61"/>
      <c r="G36" s="61"/>
      <c r="H36" s="61"/>
      <c r="I36" s="61"/>
      <c r="J36" s="61"/>
      <c r="K36" s="31"/>
      <c r="L36" s="31"/>
      <c r="M36" s="31"/>
      <c r="N36" s="31"/>
    </row>
    <row r="37" spans="1:14" x14ac:dyDescent="0.2">
      <c r="C37" s="40" t="s">
        <v>58</v>
      </c>
      <c r="D37" s="61"/>
      <c r="E37" s="61"/>
      <c r="F37" s="61"/>
      <c r="G37" s="61"/>
      <c r="H37" s="61"/>
      <c r="I37" s="61"/>
      <c r="J37" s="61"/>
      <c r="K37" s="31"/>
      <c r="L37" s="31"/>
      <c r="M37" s="31"/>
      <c r="N37" s="31"/>
    </row>
    <row r="38" spans="1:14" x14ac:dyDescent="0.2">
      <c r="C38" s="59" t="s">
        <v>22</v>
      </c>
      <c r="D38" s="61"/>
      <c r="E38" s="61"/>
      <c r="F38" s="61"/>
      <c r="G38" s="61"/>
      <c r="H38" s="61"/>
      <c r="I38" s="61"/>
      <c r="J38" s="61"/>
      <c r="K38" s="31"/>
      <c r="L38" s="31"/>
      <c r="M38" s="31"/>
      <c r="N38" s="31"/>
    </row>
    <row r="39" spans="1:14" x14ac:dyDescent="0.2">
      <c r="C39" s="61"/>
      <c r="D39" s="61"/>
      <c r="E39" s="61"/>
      <c r="F39" s="61"/>
      <c r="G39" s="61"/>
      <c r="H39" s="61"/>
      <c r="I39" s="61"/>
      <c r="J39" s="61"/>
      <c r="K39" s="31"/>
      <c r="L39" s="31"/>
      <c r="M39" s="31"/>
      <c r="N39" s="31"/>
    </row>
    <row r="40" spans="1:14" x14ac:dyDescent="0.2">
      <c r="C40" s="59" t="s">
        <v>23</v>
      </c>
      <c r="D40" s="28" t="s">
        <v>24</v>
      </c>
      <c r="E40" s="27" t="s">
        <v>25</v>
      </c>
      <c r="F40" s="59" t="s">
        <v>26</v>
      </c>
      <c r="G40" s="60" t="s">
        <v>12</v>
      </c>
      <c r="H40" s="59" t="s">
        <v>27</v>
      </c>
      <c r="I40" s="61"/>
      <c r="J40" s="61"/>
      <c r="K40" s="31"/>
      <c r="L40" s="31"/>
      <c r="M40" s="31"/>
      <c r="N40" s="31"/>
    </row>
    <row r="41" spans="1:14" x14ac:dyDescent="0.2">
      <c r="C41" s="56">
        <v>1880068.145</v>
      </c>
      <c r="D41" s="56">
        <v>7754</v>
      </c>
      <c r="E41" s="56">
        <v>8951</v>
      </c>
      <c r="F41" s="56">
        <f>E41-D41</f>
        <v>1197</v>
      </c>
      <c r="G41" s="58">
        <v>0.21</v>
      </c>
      <c r="H41" s="56">
        <f>F41*G41</f>
        <v>251.37</v>
      </c>
      <c r="I41" s="61"/>
      <c r="J41" s="61"/>
      <c r="K41" s="31"/>
      <c r="L41" s="31"/>
      <c r="M41" s="31"/>
      <c r="N41" s="31"/>
    </row>
    <row r="42" spans="1:14" x14ac:dyDescent="0.2">
      <c r="C42" s="56">
        <v>1210263</v>
      </c>
      <c r="D42" s="56"/>
      <c r="E42" s="56">
        <v>0</v>
      </c>
      <c r="F42" s="56">
        <f t="shared" ref="F42:F43" si="10">E42-D42</f>
        <v>0</v>
      </c>
      <c r="G42" s="58">
        <v>0.21</v>
      </c>
      <c r="H42" s="56">
        <f t="shared" ref="H42:H43" si="11">F42*G42</f>
        <v>0</v>
      </c>
      <c r="I42" s="61"/>
      <c r="J42" s="61"/>
      <c r="K42" s="31"/>
      <c r="L42" s="31"/>
      <c r="M42" s="31"/>
      <c r="N42" s="31"/>
    </row>
    <row r="43" spans="1:14" ht="15" x14ac:dyDescent="0.35">
      <c r="C43" s="45">
        <v>184335</v>
      </c>
      <c r="D43" s="56"/>
      <c r="E43" s="45">
        <f>1109-4</f>
        <v>1105</v>
      </c>
      <c r="F43" s="45">
        <f t="shared" si="10"/>
        <v>1105</v>
      </c>
      <c r="G43" s="58">
        <v>0.21</v>
      </c>
      <c r="H43" s="45">
        <f t="shared" si="11"/>
        <v>232.04999999999998</v>
      </c>
      <c r="I43" s="61"/>
      <c r="J43" s="61"/>
      <c r="K43" s="31"/>
      <c r="L43" s="31"/>
      <c r="M43" s="31"/>
      <c r="N43" s="31"/>
    </row>
    <row r="44" spans="1:14" x14ac:dyDescent="0.2">
      <c r="C44" s="56">
        <f>SUM(C41:C43)</f>
        <v>3274666.145</v>
      </c>
      <c r="D44" s="61"/>
      <c r="E44" s="56">
        <f>SUM(E41:E43)</f>
        <v>10056</v>
      </c>
      <c r="F44" s="56">
        <f>SUM(F41:F43)</f>
        <v>2302</v>
      </c>
      <c r="G44" s="47" t="s">
        <v>28</v>
      </c>
      <c r="H44" s="56">
        <f>SUM(H41:H43)</f>
        <v>483.41999999999996</v>
      </c>
      <c r="I44" s="61"/>
      <c r="J44" s="61"/>
      <c r="K44" s="31"/>
      <c r="L44" s="31"/>
      <c r="M44" s="31"/>
      <c r="N44" s="31"/>
    </row>
    <row r="45" spans="1:14" ht="15" x14ac:dyDescent="0.35">
      <c r="C45" s="61"/>
      <c r="D45" s="61"/>
      <c r="E45" s="61"/>
      <c r="F45" s="61"/>
      <c r="G45" s="47" t="s">
        <v>29</v>
      </c>
      <c r="H45" s="45">
        <f>-H52*0.21</f>
        <v>-118.18800000000002</v>
      </c>
      <c r="I45" s="61"/>
      <c r="J45" s="61"/>
      <c r="K45" s="31"/>
      <c r="L45" s="31"/>
      <c r="M45" s="31"/>
      <c r="N45" s="31"/>
    </row>
    <row r="46" spans="1:14" x14ac:dyDescent="0.2">
      <c r="C46" s="61"/>
      <c r="D46" s="61"/>
      <c r="E46" s="61"/>
      <c r="F46" s="61"/>
      <c r="G46" s="61"/>
      <c r="H46" s="56">
        <f>H44+H45</f>
        <v>365.23199999999997</v>
      </c>
      <c r="I46" s="61"/>
      <c r="J46" s="61"/>
      <c r="K46" s="31"/>
      <c r="L46" s="31"/>
      <c r="M46" s="31"/>
      <c r="N46" s="31"/>
    </row>
    <row r="47" spans="1:14" x14ac:dyDescent="0.2">
      <c r="C47" s="61"/>
      <c r="D47" s="61"/>
      <c r="E47" s="61"/>
      <c r="F47" s="61"/>
      <c r="G47" s="61"/>
      <c r="H47" s="56">
        <f>H46-K33</f>
        <v>8.3054999999831125E-2</v>
      </c>
      <c r="I47" s="61"/>
      <c r="J47" s="61"/>
      <c r="K47" s="31"/>
      <c r="L47" s="31"/>
      <c r="M47" s="31"/>
      <c r="N47" s="31"/>
    </row>
    <row r="48" spans="1:14" x14ac:dyDescent="0.2">
      <c r="C48" s="59" t="s">
        <v>30</v>
      </c>
      <c r="D48" s="26" t="s">
        <v>24</v>
      </c>
      <c r="E48" s="27" t="s">
        <v>31</v>
      </c>
      <c r="F48" s="59" t="s">
        <v>32</v>
      </c>
      <c r="G48" s="60" t="s">
        <v>13</v>
      </c>
      <c r="H48" s="59" t="s">
        <v>33</v>
      </c>
      <c r="I48" s="61"/>
      <c r="J48" s="61"/>
      <c r="K48" s="31"/>
      <c r="L48" s="31"/>
      <c r="M48" s="31"/>
      <c r="N48" s="31"/>
    </row>
    <row r="49" spans="3:14" x14ac:dyDescent="0.2">
      <c r="C49" s="56">
        <v>3760136.29</v>
      </c>
      <c r="D49" s="56">
        <f>D41</f>
        <v>7754</v>
      </c>
      <c r="E49" s="56">
        <v>17901</v>
      </c>
      <c r="F49" s="56">
        <f>E49-D49</f>
        <v>10147</v>
      </c>
      <c r="G49" s="58">
        <v>0.05</v>
      </c>
      <c r="H49" s="56">
        <f>F49*G49</f>
        <v>507.35</v>
      </c>
      <c r="I49" s="61"/>
      <c r="J49" s="61"/>
      <c r="K49" s="31"/>
      <c r="L49" s="31"/>
      <c r="M49" s="31"/>
      <c r="N49" s="31"/>
    </row>
    <row r="50" spans="3:14" x14ac:dyDescent="0.2">
      <c r="C50" s="56">
        <v>1210263</v>
      </c>
      <c r="D50" s="56"/>
      <c r="E50" s="56">
        <v>0</v>
      </c>
      <c r="F50" s="56">
        <f t="shared" ref="F50:F51" si="12">E50-D50</f>
        <v>0</v>
      </c>
      <c r="G50" s="58">
        <v>0.05</v>
      </c>
      <c r="H50" s="56">
        <f t="shared" ref="H50:H51" si="13">F50*G50</f>
        <v>0</v>
      </c>
      <c r="I50" s="61"/>
      <c r="J50" s="61"/>
      <c r="K50" s="31"/>
      <c r="L50" s="31"/>
      <c r="M50" s="31"/>
      <c r="N50" s="31"/>
    </row>
    <row r="51" spans="3:14" ht="15" x14ac:dyDescent="0.35">
      <c r="C51" s="45">
        <v>184335</v>
      </c>
      <c r="D51" s="56"/>
      <c r="E51" s="45">
        <v>1109</v>
      </c>
      <c r="F51" s="45">
        <f t="shared" si="12"/>
        <v>1109</v>
      </c>
      <c r="G51" s="58">
        <v>0.05</v>
      </c>
      <c r="H51" s="45">
        <f t="shared" si="13"/>
        <v>55.45</v>
      </c>
      <c r="I51" s="61"/>
      <c r="J51" s="61"/>
      <c r="K51" s="31"/>
      <c r="L51" s="31"/>
      <c r="M51" s="31"/>
      <c r="N51" s="31"/>
    </row>
    <row r="52" spans="3:14" x14ac:dyDescent="0.2">
      <c r="C52" s="56">
        <f>SUM(C49:C51)</f>
        <v>5154734.29</v>
      </c>
      <c r="D52" s="61"/>
      <c r="E52" s="56">
        <f>SUM(E49:E51)</f>
        <v>19010</v>
      </c>
      <c r="F52" s="56">
        <f>SUM(F49:F51)</f>
        <v>11256</v>
      </c>
      <c r="G52" s="61"/>
      <c r="H52" s="56">
        <f>SUM(H49:H51)</f>
        <v>562.80000000000007</v>
      </c>
      <c r="I52" s="61"/>
      <c r="J52" s="61"/>
      <c r="K52" s="31"/>
      <c r="L52" s="31"/>
      <c r="M52" s="31"/>
      <c r="N52" s="31"/>
    </row>
    <row r="53" spans="3:14" x14ac:dyDescent="0.2">
      <c r="C53" s="61"/>
      <c r="D53" s="61"/>
      <c r="E53" s="61"/>
      <c r="F53" s="61"/>
      <c r="G53" s="61"/>
      <c r="H53" s="56">
        <f>H52-L33</f>
        <v>-1.5499999999974534E-2</v>
      </c>
      <c r="I53" s="61"/>
      <c r="J53" s="61"/>
      <c r="K53" s="31"/>
      <c r="L53" s="31"/>
      <c r="M53" s="31"/>
      <c r="N53" s="31"/>
    </row>
    <row r="54" spans="3:14" x14ac:dyDescent="0.2">
      <c r="C54" s="61"/>
      <c r="D54" s="61"/>
      <c r="E54" s="61"/>
      <c r="F54" s="61"/>
      <c r="G54" s="61"/>
      <c r="H54" s="61"/>
      <c r="I54" s="61"/>
      <c r="J54" s="61"/>
      <c r="K54" s="31"/>
      <c r="L54" s="31"/>
      <c r="M54" s="31"/>
      <c r="N54" s="31"/>
    </row>
  </sheetData>
  <pageMargins left="0.7" right="0.7" top="1.15625" bottom="0.75" header="0.3" footer="0.3"/>
  <pageSetup scale="51" orientation="portrait" r:id="rId1"/>
  <headerFooter>
    <oddHeader>&amp;R&amp;"Times New Roman,Bold"&amp;12Attachment to Response to Question 3
Page &amp;P of &amp;N
Williams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53"/>
  <sheetViews>
    <sheetView zoomScaleNormal="100" workbookViewId="0">
      <selection activeCell="F31" sqref="F31"/>
    </sheetView>
  </sheetViews>
  <sheetFormatPr defaultColWidth="8.85546875" defaultRowHeight="12.75" x14ac:dyDescent="0.2"/>
  <cols>
    <col min="1" max="1" width="11.28515625" style="23" customWidth="1"/>
    <col min="2" max="2" width="1.7109375" style="15" customWidth="1"/>
    <col min="3" max="3" width="12.7109375" style="15" customWidth="1"/>
    <col min="4" max="4" width="14.28515625" style="15" bestFit="1" customWidth="1"/>
    <col min="5" max="5" width="14.28515625" style="15" customWidth="1"/>
    <col min="6" max="6" width="14.28515625" style="15" bestFit="1" customWidth="1"/>
    <col min="7" max="7" width="14.28515625" style="15" customWidth="1"/>
    <col min="8" max="12" width="12.7109375" style="15" customWidth="1"/>
    <col min="13" max="13" width="16.5703125" style="15" bestFit="1" customWidth="1"/>
    <col min="14" max="14" width="12.7109375" style="15" customWidth="1"/>
    <col min="15" max="15" width="11.28515625" style="15" bestFit="1" customWidth="1"/>
    <col min="16" max="16384" width="8.85546875" style="15"/>
  </cols>
  <sheetData>
    <row r="1" spans="1:15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x14ac:dyDescent="0.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5"/>
    </row>
    <row r="5" spans="1:15" x14ac:dyDescent="0.2">
      <c r="A5" s="18" t="s">
        <v>3</v>
      </c>
    </row>
    <row r="6" spans="1:15" x14ac:dyDescent="0.2">
      <c r="A6" s="19" t="s">
        <v>46</v>
      </c>
    </row>
    <row r="8" spans="1:15" s="22" customFormat="1" ht="38.25" x14ac:dyDescent="0.2">
      <c r="A8" s="20" t="s">
        <v>5</v>
      </c>
      <c r="B8" s="21"/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38</v>
      </c>
      <c r="J8" s="21" t="s">
        <v>39</v>
      </c>
      <c r="K8" s="21" t="s">
        <v>14</v>
      </c>
      <c r="L8" s="21" t="s">
        <v>15</v>
      </c>
      <c r="M8" s="21" t="s">
        <v>16</v>
      </c>
      <c r="N8" s="21" t="s">
        <v>17</v>
      </c>
    </row>
    <row r="9" spans="1:15" x14ac:dyDescent="0.2">
      <c r="A9" s="23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25">
        <v>865025</v>
      </c>
      <c r="N9" s="31"/>
    </row>
    <row r="10" spans="1:15" ht="15" x14ac:dyDescent="0.25">
      <c r="A10" s="10">
        <v>42795</v>
      </c>
      <c r="B10"/>
      <c r="C10" s="56">
        <v>4193823</v>
      </c>
      <c r="D10" s="25">
        <v>7118</v>
      </c>
      <c r="E10" s="25">
        <v>9186</v>
      </c>
      <c r="F10" s="25">
        <v>18372</v>
      </c>
      <c r="G10" s="25">
        <f>E10-D10</f>
        <v>2068</v>
      </c>
      <c r="H10" s="56">
        <f>F10-D10</f>
        <v>11254</v>
      </c>
      <c r="I10" s="58">
        <v>0.35</v>
      </c>
      <c r="J10" s="58">
        <v>0.06</v>
      </c>
      <c r="K10" s="56">
        <f>G10*I10-L10*I10</f>
        <v>487.46600000000001</v>
      </c>
      <c r="L10" s="56">
        <f>H10*J10</f>
        <v>675.24</v>
      </c>
      <c r="M10" s="56">
        <f>M9+K10+L10</f>
        <v>866187.70600000001</v>
      </c>
      <c r="N10" s="56">
        <v>0</v>
      </c>
      <c r="O10" s="31" t="s">
        <v>19</v>
      </c>
    </row>
    <row r="11" spans="1:15" ht="15" x14ac:dyDescent="0.25">
      <c r="A11" s="12">
        <v>42826</v>
      </c>
      <c r="B11"/>
      <c r="C11" s="56">
        <v>4193823</v>
      </c>
      <c r="D11" s="25">
        <v>7118</v>
      </c>
      <c r="E11" s="25">
        <v>9186.5</v>
      </c>
      <c r="F11" s="25">
        <v>18371.8</v>
      </c>
      <c r="G11" s="25">
        <f t="shared" ref="G11:G15" si="0">E11-D11</f>
        <v>2068.5</v>
      </c>
      <c r="H11" s="56">
        <f t="shared" ref="H11:H15" si="1">F11-D11</f>
        <v>11253.8</v>
      </c>
      <c r="I11" s="58">
        <v>0.35</v>
      </c>
      <c r="J11" s="58">
        <v>0.06</v>
      </c>
      <c r="K11" s="56">
        <f t="shared" ref="K11:K15" si="2">G11*I11-L11*I11</f>
        <v>487.64519999999993</v>
      </c>
      <c r="L11" s="56">
        <f t="shared" ref="L11:L15" si="3">H11*J11</f>
        <v>675.22799999999995</v>
      </c>
      <c r="M11" s="56">
        <f t="shared" ref="M11:M14" si="4">M10+K11+L11</f>
        <v>867350.57920000004</v>
      </c>
      <c r="N11" s="56">
        <v>0</v>
      </c>
      <c r="O11" s="30" t="s">
        <v>19</v>
      </c>
    </row>
    <row r="12" spans="1:15" ht="15" x14ac:dyDescent="0.25">
      <c r="A12" s="12">
        <v>42856</v>
      </c>
      <c r="B12"/>
      <c r="C12" s="56">
        <v>4193823</v>
      </c>
      <c r="D12" s="25">
        <v>7118</v>
      </c>
      <c r="E12" s="25">
        <v>9186.5</v>
      </c>
      <c r="F12" s="25">
        <v>18371.5</v>
      </c>
      <c r="G12" s="25">
        <f t="shared" si="0"/>
        <v>2068.5</v>
      </c>
      <c r="H12" s="56">
        <f t="shared" si="1"/>
        <v>11253.5</v>
      </c>
      <c r="I12" s="58">
        <v>0.35</v>
      </c>
      <c r="J12" s="58">
        <v>0.06</v>
      </c>
      <c r="K12" s="56">
        <f t="shared" si="2"/>
        <v>487.65149999999994</v>
      </c>
      <c r="L12" s="56">
        <f t="shared" si="3"/>
        <v>675.20999999999992</v>
      </c>
      <c r="M12" s="56">
        <f t="shared" si="4"/>
        <v>868513.44070000004</v>
      </c>
      <c r="N12" s="56">
        <v>0</v>
      </c>
    </row>
    <row r="13" spans="1:15" ht="15" x14ac:dyDescent="0.25">
      <c r="A13" s="12">
        <v>42887</v>
      </c>
      <c r="B13"/>
      <c r="C13" s="56">
        <v>4193823</v>
      </c>
      <c r="D13" s="25">
        <v>7118</v>
      </c>
      <c r="E13" s="25">
        <v>9186.9</v>
      </c>
      <c r="F13" s="25">
        <v>18371.900000000001</v>
      </c>
      <c r="G13" s="25">
        <f t="shared" si="0"/>
        <v>2068.8999999999996</v>
      </c>
      <c r="H13" s="56">
        <f t="shared" si="1"/>
        <v>11253.900000000001</v>
      </c>
      <c r="I13" s="58">
        <v>0.35</v>
      </c>
      <c r="J13" s="58">
        <v>0.06</v>
      </c>
      <c r="K13" s="56">
        <f t="shared" si="2"/>
        <v>487.78309999999976</v>
      </c>
      <c r="L13" s="56">
        <f t="shared" si="3"/>
        <v>675.23400000000004</v>
      </c>
      <c r="M13" s="56">
        <f t="shared" si="4"/>
        <v>869676.45780000009</v>
      </c>
      <c r="N13" s="56">
        <v>0</v>
      </c>
      <c r="O13" s="30"/>
    </row>
    <row r="14" spans="1:15" ht="15" x14ac:dyDescent="0.25">
      <c r="A14" s="12">
        <v>42917</v>
      </c>
      <c r="B14"/>
      <c r="C14" s="56">
        <v>4193823</v>
      </c>
      <c r="D14" s="25">
        <v>8033</v>
      </c>
      <c r="E14" s="25">
        <f>9186.9+910-910-3</f>
        <v>9183.9</v>
      </c>
      <c r="F14" s="25">
        <f>18371.9+910-910-1</f>
        <v>18370.900000000001</v>
      </c>
      <c r="G14" s="25">
        <f t="shared" si="0"/>
        <v>1150.8999999999996</v>
      </c>
      <c r="H14" s="56">
        <f t="shared" si="1"/>
        <v>10337.900000000001</v>
      </c>
      <c r="I14" s="58">
        <v>0.35</v>
      </c>
      <c r="J14" s="58">
        <v>0.06</v>
      </c>
      <c r="K14" s="56">
        <f t="shared" si="2"/>
        <v>185.7190999999998</v>
      </c>
      <c r="L14" s="56">
        <f t="shared" si="3"/>
        <v>620.27400000000011</v>
      </c>
      <c r="M14" s="56">
        <f t="shared" si="4"/>
        <v>870482.45090000005</v>
      </c>
      <c r="N14" s="56">
        <v>0</v>
      </c>
      <c r="O14" s="30"/>
    </row>
    <row r="15" spans="1:15" ht="15" x14ac:dyDescent="0.25">
      <c r="A15" s="12">
        <v>42948</v>
      </c>
      <c r="B15"/>
      <c r="C15" s="56">
        <v>4193823</v>
      </c>
      <c r="D15" s="25">
        <v>8033</v>
      </c>
      <c r="E15" s="25">
        <f>9186.9+915-915-3</f>
        <v>9183.9</v>
      </c>
      <c r="F15" s="25">
        <f>18371.9+915-915-1</f>
        <v>18370.900000000001</v>
      </c>
      <c r="G15" s="25">
        <f t="shared" si="0"/>
        <v>1150.8999999999996</v>
      </c>
      <c r="H15" s="56">
        <f t="shared" si="1"/>
        <v>10337.900000000001</v>
      </c>
      <c r="I15" s="58">
        <v>0.35</v>
      </c>
      <c r="J15" s="58">
        <v>0.06</v>
      </c>
      <c r="K15" s="56">
        <f t="shared" si="2"/>
        <v>185.7190999999998</v>
      </c>
      <c r="L15" s="56">
        <f t="shared" si="3"/>
        <v>620.27400000000011</v>
      </c>
      <c r="M15" s="59">
        <f>M14+K15+L15-2</f>
        <v>871286.44400000002</v>
      </c>
      <c r="N15" s="56">
        <v>0</v>
      </c>
    </row>
    <row r="16" spans="1:15" ht="15" x14ac:dyDescent="0.25">
      <c r="A16" s="10">
        <v>42987</v>
      </c>
      <c r="B16"/>
      <c r="C16" s="56">
        <v>4193823</v>
      </c>
      <c r="D16" s="25">
        <v>8033</v>
      </c>
      <c r="E16" s="25">
        <v>9187</v>
      </c>
      <c r="F16" s="25">
        <v>18371</v>
      </c>
      <c r="G16" s="56">
        <f t="shared" ref="G16:G33" si="5">E16-D16</f>
        <v>1154</v>
      </c>
      <c r="H16" s="56">
        <f t="shared" ref="H16:H33" si="6">F16-D16</f>
        <v>10338</v>
      </c>
      <c r="I16" s="58">
        <v>0.35</v>
      </c>
      <c r="J16" s="58">
        <v>0.06</v>
      </c>
      <c r="K16" s="56">
        <f t="shared" ref="K16:K21" si="7">G16*I16-L16*I16</f>
        <v>186.80199999999999</v>
      </c>
      <c r="L16" s="56">
        <f t="shared" ref="L16:L33" si="8">H16*J16</f>
        <v>620.28</v>
      </c>
      <c r="M16" s="56">
        <f t="shared" ref="M16:M33" si="9">M15+K16+L16</f>
        <v>872093.52600000007</v>
      </c>
      <c r="N16" s="56">
        <v>0</v>
      </c>
    </row>
    <row r="17" spans="1:14" ht="15" x14ac:dyDescent="0.25">
      <c r="A17" s="12">
        <v>43009</v>
      </c>
      <c r="B17"/>
      <c r="C17" s="56">
        <v>4193823</v>
      </c>
      <c r="D17" s="25">
        <v>8033</v>
      </c>
      <c r="E17" s="25">
        <v>9187</v>
      </c>
      <c r="F17" s="25">
        <v>18371</v>
      </c>
      <c r="G17" s="56">
        <f t="shared" si="5"/>
        <v>1154</v>
      </c>
      <c r="H17" s="56">
        <f t="shared" si="6"/>
        <v>10338</v>
      </c>
      <c r="I17" s="58">
        <v>0.35</v>
      </c>
      <c r="J17" s="58">
        <v>0.06</v>
      </c>
      <c r="K17" s="56">
        <f t="shared" si="7"/>
        <v>186.80199999999999</v>
      </c>
      <c r="L17" s="56">
        <f t="shared" si="8"/>
        <v>620.28</v>
      </c>
      <c r="M17" s="56">
        <f t="shared" si="9"/>
        <v>872900.60800000012</v>
      </c>
      <c r="N17" s="56">
        <v>0</v>
      </c>
    </row>
    <row r="18" spans="1:14" ht="15" x14ac:dyDescent="0.25">
      <c r="A18" s="12">
        <v>43040</v>
      </c>
      <c r="B18"/>
      <c r="C18" s="56">
        <v>4193823</v>
      </c>
      <c r="D18" s="25">
        <v>8033</v>
      </c>
      <c r="E18" s="25">
        <v>9187</v>
      </c>
      <c r="F18" s="25">
        <v>18371</v>
      </c>
      <c r="G18" s="56">
        <f t="shared" si="5"/>
        <v>1154</v>
      </c>
      <c r="H18" s="56">
        <f t="shared" si="6"/>
        <v>10338</v>
      </c>
      <c r="I18" s="58">
        <v>0.35</v>
      </c>
      <c r="J18" s="58">
        <v>0.06</v>
      </c>
      <c r="K18" s="56">
        <f t="shared" si="7"/>
        <v>186.80199999999999</v>
      </c>
      <c r="L18" s="56">
        <f t="shared" si="8"/>
        <v>620.28</v>
      </c>
      <c r="M18" s="56">
        <f t="shared" si="9"/>
        <v>873707.69000000018</v>
      </c>
      <c r="N18" s="56">
        <v>0</v>
      </c>
    </row>
    <row r="19" spans="1:14" ht="15" x14ac:dyDescent="0.25">
      <c r="A19" s="12">
        <v>43070</v>
      </c>
      <c r="B19"/>
      <c r="C19" s="56">
        <v>4193823</v>
      </c>
      <c r="D19" s="25">
        <v>8033</v>
      </c>
      <c r="E19" s="25">
        <v>9187</v>
      </c>
      <c r="F19" s="25">
        <v>18371</v>
      </c>
      <c r="G19" s="56">
        <f t="shared" si="5"/>
        <v>1154</v>
      </c>
      <c r="H19" s="56">
        <f t="shared" si="6"/>
        <v>10338</v>
      </c>
      <c r="I19" s="58">
        <v>0.35</v>
      </c>
      <c r="J19" s="58">
        <v>0.06</v>
      </c>
      <c r="K19" s="56">
        <f t="shared" si="7"/>
        <v>186.80199999999999</v>
      </c>
      <c r="L19" s="56">
        <f t="shared" si="8"/>
        <v>620.28</v>
      </c>
      <c r="M19" s="56">
        <f t="shared" si="9"/>
        <v>874514.77200000023</v>
      </c>
      <c r="N19" s="56">
        <v>0</v>
      </c>
    </row>
    <row r="20" spans="1:14" ht="15" x14ac:dyDescent="0.25">
      <c r="A20" s="12">
        <v>43101</v>
      </c>
      <c r="B20"/>
      <c r="C20" s="56">
        <v>4193823</v>
      </c>
      <c r="D20" s="25">
        <v>8033</v>
      </c>
      <c r="E20" s="25">
        <v>8495</v>
      </c>
      <c r="F20" s="25">
        <f>16990.89</f>
        <v>16990.89</v>
      </c>
      <c r="G20" s="56">
        <f t="shared" si="5"/>
        <v>462</v>
      </c>
      <c r="H20" s="56">
        <f t="shared" si="6"/>
        <v>8957.89</v>
      </c>
      <c r="I20" s="58">
        <v>0.21</v>
      </c>
      <c r="J20" s="58">
        <v>0.05</v>
      </c>
      <c r="K20" s="56">
        <f t="shared" si="7"/>
        <v>2.9621549999999957</v>
      </c>
      <c r="L20" s="56">
        <f t="shared" si="8"/>
        <v>447.89449999999999</v>
      </c>
      <c r="M20" s="56">
        <f t="shared" si="9"/>
        <v>874965.62865500024</v>
      </c>
      <c r="N20" s="56">
        <v>0</v>
      </c>
    </row>
    <row r="21" spans="1:14" ht="15" x14ac:dyDescent="0.25">
      <c r="A21" s="12">
        <v>43132</v>
      </c>
      <c r="B21"/>
      <c r="C21" s="56">
        <v>4193823</v>
      </c>
      <c r="D21" s="25">
        <v>8033</v>
      </c>
      <c r="E21" s="25">
        <v>8495</v>
      </c>
      <c r="F21" s="25">
        <f>16990.89</f>
        <v>16990.89</v>
      </c>
      <c r="G21" s="56">
        <f t="shared" si="5"/>
        <v>462</v>
      </c>
      <c r="H21" s="56">
        <f t="shared" si="6"/>
        <v>8957.89</v>
      </c>
      <c r="I21" s="58">
        <v>0.21</v>
      </c>
      <c r="J21" s="58">
        <v>0.05</v>
      </c>
      <c r="K21" s="56">
        <f t="shared" si="7"/>
        <v>2.9621549999999957</v>
      </c>
      <c r="L21" s="56">
        <f t="shared" si="8"/>
        <v>447.89449999999999</v>
      </c>
      <c r="M21" s="56">
        <f t="shared" si="9"/>
        <v>875416.48531000025</v>
      </c>
      <c r="N21" s="56">
        <v>0</v>
      </c>
    </row>
    <row r="22" spans="1:14" ht="15" x14ac:dyDescent="0.25">
      <c r="A22" s="12">
        <v>43160</v>
      </c>
      <c r="B22"/>
      <c r="C22" s="56">
        <v>4193823</v>
      </c>
      <c r="D22" s="25">
        <v>8033</v>
      </c>
      <c r="E22" s="25">
        <v>8495.4500000000007</v>
      </c>
      <c r="F22" s="25">
        <v>16990.89</v>
      </c>
      <c r="G22" s="56">
        <f t="shared" si="5"/>
        <v>462.45000000000073</v>
      </c>
      <c r="H22" s="56">
        <f t="shared" si="6"/>
        <v>8957.89</v>
      </c>
      <c r="I22" s="58">
        <v>0.21</v>
      </c>
      <c r="J22" s="58">
        <v>0.05</v>
      </c>
      <c r="K22" s="56">
        <f>G22*I22-L22*I22</f>
        <v>3.0566550000001484</v>
      </c>
      <c r="L22" s="56">
        <f t="shared" si="8"/>
        <v>447.89449999999999</v>
      </c>
      <c r="M22" s="56">
        <f t="shared" si="9"/>
        <v>875867.43646500027</v>
      </c>
      <c r="N22" s="56">
        <v>0</v>
      </c>
    </row>
    <row r="23" spans="1:14" ht="15" x14ac:dyDescent="0.25">
      <c r="A23" s="12">
        <v>43191</v>
      </c>
      <c r="B23"/>
      <c r="C23" s="56">
        <v>4193823</v>
      </c>
      <c r="D23" s="25">
        <v>8033</v>
      </c>
      <c r="E23" s="25">
        <v>8495.4500000000007</v>
      </c>
      <c r="F23" s="25">
        <v>16990.89</v>
      </c>
      <c r="G23" s="56">
        <f t="shared" si="5"/>
        <v>462.45000000000073</v>
      </c>
      <c r="H23" s="56">
        <f t="shared" si="6"/>
        <v>8957.89</v>
      </c>
      <c r="I23" s="58">
        <v>0.21</v>
      </c>
      <c r="J23" s="58">
        <v>0.05</v>
      </c>
      <c r="K23" s="56">
        <f t="shared" ref="K23:K33" si="10">G23*I23-L23*I23</f>
        <v>3.0566550000001484</v>
      </c>
      <c r="L23" s="56">
        <f t="shared" si="8"/>
        <v>447.89449999999999</v>
      </c>
      <c r="M23" s="56">
        <f t="shared" si="9"/>
        <v>876318.38762000029</v>
      </c>
      <c r="N23" s="56">
        <v>0</v>
      </c>
    </row>
    <row r="24" spans="1:14" ht="15" x14ac:dyDescent="0.25">
      <c r="A24" s="12">
        <v>43221</v>
      </c>
      <c r="B24"/>
      <c r="C24" s="56">
        <v>4193823</v>
      </c>
      <c r="D24" s="25">
        <v>8033</v>
      </c>
      <c r="E24" s="25">
        <v>8495.4500000000007</v>
      </c>
      <c r="F24" s="25">
        <v>16990.89</v>
      </c>
      <c r="G24" s="56">
        <f t="shared" si="5"/>
        <v>462.45000000000073</v>
      </c>
      <c r="H24" s="56">
        <f t="shared" si="6"/>
        <v>8957.89</v>
      </c>
      <c r="I24" s="58">
        <v>0.21</v>
      </c>
      <c r="J24" s="58">
        <v>0.05</v>
      </c>
      <c r="K24" s="56">
        <f t="shared" si="10"/>
        <v>3.0566550000001484</v>
      </c>
      <c r="L24" s="56">
        <f t="shared" si="8"/>
        <v>447.89449999999999</v>
      </c>
      <c r="M24" s="56">
        <f t="shared" si="9"/>
        <v>876769.3387750003</v>
      </c>
      <c r="N24" s="56">
        <v>0</v>
      </c>
    </row>
    <row r="25" spans="1:14" ht="15" x14ac:dyDescent="0.25">
      <c r="A25" s="12">
        <v>43252</v>
      </c>
      <c r="B25"/>
      <c r="C25" s="56">
        <v>4193823</v>
      </c>
      <c r="D25" s="25">
        <v>8033</v>
      </c>
      <c r="E25" s="25">
        <v>8495.4500000000007</v>
      </c>
      <c r="F25" s="25">
        <v>16990.89</v>
      </c>
      <c r="G25" s="56">
        <f t="shared" si="5"/>
        <v>462.45000000000073</v>
      </c>
      <c r="H25" s="56">
        <f t="shared" si="6"/>
        <v>8957.89</v>
      </c>
      <c r="I25" s="58">
        <v>0.21</v>
      </c>
      <c r="J25" s="58">
        <v>0.05</v>
      </c>
      <c r="K25" s="56">
        <f t="shared" si="10"/>
        <v>3.0566550000001484</v>
      </c>
      <c r="L25" s="56">
        <f t="shared" si="8"/>
        <v>447.89449999999999</v>
      </c>
      <c r="M25" s="56">
        <f t="shared" si="9"/>
        <v>877220.28993000032</v>
      </c>
      <c r="N25" s="56">
        <v>0</v>
      </c>
    </row>
    <row r="26" spans="1:14" ht="15" x14ac:dyDescent="0.25">
      <c r="A26" s="12">
        <v>43282</v>
      </c>
      <c r="B26"/>
      <c r="C26" s="56">
        <v>4193823</v>
      </c>
      <c r="D26" s="25">
        <v>8033</v>
      </c>
      <c r="E26" s="25">
        <v>8495.4500000000007</v>
      </c>
      <c r="F26" s="25">
        <v>16990.89</v>
      </c>
      <c r="G26" s="56">
        <f t="shared" si="5"/>
        <v>462.45000000000073</v>
      </c>
      <c r="H26" s="56">
        <f t="shared" si="6"/>
        <v>8957.89</v>
      </c>
      <c r="I26" s="58">
        <v>0.21</v>
      </c>
      <c r="J26" s="58">
        <v>0.05</v>
      </c>
      <c r="K26" s="56">
        <f t="shared" si="10"/>
        <v>3.0566550000001484</v>
      </c>
      <c r="L26" s="56">
        <f t="shared" si="8"/>
        <v>447.89449999999999</v>
      </c>
      <c r="M26" s="56">
        <f t="shared" si="9"/>
        <v>877671.24108500034</v>
      </c>
      <c r="N26" s="56">
        <v>0</v>
      </c>
    </row>
    <row r="27" spans="1:14" ht="15" x14ac:dyDescent="0.25">
      <c r="A27" s="12">
        <v>43313</v>
      </c>
      <c r="B27"/>
      <c r="C27" s="56">
        <v>4193823</v>
      </c>
      <c r="D27" s="25">
        <v>8033</v>
      </c>
      <c r="E27" s="25">
        <v>8495.4500000000007</v>
      </c>
      <c r="F27" s="25">
        <v>16990.89</v>
      </c>
      <c r="G27" s="56">
        <f t="shared" si="5"/>
        <v>462.45000000000073</v>
      </c>
      <c r="H27" s="56">
        <f t="shared" si="6"/>
        <v>8957.89</v>
      </c>
      <c r="I27" s="58">
        <v>0.21</v>
      </c>
      <c r="J27" s="58">
        <v>0.05</v>
      </c>
      <c r="K27" s="56">
        <f t="shared" si="10"/>
        <v>3.0566550000001484</v>
      </c>
      <c r="L27" s="56">
        <f t="shared" si="8"/>
        <v>447.89449999999999</v>
      </c>
      <c r="M27" s="56">
        <f t="shared" si="9"/>
        <v>878122.19224000035</v>
      </c>
      <c r="N27" s="56">
        <v>0</v>
      </c>
    </row>
    <row r="28" spans="1:14" ht="15" x14ac:dyDescent="0.25">
      <c r="A28" s="10">
        <v>43352</v>
      </c>
      <c r="B28"/>
      <c r="C28" s="56">
        <v>4193823</v>
      </c>
      <c r="D28" s="25">
        <v>8033</v>
      </c>
      <c r="E28" s="25">
        <f>8495.45-3.5</f>
        <v>8491.9500000000007</v>
      </c>
      <c r="F28" s="25">
        <v>16990.89</v>
      </c>
      <c r="G28" s="56">
        <f t="shared" si="5"/>
        <v>458.95000000000073</v>
      </c>
      <c r="H28" s="56">
        <f t="shared" si="6"/>
        <v>8957.89</v>
      </c>
      <c r="I28" s="58">
        <v>0.21</v>
      </c>
      <c r="J28" s="58">
        <v>0.05</v>
      </c>
      <c r="K28" s="56">
        <f t="shared" si="10"/>
        <v>2.321655000000149</v>
      </c>
      <c r="L28" s="56">
        <f t="shared" si="8"/>
        <v>447.89449999999999</v>
      </c>
      <c r="M28" s="56">
        <f t="shared" si="9"/>
        <v>878572.40839500038</v>
      </c>
      <c r="N28" s="56">
        <v>0</v>
      </c>
    </row>
    <row r="29" spans="1:14" ht="15" x14ac:dyDescent="0.25">
      <c r="A29" s="12">
        <v>43374</v>
      </c>
      <c r="B29"/>
      <c r="C29" s="56">
        <v>4193823</v>
      </c>
      <c r="D29" s="25">
        <v>8033</v>
      </c>
      <c r="E29" s="25">
        <f>8495.45-4.5</f>
        <v>8490.9500000000007</v>
      </c>
      <c r="F29" s="25">
        <v>16990.89</v>
      </c>
      <c r="G29" s="56">
        <f t="shared" si="5"/>
        <v>457.95000000000073</v>
      </c>
      <c r="H29" s="56">
        <f t="shared" si="6"/>
        <v>8957.89</v>
      </c>
      <c r="I29" s="58">
        <v>0.21</v>
      </c>
      <c r="J29" s="58">
        <v>0.05</v>
      </c>
      <c r="K29" s="56">
        <f t="shared" si="10"/>
        <v>2.1116550000001553</v>
      </c>
      <c r="L29" s="56">
        <f t="shared" si="8"/>
        <v>447.89449999999999</v>
      </c>
      <c r="M29" s="56">
        <f t="shared" si="9"/>
        <v>879022.41455000045</v>
      </c>
      <c r="N29" s="56">
        <v>0</v>
      </c>
    </row>
    <row r="30" spans="1:14" ht="15" x14ac:dyDescent="0.25">
      <c r="A30" s="12">
        <v>43405</v>
      </c>
      <c r="B30"/>
      <c r="C30" s="56">
        <v>4193823</v>
      </c>
      <c r="D30" s="25">
        <v>8033</v>
      </c>
      <c r="E30" s="25">
        <f>8495.45-2</f>
        <v>8493.4500000000007</v>
      </c>
      <c r="F30" s="25">
        <v>16990.89</v>
      </c>
      <c r="G30" s="56">
        <f t="shared" si="5"/>
        <v>460.45000000000073</v>
      </c>
      <c r="H30" s="56">
        <f t="shared" si="6"/>
        <v>8957.89</v>
      </c>
      <c r="I30" s="58">
        <v>0.21</v>
      </c>
      <c r="J30" s="58">
        <v>0.05</v>
      </c>
      <c r="K30" s="56">
        <f t="shared" si="10"/>
        <v>2.6366550000001467</v>
      </c>
      <c r="L30" s="56">
        <f t="shared" si="8"/>
        <v>447.89449999999999</v>
      </c>
      <c r="M30" s="56">
        <f t="shared" si="9"/>
        <v>879472.94570500054</v>
      </c>
      <c r="N30" s="56">
        <v>0</v>
      </c>
    </row>
    <row r="31" spans="1:14" ht="15" x14ac:dyDescent="0.25">
      <c r="A31" s="12">
        <v>43435</v>
      </c>
      <c r="B31"/>
      <c r="C31" s="56">
        <v>4193823</v>
      </c>
      <c r="D31" s="25">
        <v>8033</v>
      </c>
      <c r="E31" s="25">
        <f>8495.45-1</f>
        <v>8494.4500000000007</v>
      </c>
      <c r="F31" s="25">
        <v>16990.89</v>
      </c>
      <c r="G31" s="56">
        <f t="shared" si="5"/>
        <v>461.45000000000073</v>
      </c>
      <c r="H31" s="56">
        <f t="shared" si="6"/>
        <v>8957.89</v>
      </c>
      <c r="I31" s="58">
        <v>0.21</v>
      </c>
      <c r="J31" s="58">
        <v>0.05</v>
      </c>
      <c r="K31" s="56">
        <f t="shared" si="10"/>
        <v>2.8466550000001547</v>
      </c>
      <c r="L31" s="56">
        <f t="shared" si="8"/>
        <v>447.89449999999999</v>
      </c>
      <c r="M31" s="56">
        <f t="shared" si="9"/>
        <v>879923.6868600006</v>
      </c>
      <c r="N31" s="56">
        <v>0</v>
      </c>
    </row>
    <row r="32" spans="1:14" ht="15" x14ac:dyDescent="0.25">
      <c r="A32" s="12">
        <v>43466</v>
      </c>
      <c r="B32"/>
      <c r="C32" s="56">
        <v>4193823</v>
      </c>
      <c r="D32" s="25">
        <v>8033</v>
      </c>
      <c r="E32" s="25">
        <f>7859.38</f>
        <v>7859.38</v>
      </c>
      <c r="F32" s="25">
        <v>15718.77</v>
      </c>
      <c r="G32" s="56">
        <f t="shared" si="5"/>
        <v>-173.61999999999989</v>
      </c>
      <c r="H32" s="56">
        <f t="shared" si="6"/>
        <v>7685.77</v>
      </c>
      <c r="I32" s="58">
        <v>0.21</v>
      </c>
      <c r="J32" s="58">
        <v>0.05</v>
      </c>
      <c r="K32" s="56">
        <f t="shared" si="10"/>
        <v>-117.16078499999998</v>
      </c>
      <c r="L32" s="56">
        <f t="shared" si="8"/>
        <v>384.28850000000006</v>
      </c>
      <c r="M32" s="56">
        <f t="shared" si="9"/>
        <v>880190.81457500067</v>
      </c>
      <c r="N32" s="56">
        <v>0</v>
      </c>
    </row>
    <row r="33" spans="1:14" ht="15" x14ac:dyDescent="0.25">
      <c r="A33" s="12">
        <v>43497</v>
      </c>
      <c r="B33"/>
      <c r="C33" s="56">
        <v>4193823</v>
      </c>
      <c r="D33" s="25">
        <v>8033</v>
      </c>
      <c r="E33" s="25">
        <f>7859.38</f>
        <v>7859.38</v>
      </c>
      <c r="F33" s="25">
        <v>15718.77</v>
      </c>
      <c r="G33" s="56">
        <f t="shared" si="5"/>
        <v>-173.61999999999989</v>
      </c>
      <c r="H33" s="56">
        <f t="shared" si="6"/>
        <v>7685.77</v>
      </c>
      <c r="I33" s="58">
        <v>0.21</v>
      </c>
      <c r="J33" s="58">
        <v>0.05</v>
      </c>
      <c r="K33" s="56">
        <f t="shared" si="10"/>
        <v>-117.16078499999998</v>
      </c>
      <c r="L33" s="56">
        <f t="shared" si="8"/>
        <v>384.28850000000006</v>
      </c>
      <c r="M33" s="56">
        <f t="shared" si="9"/>
        <v>880457.94229000073</v>
      </c>
      <c r="N33" s="56">
        <v>0</v>
      </c>
    </row>
    <row r="34" spans="1:14" x14ac:dyDescent="0.2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x14ac:dyDescent="0.2">
      <c r="C35" s="40" t="s">
        <v>47</v>
      </c>
      <c r="D35" s="61"/>
      <c r="E35" s="61"/>
      <c r="F35" s="61"/>
      <c r="G35" s="61"/>
      <c r="H35" s="61"/>
      <c r="I35" s="61"/>
      <c r="J35" s="61"/>
      <c r="K35" s="31"/>
      <c r="L35" s="31"/>
      <c r="M35" s="31"/>
      <c r="N35" s="31"/>
    </row>
    <row r="36" spans="1:14" x14ac:dyDescent="0.2">
      <c r="C36" s="40" t="s">
        <v>21</v>
      </c>
      <c r="D36" s="61"/>
      <c r="E36" s="61"/>
      <c r="F36" s="61"/>
      <c r="G36" s="61"/>
      <c r="H36" s="61"/>
      <c r="I36" s="61"/>
      <c r="J36" s="61"/>
      <c r="K36" s="31"/>
      <c r="L36" s="31"/>
      <c r="M36" s="31"/>
      <c r="N36" s="31"/>
    </row>
    <row r="37" spans="1:14" x14ac:dyDescent="0.2">
      <c r="C37" s="40" t="s">
        <v>58</v>
      </c>
      <c r="D37" s="61"/>
      <c r="E37" s="61"/>
      <c r="F37" s="61"/>
      <c r="G37" s="61"/>
      <c r="H37" s="61"/>
      <c r="I37" s="61"/>
      <c r="J37" s="61"/>
      <c r="K37" s="31"/>
      <c r="L37" s="31"/>
      <c r="M37" s="31"/>
      <c r="N37" s="31"/>
    </row>
    <row r="38" spans="1:14" x14ac:dyDescent="0.2">
      <c r="C38" s="59" t="s">
        <v>22</v>
      </c>
      <c r="D38" s="61"/>
      <c r="E38" s="61"/>
      <c r="F38" s="61"/>
      <c r="G38" s="61"/>
      <c r="H38" s="61"/>
      <c r="I38" s="61"/>
      <c r="J38" s="61"/>
      <c r="K38" s="31"/>
      <c r="L38" s="31"/>
      <c r="M38" s="31"/>
      <c r="N38" s="31"/>
    </row>
    <row r="39" spans="1:14" x14ac:dyDescent="0.2">
      <c r="C39" s="61"/>
      <c r="D39" s="61"/>
      <c r="E39" s="61"/>
      <c r="F39" s="61"/>
      <c r="G39" s="61"/>
      <c r="H39" s="61"/>
      <c r="I39" s="61"/>
      <c r="J39" s="61"/>
      <c r="K39" s="31"/>
      <c r="L39" s="31"/>
      <c r="M39" s="31"/>
      <c r="N39" s="31"/>
    </row>
    <row r="40" spans="1:14" x14ac:dyDescent="0.2">
      <c r="C40" s="59" t="s">
        <v>23</v>
      </c>
      <c r="D40" s="28" t="s">
        <v>24</v>
      </c>
      <c r="E40" s="27" t="s">
        <v>25</v>
      </c>
      <c r="F40" s="59" t="s">
        <v>26</v>
      </c>
      <c r="G40" s="60" t="s">
        <v>12</v>
      </c>
      <c r="H40" s="59" t="s">
        <v>27</v>
      </c>
      <c r="I40" s="61"/>
      <c r="J40" s="61"/>
      <c r="K40" s="31"/>
      <c r="L40" s="31"/>
      <c r="M40" s="31"/>
      <c r="N40" s="31"/>
    </row>
    <row r="41" spans="1:14" x14ac:dyDescent="0.2">
      <c r="C41" s="56">
        <v>2139710</v>
      </c>
      <c r="D41" s="56">
        <v>8033</v>
      </c>
      <c r="E41" s="56">
        <v>8063</v>
      </c>
      <c r="F41" s="56">
        <f>E41-D41</f>
        <v>30</v>
      </c>
      <c r="G41" s="58">
        <v>0.21</v>
      </c>
      <c r="H41" s="56">
        <f>F41*G41</f>
        <v>6.3</v>
      </c>
      <c r="I41" s="61"/>
      <c r="J41" s="61"/>
      <c r="K41" s="31"/>
      <c r="L41" s="31"/>
      <c r="M41" s="31"/>
      <c r="N41" s="31"/>
    </row>
    <row r="42" spans="1:14" ht="15" x14ac:dyDescent="0.35">
      <c r="C42" s="45">
        <v>-42798.530000000028</v>
      </c>
      <c r="D42" s="56"/>
      <c r="E42" s="45">
        <v>-204</v>
      </c>
      <c r="F42" s="45">
        <f>E42</f>
        <v>-204</v>
      </c>
      <c r="G42" s="58">
        <v>0.21</v>
      </c>
      <c r="H42" s="45">
        <f>F42*G42</f>
        <v>-42.839999999999996</v>
      </c>
      <c r="I42" s="61"/>
      <c r="J42" s="61"/>
      <c r="K42" s="31"/>
      <c r="L42" s="31"/>
      <c r="M42" s="31"/>
      <c r="N42" s="31"/>
    </row>
    <row r="43" spans="1:14" x14ac:dyDescent="0.2">
      <c r="C43" s="56">
        <f>SUM(C41:C42)</f>
        <v>2096911.47</v>
      </c>
      <c r="D43" s="61"/>
      <c r="E43" s="56">
        <f>E41+E42</f>
        <v>7859</v>
      </c>
      <c r="F43" s="56">
        <f>F41+F42</f>
        <v>-174</v>
      </c>
      <c r="G43" s="47" t="s">
        <v>28</v>
      </c>
      <c r="H43" s="56">
        <f>H41+H42</f>
        <v>-36.54</v>
      </c>
      <c r="I43" s="61"/>
      <c r="J43" s="61"/>
      <c r="K43" s="31"/>
      <c r="L43" s="31"/>
      <c r="M43" s="31"/>
      <c r="N43" s="31"/>
    </row>
    <row r="44" spans="1:14" ht="15" x14ac:dyDescent="0.35">
      <c r="C44" s="61"/>
      <c r="D44" s="61"/>
      <c r="E44" s="61"/>
      <c r="F44" s="61"/>
      <c r="G44" s="47" t="s">
        <v>29</v>
      </c>
      <c r="H44" s="45">
        <f>-H50*0.21</f>
        <v>-80.703000000000003</v>
      </c>
      <c r="I44" s="61"/>
      <c r="J44" s="61"/>
      <c r="K44" s="31"/>
      <c r="L44" s="31"/>
      <c r="M44" s="31"/>
      <c r="N44" s="31"/>
    </row>
    <row r="45" spans="1:14" x14ac:dyDescent="0.2">
      <c r="C45" s="61"/>
      <c r="D45" s="61"/>
      <c r="E45" s="61"/>
      <c r="F45" s="61"/>
      <c r="G45" s="61"/>
      <c r="H45" s="56">
        <f>H43+H44</f>
        <v>-117.24299999999999</v>
      </c>
      <c r="I45" s="61"/>
      <c r="J45" s="61"/>
      <c r="K45" s="31"/>
      <c r="L45" s="31"/>
      <c r="M45" s="31"/>
      <c r="N45" s="31"/>
    </row>
    <row r="46" spans="1:14" x14ac:dyDescent="0.2">
      <c r="C46" s="61"/>
      <c r="D46" s="61"/>
      <c r="E46" s="61"/>
      <c r="F46" s="61"/>
      <c r="G46" s="61"/>
      <c r="H46" s="56">
        <f>H45-K33</f>
        <v>-8.2215000000019245E-2</v>
      </c>
      <c r="I46" s="61"/>
      <c r="J46" s="61"/>
      <c r="K46" s="31"/>
      <c r="L46" s="31"/>
      <c r="M46" s="31"/>
      <c r="N46" s="31"/>
    </row>
    <row r="47" spans="1:14" x14ac:dyDescent="0.2">
      <c r="C47" s="59" t="s">
        <v>30</v>
      </c>
      <c r="D47" s="26" t="s">
        <v>24</v>
      </c>
      <c r="E47" s="27" t="s">
        <v>31</v>
      </c>
      <c r="F47" s="59" t="s">
        <v>32</v>
      </c>
      <c r="G47" s="60" t="s">
        <v>13</v>
      </c>
      <c r="H47" s="59" t="s">
        <v>33</v>
      </c>
      <c r="I47" s="61"/>
      <c r="J47" s="61"/>
      <c r="K47" s="31"/>
      <c r="L47" s="31"/>
      <c r="M47" s="31"/>
      <c r="N47" s="31"/>
    </row>
    <row r="48" spans="1:14" x14ac:dyDescent="0.2">
      <c r="C48" s="56">
        <v>4279420</v>
      </c>
      <c r="D48" s="56">
        <f>D41</f>
        <v>8033</v>
      </c>
      <c r="E48" s="56">
        <v>16126</v>
      </c>
      <c r="F48" s="56">
        <f>E48-D48</f>
        <v>8093</v>
      </c>
      <c r="G48" s="58">
        <v>0.05</v>
      </c>
      <c r="H48" s="56">
        <f>F48*G48</f>
        <v>404.65000000000003</v>
      </c>
      <c r="I48" s="61"/>
      <c r="J48" s="61"/>
      <c r="K48" s="31"/>
      <c r="L48" s="31"/>
      <c r="M48" s="31"/>
      <c r="N48" s="31"/>
    </row>
    <row r="49" spans="3:14" ht="15" x14ac:dyDescent="0.35">
      <c r="C49" s="45">
        <v>-85597.060000000056</v>
      </c>
      <c r="D49" s="56"/>
      <c r="E49" s="45">
        <v>-407</v>
      </c>
      <c r="F49" s="45">
        <f>E49</f>
        <v>-407</v>
      </c>
      <c r="G49" s="58">
        <v>0.05</v>
      </c>
      <c r="H49" s="45">
        <f>F49*G49</f>
        <v>-20.350000000000001</v>
      </c>
      <c r="I49" s="61"/>
      <c r="J49" s="61"/>
      <c r="K49" s="31"/>
      <c r="L49" s="31"/>
      <c r="M49" s="31"/>
      <c r="N49" s="31"/>
    </row>
    <row r="50" spans="3:14" x14ac:dyDescent="0.2">
      <c r="C50" s="56">
        <f>SUM(C48:C49)</f>
        <v>4193822.94</v>
      </c>
      <c r="D50" s="61"/>
      <c r="E50" s="56">
        <f>E48+E49</f>
        <v>15719</v>
      </c>
      <c r="F50" s="56">
        <f>F48+F49</f>
        <v>7686</v>
      </c>
      <c r="G50" s="61"/>
      <c r="H50" s="56">
        <f>H48+H49</f>
        <v>384.3</v>
      </c>
      <c r="I50" s="61"/>
      <c r="J50" s="61"/>
      <c r="K50" s="31"/>
      <c r="L50" s="31"/>
      <c r="M50" s="31"/>
      <c r="N50" s="31"/>
    </row>
    <row r="51" spans="3:14" x14ac:dyDescent="0.2">
      <c r="C51" s="61"/>
      <c r="D51" s="61"/>
      <c r="E51" s="61"/>
      <c r="F51" s="61"/>
      <c r="G51" s="61"/>
      <c r="H51" s="56">
        <f>H50-L33</f>
        <v>1.1499999999955435E-2</v>
      </c>
      <c r="I51" s="61"/>
      <c r="J51" s="61"/>
      <c r="K51" s="31"/>
      <c r="L51" s="31"/>
      <c r="M51" s="31"/>
      <c r="N51" s="31"/>
    </row>
    <row r="52" spans="3:14" ht="15" x14ac:dyDescent="0.25">
      <c r="C52"/>
      <c r="D52"/>
      <c r="E52"/>
      <c r="F52"/>
      <c r="G52"/>
      <c r="H52"/>
      <c r="I52"/>
      <c r="J52"/>
    </row>
    <row r="53" spans="3:14" ht="15" x14ac:dyDescent="0.25">
      <c r="C53"/>
      <c r="D53"/>
      <c r="E53"/>
      <c r="F53"/>
      <c r="G53"/>
      <c r="H53"/>
      <c r="I53"/>
      <c r="J53"/>
    </row>
  </sheetData>
  <pageMargins left="0.7" right="0.7" top="1.15625" bottom="0.75" header="0.3" footer="0.3"/>
  <pageSetup scale="51" orientation="portrait" r:id="rId1"/>
  <headerFooter>
    <oddHeader>&amp;R&amp;"Times New Roman,Bold"&amp;12Attachment to Response to Question 3
Page &amp;P of &amp;N
Williams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P57"/>
  <sheetViews>
    <sheetView zoomScaleNormal="100" workbookViewId="0">
      <selection activeCell="F31" sqref="F31"/>
    </sheetView>
  </sheetViews>
  <sheetFormatPr defaultColWidth="8.85546875" defaultRowHeight="12.75" x14ac:dyDescent="0.2"/>
  <cols>
    <col min="1" max="1" width="11.28515625" style="23" customWidth="1"/>
    <col min="2" max="2" width="1.7109375" style="15" customWidth="1"/>
    <col min="3" max="3" width="12.7109375" style="15" customWidth="1"/>
    <col min="4" max="4" width="14.28515625" style="15" bestFit="1" customWidth="1"/>
    <col min="5" max="5" width="14.28515625" style="15" customWidth="1"/>
    <col min="6" max="6" width="14.28515625" style="15" bestFit="1" customWidth="1"/>
    <col min="7" max="7" width="14.28515625" style="15" customWidth="1"/>
    <col min="8" max="12" width="12.7109375" style="15" customWidth="1"/>
    <col min="13" max="13" width="16.5703125" style="15" bestFit="1" customWidth="1"/>
    <col min="14" max="14" width="12.7109375" style="15" customWidth="1"/>
    <col min="15" max="15" width="11.28515625" style="15" customWidth="1"/>
    <col min="16" max="16" width="14.5703125" style="15" bestFit="1" customWidth="1"/>
    <col min="17" max="16384" width="8.85546875" style="15"/>
  </cols>
  <sheetData>
    <row r="1" spans="1:16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6" x14ac:dyDescent="0.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6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6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5"/>
    </row>
    <row r="5" spans="1:16" x14ac:dyDescent="0.2">
      <c r="A5" s="18" t="s">
        <v>36</v>
      </c>
    </row>
    <row r="6" spans="1:16" x14ac:dyDescent="0.2">
      <c r="A6" s="19" t="s">
        <v>48</v>
      </c>
    </row>
    <row r="8" spans="1:16" s="22" customFormat="1" ht="38.25" x14ac:dyDescent="0.2">
      <c r="A8" s="20" t="s">
        <v>5</v>
      </c>
      <c r="B8" s="21"/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38</v>
      </c>
      <c r="J8" s="21" t="s">
        <v>39</v>
      </c>
      <c r="K8" s="21" t="s">
        <v>14</v>
      </c>
      <c r="L8" s="21" t="s">
        <v>15</v>
      </c>
      <c r="M8" s="21" t="s">
        <v>16</v>
      </c>
      <c r="N8" s="21" t="s">
        <v>17</v>
      </c>
    </row>
    <row r="9" spans="1:16" x14ac:dyDescent="0.2">
      <c r="A9" s="23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25">
        <v>18003483</v>
      </c>
      <c r="N9" s="31"/>
      <c r="O9" s="31"/>
    </row>
    <row r="10" spans="1:16" ht="15" x14ac:dyDescent="0.25">
      <c r="A10" s="10">
        <v>42795</v>
      </c>
      <c r="B10"/>
      <c r="C10" s="56">
        <v>87227841</v>
      </c>
      <c r="D10" s="25">
        <v>170821</v>
      </c>
      <c r="E10" s="25">
        <v>533209.25</v>
      </c>
      <c r="F10" s="25">
        <v>1066418.5</v>
      </c>
      <c r="G10" s="25">
        <f>E10-D10</f>
        <v>362388.25</v>
      </c>
      <c r="H10" s="56">
        <f>F10-D10</f>
        <v>895597.5</v>
      </c>
      <c r="I10" s="58">
        <v>0.35</v>
      </c>
      <c r="J10" s="58">
        <v>0.06</v>
      </c>
      <c r="K10" s="56">
        <f>G10*I10-L10*I10</f>
        <v>108028.34</v>
      </c>
      <c r="L10" s="56">
        <f>H10*J10</f>
        <v>53735.85</v>
      </c>
      <c r="M10" s="56">
        <f>M9+K10+L10</f>
        <v>18165247.190000001</v>
      </c>
      <c r="N10" s="56">
        <v>484950</v>
      </c>
      <c r="O10" s="31"/>
      <c r="P10" s="24"/>
    </row>
    <row r="11" spans="1:16" ht="15" x14ac:dyDescent="0.25">
      <c r="A11" s="12">
        <v>42826</v>
      </c>
      <c r="B11"/>
      <c r="C11" s="56">
        <v>87227841</v>
      </c>
      <c r="D11" s="25">
        <v>170821</v>
      </c>
      <c r="E11" s="25">
        <v>533209.25</v>
      </c>
      <c r="F11" s="25">
        <v>1066418.5</v>
      </c>
      <c r="G11" s="25">
        <f t="shared" ref="G11:G15" si="0">E11-D11</f>
        <v>362388.25</v>
      </c>
      <c r="H11" s="56">
        <f t="shared" ref="H11:H15" si="1">F11-D11</f>
        <v>895597.5</v>
      </c>
      <c r="I11" s="58">
        <v>0.35</v>
      </c>
      <c r="J11" s="58">
        <v>0.06</v>
      </c>
      <c r="K11" s="56">
        <f t="shared" ref="K11:K15" si="2">G11*I11-L11*I11</f>
        <v>108028.34</v>
      </c>
      <c r="L11" s="56">
        <f t="shared" ref="L11:L15" si="3">H11*J11</f>
        <v>53735.85</v>
      </c>
      <c r="M11" s="56">
        <f t="shared" ref="M11:M15" si="4">M10+K11+L11</f>
        <v>18327011.380000003</v>
      </c>
      <c r="N11" s="56">
        <v>484950</v>
      </c>
      <c r="O11" s="30"/>
      <c r="P11" s="36"/>
    </row>
    <row r="12" spans="1:16" ht="15" x14ac:dyDescent="0.25">
      <c r="A12" s="12">
        <v>42856</v>
      </c>
      <c r="B12"/>
      <c r="C12" s="56">
        <v>87227841</v>
      </c>
      <c r="D12" s="25">
        <v>170821</v>
      </c>
      <c r="E12" s="25">
        <v>533209.25</v>
      </c>
      <c r="F12" s="25">
        <v>1066418.5</v>
      </c>
      <c r="G12" s="25">
        <f t="shared" si="0"/>
        <v>362388.25</v>
      </c>
      <c r="H12" s="56">
        <f t="shared" si="1"/>
        <v>895597.5</v>
      </c>
      <c r="I12" s="58">
        <v>0.35</v>
      </c>
      <c r="J12" s="58">
        <v>0.06</v>
      </c>
      <c r="K12" s="56">
        <f t="shared" si="2"/>
        <v>108028.34</v>
      </c>
      <c r="L12" s="56">
        <f t="shared" si="3"/>
        <v>53735.85</v>
      </c>
      <c r="M12" s="56">
        <f t="shared" si="4"/>
        <v>18488775.570000004</v>
      </c>
      <c r="N12" s="56">
        <v>484950</v>
      </c>
      <c r="O12" s="67"/>
    </row>
    <row r="13" spans="1:16" ht="15" x14ac:dyDescent="0.25">
      <c r="A13" s="12">
        <v>42887</v>
      </c>
      <c r="B13"/>
      <c r="C13" s="56">
        <v>87227841</v>
      </c>
      <c r="D13" s="25">
        <v>170821</v>
      </c>
      <c r="E13" s="25">
        <v>533209.25</v>
      </c>
      <c r="F13" s="25">
        <v>1066418.5</v>
      </c>
      <c r="G13" s="25">
        <f t="shared" si="0"/>
        <v>362388.25</v>
      </c>
      <c r="H13" s="56">
        <f t="shared" si="1"/>
        <v>895597.5</v>
      </c>
      <c r="I13" s="58">
        <v>0.35</v>
      </c>
      <c r="J13" s="58">
        <v>0.06</v>
      </c>
      <c r="K13" s="56">
        <f t="shared" si="2"/>
        <v>108028.34</v>
      </c>
      <c r="L13" s="56">
        <f t="shared" si="3"/>
        <v>53735.85</v>
      </c>
      <c r="M13" s="56">
        <f t="shared" si="4"/>
        <v>18650539.760000005</v>
      </c>
      <c r="N13" s="56">
        <v>484950</v>
      </c>
      <c r="O13" s="30"/>
    </row>
    <row r="14" spans="1:16" ht="15" x14ac:dyDescent="0.25">
      <c r="A14" s="12">
        <v>42917</v>
      </c>
      <c r="B14"/>
      <c r="C14" s="56">
        <v>84655448</v>
      </c>
      <c r="D14" s="25">
        <v>189788</v>
      </c>
      <c r="E14" s="25">
        <f>E13-230443.55</f>
        <v>302765.7</v>
      </c>
      <c r="F14" s="25">
        <f>F13-32154.91</f>
        <v>1034263.59</v>
      </c>
      <c r="G14" s="25">
        <f t="shared" si="0"/>
        <v>112977.70000000001</v>
      </c>
      <c r="H14" s="56">
        <f t="shared" si="1"/>
        <v>844475.59</v>
      </c>
      <c r="I14" s="58">
        <v>0.35</v>
      </c>
      <c r="J14" s="58">
        <v>0.06</v>
      </c>
      <c r="K14" s="56">
        <f t="shared" si="2"/>
        <v>21808.207610000005</v>
      </c>
      <c r="L14" s="56">
        <f t="shared" si="3"/>
        <v>50668.535399999993</v>
      </c>
      <c r="M14" s="56">
        <f t="shared" si="4"/>
        <v>18723016.503010005</v>
      </c>
      <c r="N14" s="56">
        <v>0</v>
      </c>
      <c r="O14" s="67"/>
    </row>
    <row r="15" spans="1:16" ht="15" x14ac:dyDescent="0.25">
      <c r="A15" s="12">
        <v>42948</v>
      </c>
      <c r="B15"/>
      <c r="C15" s="56">
        <v>84655448</v>
      </c>
      <c r="D15" s="25">
        <v>186947</v>
      </c>
      <c r="E15" s="25">
        <f>E14</f>
        <v>302765.7</v>
      </c>
      <c r="F15" s="25">
        <f>F14</f>
        <v>1034263.59</v>
      </c>
      <c r="G15" s="25">
        <f t="shared" si="0"/>
        <v>115818.70000000001</v>
      </c>
      <c r="H15" s="56">
        <f t="shared" si="1"/>
        <v>847316.59</v>
      </c>
      <c r="I15" s="58">
        <v>0.35</v>
      </c>
      <c r="J15" s="58">
        <v>0.06</v>
      </c>
      <c r="K15" s="56">
        <f t="shared" si="2"/>
        <v>22742.89661</v>
      </c>
      <c r="L15" s="56">
        <f t="shared" si="3"/>
        <v>50838.9954</v>
      </c>
      <c r="M15" s="56">
        <f t="shared" si="4"/>
        <v>18796598.395020004</v>
      </c>
      <c r="N15" s="56">
        <v>0</v>
      </c>
      <c r="O15" s="30"/>
    </row>
    <row r="16" spans="1:16" ht="15" x14ac:dyDescent="0.25">
      <c r="A16" s="10">
        <v>42987</v>
      </c>
      <c r="B16"/>
      <c r="C16" s="56">
        <v>84655448</v>
      </c>
      <c r="D16" s="25">
        <v>186947</v>
      </c>
      <c r="E16" s="25">
        <v>302765</v>
      </c>
      <c r="F16" s="25">
        <v>1034263.59</v>
      </c>
      <c r="G16" s="56">
        <f>E16-D16</f>
        <v>115818</v>
      </c>
      <c r="H16" s="56">
        <f>F16-D16</f>
        <v>847316.59</v>
      </c>
      <c r="I16" s="58">
        <v>0.35</v>
      </c>
      <c r="J16" s="58">
        <v>0.06</v>
      </c>
      <c r="K16" s="56">
        <f t="shared" ref="K16:K33" si="5">G16*I16-L16*I16</f>
        <v>22742.651609999997</v>
      </c>
      <c r="L16" s="56">
        <f t="shared" ref="L16:L33" si="6">H16*J16</f>
        <v>50838.9954</v>
      </c>
      <c r="M16" s="56">
        <f t="shared" ref="M16:M33" si="7">M15+K16+L16</f>
        <v>18870180.042030003</v>
      </c>
      <c r="N16" s="56">
        <v>0</v>
      </c>
      <c r="O16" s="66"/>
    </row>
    <row r="17" spans="1:15" ht="15" x14ac:dyDescent="0.25">
      <c r="A17" s="12">
        <v>43009</v>
      </c>
      <c r="B17"/>
      <c r="C17" s="56">
        <v>84655448</v>
      </c>
      <c r="D17" s="25">
        <v>186947</v>
      </c>
      <c r="E17" s="25">
        <v>302765</v>
      </c>
      <c r="F17" s="25">
        <v>1034263.5</v>
      </c>
      <c r="G17" s="56">
        <f t="shared" ref="G17:G21" si="8">E17-D17</f>
        <v>115818</v>
      </c>
      <c r="H17" s="56">
        <f t="shared" ref="H17:H21" si="9">F17-D17</f>
        <v>847316.5</v>
      </c>
      <c r="I17" s="58">
        <v>0.35</v>
      </c>
      <c r="J17" s="58">
        <v>0.06</v>
      </c>
      <c r="K17" s="56">
        <f t="shared" si="5"/>
        <v>22742.653499999997</v>
      </c>
      <c r="L17" s="56">
        <f t="shared" si="6"/>
        <v>50838.99</v>
      </c>
      <c r="M17" s="56">
        <f>M16+K17+L17</f>
        <v>18943761.685529999</v>
      </c>
      <c r="N17" s="56">
        <v>0</v>
      </c>
      <c r="O17" s="31"/>
    </row>
    <row r="18" spans="1:15" ht="15" x14ac:dyDescent="0.25">
      <c r="A18" s="12">
        <v>43040</v>
      </c>
      <c r="B18"/>
      <c r="C18" s="56">
        <v>84655448</v>
      </c>
      <c r="D18" s="25">
        <v>186947</v>
      </c>
      <c r="E18" s="25">
        <v>302765</v>
      </c>
      <c r="F18" s="25">
        <v>1034263.59</v>
      </c>
      <c r="G18" s="56">
        <f t="shared" si="8"/>
        <v>115818</v>
      </c>
      <c r="H18" s="56">
        <f t="shared" si="9"/>
        <v>847316.59</v>
      </c>
      <c r="I18" s="58">
        <v>0.35</v>
      </c>
      <c r="J18" s="58">
        <v>0.06</v>
      </c>
      <c r="K18" s="56">
        <f t="shared" si="5"/>
        <v>22742.651609999997</v>
      </c>
      <c r="L18" s="56">
        <f t="shared" si="6"/>
        <v>50838.9954</v>
      </c>
      <c r="M18" s="56">
        <f t="shared" si="7"/>
        <v>19017343.332539998</v>
      </c>
      <c r="N18" s="56">
        <v>0</v>
      </c>
      <c r="O18" s="31"/>
    </row>
    <row r="19" spans="1:15" ht="15" x14ac:dyDescent="0.25">
      <c r="A19" s="12">
        <v>43070</v>
      </c>
      <c r="B19"/>
      <c r="C19" s="56">
        <v>84655448</v>
      </c>
      <c r="D19" s="25">
        <v>186947</v>
      </c>
      <c r="E19" s="25">
        <v>302765</v>
      </c>
      <c r="F19" s="25">
        <v>1034263.59</v>
      </c>
      <c r="G19" s="56">
        <f t="shared" si="8"/>
        <v>115818</v>
      </c>
      <c r="H19" s="56">
        <f t="shared" si="9"/>
        <v>847316.59</v>
      </c>
      <c r="I19" s="58">
        <v>0.35</v>
      </c>
      <c r="J19" s="58">
        <v>0.06</v>
      </c>
      <c r="K19" s="56">
        <f t="shared" si="5"/>
        <v>22742.651609999997</v>
      </c>
      <c r="L19" s="56">
        <f t="shared" si="6"/>
        <v>50838.9954</v>
      </c>
      <c r="M19" s="56">
        <f t="shared" si="7"/>
        <v>19090924.979549997</v>
      </c>
      <c r="N19" s="56">
        <v>0</v>
      </c>
      <c r="O19" s="31"/>
    </row>
    <row r="20" spans="1:15" ht="15" x14ac:dyDescent="0.25">
      <c r="A20" s="12">
        <v>43101</v>
      </c>
      <c r="B20"/>
      <c r="C20" s="56">
        <v>84655448</v>
      </c>
      <c r="D20" s="25">
        <v>186947</v>
      </c>
      <c r="E20" s="25">
        <v>509983</v>
      </c>
      <c r="F20" s="25">
        <f>1019966.5</f>
        <v>1019966.5</v>
      </c>
      <c r="G20" s="56">
        <f t="shared" si="8"/>
        <v>323036</v>
      </c>
      <c r="H20" s="56">
        <f t="shared" si="9"/>
        <v>833019.5</v>
      </c>
      <c r="I20" s="58">
        <v>0.21</v>
      </c>
      <c r="J20" s="58">
        <v>0.05</v>
      </c>
      <c r="K20" s="56">
        <f t="shared" si="5"/>
        <v>59090.855249999993</v>
      </c>
      <c r="L20" s="56">
        <f t="shared" si="6"/>
        <v>41650.975000000006</v>
      </c>
      <c r="M20" s="56">
        <f>M19+K20+L20-1</f>
        <v>19191665.809799999</v>
      </c>
      <c r="N20" s="56">
        <v>0</v>
      </c>
      <c r="O20" s="31"/>
    </row>
    <row r="21" spans="1:15" ht="15" x14ac:dyDescent="0.25">
      <c r="A21" s="12">
        <v>43132</v>
      </c>
      <c r="B21"/>
      <c r="C21" s="56">
        <v>84655448</v>
      </c>
      <c r="D21" s="25">
        <v>186947</v>
      </c>
      <c r="E21" s="25">
        <v>509983</v>
      </c>
      <c r="F21" s="25">
        <f>1019966.56</f>
        <v>1019966.56</v>
      </c>
      <c r="G21" s="56">
        <f t="shared" si="8"/>
        <v>323036</v>
      </c>
      <c r="H21" s="56">
        <f t="shared" si="9"/>
        <v>833019.56</v>
      </c>
      <c r="I21" s="58">
        <v>0.21</v>
      </c>
      <c r="J21" s="58">
        <v>0.05</v>
      </c>
      <c r="K21" s="56">
        <f t="shared" si="5"/>
        <v>59090.854619999998</v>
      </c>
      <c r="L21" s="56">
        <f t="shared" si="6"/>
        <v>41650.978000000003</v>
      </c>
      <c r="M21" s="56">
        <f>M20+K21+L21-6</f>
        <v>19292401.642419998</v>
      </c>
      <c r="N21" s="56">
        <v>0</v>
      </c>
      <c r="O21" s="31"/>
    </row>
    <row r="22" spans="1:15" ht="15" x14ac:dyDescent="0.25">
      <c r="A22" s="12">
        <v>43160</v>
      </c>
      <c r="B22"/>
      <c r="C22" s="56">
        <v>84655448</v>
      </c>
      <c r="D22" s="25">
        <v>186947</v>
      </c>
      <c r="E22" s="25">
        <v>509983</v>
      </c>
      <c r="F22" s="25">
        <v>1019966.56</v>
      </c>
      <c r="G22" s="56">
        <f>E22-D22</f>
        <v>323036</v>
      </c>
      <c r="H22" s="56">
        <f>F22-D22</f>
        <v>833019.56</v>
      </c>
      <c r="I22" s="58">
        <v>0.21</v>
      </c>
      <c r="J22" s="58">
        <v>0.05</v>
      </c>
      <c r="K22" s="56">
        <f t="shared" si="5"/>
        <v>59090.854619999998</v>
      </c>
      <c r="L22" s="56">
        <f t="shared" si="6"/>
        <v>41650.978000000003</v>
      </c>
      <c r="M22" s="56">
        <f>M21+K22+L22+1</f>
        <v>19393144.475039996</v>
      </c>
      <c r="N22" s="56">
        <v>0</v>
      </c>
      <c r="O22" s="31"/>
    </row>
    <row r="23" spans="1:15" ht="15" x14ac:dyDescent="0.25">
      <c r="A23" s="12">
        <v>43191</v>
      </c>
      <c r="B23"/>
      <c r="C23" s="56">
        <v>84655448</v>
      </c>
      <c r="D23" s="25">
        <v>186947</v>
      </c>
      <c r="E23" s="25">
        <v>509983</v>
      </c>
      <c r="F23" s="25">
        <v>1019966.56</v>
      </c>
      <c r="G23" s="56">
        <f t="shared" ref="G23:G27" si="10">E23-D23</f>
        <v>323036</v>
      </c>
      <c r="H23" s="56">
        <f t="shared" ref="H23:H27" si="11">F23-D23</f>
        <v>833019.56</v>
      </c>
      <c r="I23" s="58">
        <v>0.21</v>
      </c>
      <c r="J23" s="58">
        <v>0.05</v>
      </c>
      <c r="K23" s="56">
        <f t="shared" si="5"/>
        <v>59090.854619999998</v>
      </c>
      <c r="L23" s="56">
        <f t="shared" si="6"/>
        <v>41650.978000000003</v>
      </c>
      <c r="M23" s="56">
        <f t="shared" si="7"/>
        <v>19493886.307659995</v>
      </c>
      <c r="N23" s="56">
        <v>0</v>
      </c>
      <c r="O23" s="31"/>
    </row>
    <row r="24" spans="1:15" ht="15" x14ac:dyDescent="0.25">
      <c r="A24" s="12">
        <v>43221</v>
      </c>
      <c r="B24"/>
      <c r="C24" s="56">
        <v>84655448</v>
      </c>
      <c r="D24" s="25">
        <v>186947</v>
      </c>
      <c r="E24" s="25">
        <v>509983</v>
      </c>
      <c r="F24" s="25">
        <v>1019966.56</v>
      </c>
      <c r="G24" s="56">
        <f t="shared" si="10"/>
        <v>323036</v>
      </c>
      <c r="H24" s="56">
        <f t="shared" si="11"/>
        <v>833019.56</v>
      </c>
      <c r="I24" s="58">
        <v>0.21</v>
      </c>
      <c r="J24" s="58">
        <v>0.05</v>
      </c>
      <c r="K24" s="56">
        <f t="shared" si="5"/>
        <v>59090.854619999998</v>
      </c>
      <c r="L24" s="56">
        <f t="shared" si="6"/>
        <v>41650.978000000003</v>
      </c>
      <c r="M24" s="56">
        <f>M23+K24+L24-1</f>
        <v>19594627.140279993</v>
      </c>
      <c r="N24" s="56">
        <v>0</v>
      </c>
      <c r="O24" s="31"/>
    </row>
    <row r="25" spans="1:15" ht="15" x14ac:dyDescent="0.25">
      <c r="A25" s="12">
        <v>43252</v>
      </c>
      <c r="B25"/>
      <c r="C25" s="56">
        <v>84655448</v>
      </c>
      <c r="D25" s="25">
        <v>186947</v>
      </c>
      <c r="E25" s="25">
        <v>509983</v>
      </c>
      <c r="F25" s="25">
        <v>1019966.56</v>
      </c>
      <c r="G25" s="56">
        <f t="shared" si="10"/>
        <v>323036</v>
      </c>
      <c r="H25" s="56">
        <f t="shared" si="11"/>
        <v>833019.56</v>
      </c>
      <c r="I25" s="58">
        <v>0.21</v>
      </c>
      <c r="J25" s="58">
        <v>0.05</v>
      </c>
      <c r="K25" s="56">
        <f t="shared" si="5"/>
        <v>59090.854619999998</v>
      </c>
      <c r="L25" s="56">
        <f t="shared" si="6"/>
        <v>41650.978000000003</v>
      </c>
      <c r="M25" s="56">
        <f t="shared" si="7"/>
        <v>19695368.972899992</v>
      </c>
      <c r="N25" s="56">
        <v>0</v>
      </c>
      <c r="O25" s="31"/>
    </row>
    <row r="26" spans="1:15" ht="15" x14ac:dyDescent="0.25">
      <c r="A26" s="12">
        <v>43282</v>
      </c>
      <c r="B26"/>
      <c r="C26" s="56">
        <v>84655448</v>
      </c>
      <c r="D26" s="25">
        <v>186947</v>
      </c>
      <c r="E26" s="25">
        <v>509983</v>
      </c>
      <c r="F26" s="25">
        <v>1019966.56</v>
      </c>
      <c r="G26" s="56">
        <f t="shared" si="10"/>
        <v>323036</v>
      </c>
      <c r="H26" s="56">
        <f t="shared" si="11"/>
        <v>833019.56</v>
      </c>
      <c r="I26" s="58">
        <v>0.21</v>
      </c>
      <c r="J26" s="58">
        <v>0.05</v>
      </c>
      <c r="K26" s="56">
        <f t="shared" si="5"/>
        <v>59090.854619999998</v>
      </c>
      <c r="L26" s="56">
        <f t="shared" si="6"/>
        <v>41650.978000000003</v>
      </c>
      <c r="M26" s="56">
        <f t="shared" si="7"/>
        <v>19796110.805519991</v>
      </c>
      <c r="N26" s="56">
        <v>56612.15</v>
      </c>
      <c r="O26" s="31"/>
    </row>
    <row r="27" spans="1:15" ht="15" x14ac:dyDescent="0.25">
      <c r="A27" s="12">
        <v>43313</v>
      </c>
      <c r="B27"/>
      <c r="C27" s="56">
        <v>84655448</v>
      </c>
      <c r="D27" s="25">
        <v>186947</v>
      </c>
      <c r="E27" s="25">
        <v>509983</v>
      </c>
      <c r="F27" s="25">
        <v>1019966.56</v>
      </c>
      <c r="G27" s="56">
        <f t="shared" si="10"/>
        <v>323036</v>
      </c>
      <c r="H27" s="56">
        <f t="shared" si="11"/>
        <v>833019.56</v>
      </c>
      <c r="I27" s="58">
        <v>0.21</v>
      </c>
      <c r="J27" s="58">
        <v>0.05</v>
      </c>
      <c r="K27" s="56">
        <f t="shared" si="5"/>
        <v>59090.854619999998</v>
      </c>
      <c r="L27" s="56">
        <f t="shared" si="6"/>
        <v>41650.978000000003</v>
      </c>
      <c r="M27" s="56">
        <f t="shared" si="7"/>
        <v>19896852.638139989</v>
      </c>
      <c r="N27" s="56">
        <v>56354.43</v>
      </c>
      <c r="O27" s="31"/>
    </row>
    <row r="28" spans="1:15" ht="15" x14ac:dyDescent="0.25">
      <c r="A28" s="10">
        <v>43352</v>
      </c>
      <c r="B28"/>
      <c r="C28" s="56">
        <v>84655448</v>
      </c>
      <c r="D28" s="25">
        <v>186947</v>
      </c>
      <c r="E28" s="25">
        <f>509983.282-1</f>
        <v>509982.28200000001</v>
      </c>
      <c r="F28" s="25">
        <v>1019966.56</v>
      </c>
      <c r="G28" s="56">
        <f>E28-D28</f>
        <v>323035.28200000001</v>
      </c>
      <c r="H28" s="56">
        <f>F28-D28</f>
        <v>833019.56</v>
      </c>
      <c r="I28" s="58">
        <v>0.21</v>
      </c>
      <c r="J28" s="58">
        <v>0.05</v>
      </c>
      <c r="K28" s="56">
        <f t="shared" si="5"/>
        <v>59090.703840000002</v>
      </c>
      <c r="L28" s="56">
        <f t="shared" si="6"/>
        <v>41650.978000000003</v>
      </c>
      <c r="M28" s="56">
        <f>M27+K28+L28</f>
        <v>19997594.319979988</v>
      </c>
      <c r="N28" s="56">
        <v>56096.71</v>
      </c>
      <c r="O28" s="31"/>
    </row>
    <row r="29" spans="1:15" ht="15" x14ac:dyDescent="0.25">
      <c r="A29" s="12">
        <v>43374</v>
      </c>
      <c r="B29"/>
      <c r="C29" s="56">
        <v>84655448</v>
      </c>
      <c r="D29" s="25">
        <v>186947</v>
      </c>
      <c r="E29" s="25">
        <v>509983.28200000001</v>
      </c>
      <c r="F29" s="25">
        <v>1019966.56</v>
      </c>
      <c r="G29" s="56">
        <f t="shared" ref="G29:G33" si="12">E29-D29</f>
        <v>323036.28200000001</v>
      </c>
      <c r="H29" s="56">
        <f t="shared" ref="H29:H33" si="13">F29-D29</f>
        <v>833019.56</v>
      </c>
      <c r="I29" s="58">
        <v>0.21</v>
      </c>
      <c r="J29" s="58">
        <v>0.05</v>
      </c>
      <c r="K29" s="56">
        <f t="shared" si="5"/>
        <v>59090.913839999994</v>
      </c>
      <c r="L29" s="56">
        <f t="shared" si="6"/>
        <v>41650.978000000003</v>
      </c>
      <c r="M29" s="56">
        <f t="shared" si="7"/>
        <v>20098336.211819988</v>
      </c>
      <c r="N29" s="56">
        <v>55839</v>
      </c>
      <c r="O29" s="31"/>
    </row>
    <row r="30" spans="1:15" ht="15" x14ac:dyDescent="0.25">
      <c r="A30" s="12">
        <v>43405</v>
      </c>
      <c r="B30"/>
      <c r="C30" s="56">
        <v>84655448</v>
      </c>
      <c r="D30" s="25">
        <v>186947</v>
      </c>
      <c r="E30" s="25">
        <v>509983.28200000001</v>
      </c>
      <c r="F30" s="25">
        <v>1019966.56</v>
      </c>
      <c r="G30" s="56">
        <f t="shared" si="12"/>
        <v>323036.28200000001</v>
      </c>
      <c r="H30" s="56">
        <f t="shared" si="13"/>
        <v>833019.56</v>
      </c>
      <c r="I30" s="58">
        <v>0.21</v>
      </c>
      <c r="J30" s="58">
        <v>0.05</v>
      </c>
      <c r="K30" s="56">
        <f t="shared" si="5"/>
        <v>59090.913839999994</v>
      </c>
      <c r="L30" s="56">
        <f t="shared" si="6"/>
        <v>41650.978000000003</v>
      </c>
      <c r="M30" s="56">
        <f t="shared" si="7"/>
        <v>20199078.103659987</v>
      </c>
      <c r="N30" s="56">
        <v>55581.279999999999</v>
      </c>
      <c r="O30" s="31"/>
    </row>
    <row r="31" spans="1:15" ht="15" x14ac:dyDescent="0.25">
      <c r="A31" s="12">
        <v>43435</v>
      </c>
      <c r="B31"/>
      <c r="C31" s="56">
        <v>84655448</v>
      </c>
      <c r="D31" s="25">
        <v>186947</v>
      </c>
      <c r="E31" s="25">
        <f>509983.282-2.5</f>
        <v>509980.78200000001</v>
      </c>
      <c r="F31" s="25">
        <v>1019966.56</v>
      </c>
      <c r="G31" s="56">
        <f t="shared" si="12"/>
        <v>323033.78200000001</v>
      </c>
      <c r="H31" s="56">
        <f t="shared" si="13"/>
        <v>833019.56</v>
      </c>
      <c r="I31" s="58">
        <v>0.21</v>
      </c>
      <c r="J31" s="58">
        <v>0.05</v>
      </c>
      <c r="K31" s="56">
        <f t="shared" si="5"/>
        <v>59090.38884</v>
      </c>
      <c r="L31" s="56">
        <f t="shared" si="6"/>
        <v>41650.978000000003</v>
      </c>
      <c r="M31" s="56">
        <f t="shared" si="7"/>
        <v>20299819.470499989</v>
      </c>
      <c r="N31" s="56">
        <v>55323.57</v>
      </c>
      <c r="O31" s="31"/>
    </row>
    <row r="32" spans="1:15" ht="15" x14ac:dyDescent="0.25">
      <c r="A32" s="12">
        <v>43466</v>
      </c>
      <c r="B32"/>
      <c r="C32" s="56">
        <v>84655448</v>
      </c>
      <c r="D32" s="25">
        <v>186947</v>
      </c>
      <c r="E32" s="25">
        <f>503470.04</f>
        <v>503470.04</v>
      </c>
      <c r="F32" s="25">
        <v>1006940.07</v>
      </c>
      <c r="G32" s="56">
        <f t="shared" si="12"/>
        <v>316523.03999999998</v>
      </c>
      <c r="H32" s="56">
        <f t="shared" si="13"/>
        <v>819993.07</v>
      </c>
      <c r="I32" s="58">
        <v>0.21</v>
      </c>
      <c r="J32" s="58">
        <v>0.05</v>
      </c>
      <c r="K32" s="56">
        <f t="shared" si="5"/>
        <v>57859.911164999998</v>
      </c>
      <c r="L32" s="56">
        <f t="shared" si="6"/>
        <v>40999.6535</v>
      </c>
      <c r="M32" s="56">
        <f t="shared" si="7"/>
        <v>20398679.035164986</v>
      </c>
      <c r="N32" s="56">
        <v>55065.85</v>
      </c>
      <c r="O32" s="31"/>
    </row>
    <row r="33" spans="1:15" ht="15" x14ac:dyDescent="0.25">
      <c r="A33" s="12">
        <v>43497</v>
      </c>
      <c r="B33"/>
      <c r="C33" s="56">
        <v>84655448</v>
      </c>
      <c r="D33" s="25">
        <v>186947</v>
      </c>
      <c r="E33" s="25">
        <f>503470.04-0.5</f>
        <v>503469.54</v>
      </c>
      <c r="F33" s="25">
        <v>1006940.07</v>
      </c>
      <c r="G33" s="56">
        <f t="shared" si="12"/>
        <v>316522.53999999998</v>
      </c>
      <c r="H33" s="56">
        <f t="shared" si="13"/>
        <v>819993.07</v>
      </c>
      <c r="I33" s="58">
        <v>0.21</v>
      </c>
      <c r="J33" s="58">
        <v>0.05</v>
      </c>
      <c r="K33" s="56">
        <f t="shared" si="5"/>
        <v>57859.806165000002</v>
      </c>
      <c r="L33" s="56">
        <f t="shared" si="6"/>
        <v>40999.6535</v>
      </c>
      <c r="M33" s="56">
        <f t="shared" si="7"/>
        <v>20497538.494829983</v>
      </c>
      <c r="N33" s="56">
        <v>58669.48</v>
      </c>
      <c r="O33" s="31"/>
    </row>
    <row r="34" spans="1:15" x14ac:dyDescent="0.2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x14ac:dyDescent="0.2">
      <c r="C35" s="40" t="s">
        <v>49</v>
      </c>
      <c r="D35" s="61"/>
      <c r="E35" s="61"/>
      <c r="F35" s="61"/>
      <c r="G35" s="61"/>
      <c r="H35" s="61"/>
      <c r="I35" s="61"/>
      <c r="J35" s="61"/>
      <c r="K35" s="61"/>
      <c r="L35" s="31"/>
      <c r="M35" s="31"/>
      <c r="N35" s="31"/>
      <c r="O35" s="31"/>
    </row>
    <row r="36" spans="1:15" x14ac:dyDescent="0.2">
      <c r="C36" s="40" t="s">
        <v>21</v>
      </c>
      <c r="D36" s="61"/>
      <c r="E36" s="61"/>
      <c r="F36" s="61"/>
      <c r="G36" s="61"/>
      <c r="H36" s="61"/>
      <c r="I36" s="61"/>
      <c r="J36" s="61"/>
      <c r="K36" s="61"/>
      <c r="L36" s="31"/>
      <c r="M36" s="31"/>
      <c r="N36" s="31"/>
      <c r="O36" s="31"/>
    </row>
    <row r="37" spans="1:15" x14ac:dyDescent="0.2">
      <c r="C37" s="40" t="s">
        <v>58</v>
      </c>
      <c r="D37" s="61"/>
      <c r="E37" s="61"/>
      <c r="F37" s="61"/>
      <c r="G37" s="61"/>
      <c r="H37" s="61"/>
      <c r="I37" s="61"/>
      <c r="J37" s="61"/>
      <c r="K37" s="61"/>
      <c r="L37" s="31"/>
      <c r="M37" s="31"/>
      <c r="N37" s="31"/>
      <c r="O37" s="31"/>
    </row>
    <row r="38" spans="1:15" x14ac:dyDescent="0.2">
      <c r="C38" s="59" t="s">
        <v>22</v>
      </c>
      <c r="D38" s="61"/>
      <c r="E38" s="61"/>
      <c r="F38" s="61"/>
      <c r="G38" s="61"/>
      <c r="H38" s="61"/>
      <c r="I38" s="61"/>
      <c r="J38" s="61"/>
      <c r="K38" s="61"/>
      <c r="L38" s="31"/>
      <c r="M38" s="31"/>
      <c r="N38" s="31"/>
      <c r="O38" s="31"/>
    </row>
    <row r="39" spans="1:15" x14ac:dyDescent="0.2">
      <c r="C39" s="61"/>
      <c r="D39" s="61"/>
      <c r="E39" s="61"/>
      <c r="F39" s="61"/>
      <c r="G39" s="61"/>
      <c r="H39" s="61"/>
      <c r="I39" s="61"/>
      <c r="J39" s="61"/>
      <c r="K39" s="61"/>
      <c r="L39" s="31"/>
      <c r="M39" s="31"/>
      <c r="N39" s="31"/>
      <c r="O39" s="31"/>
    </row>
    <row r="40" spans="1:15" x14ac:dyDescent="0.2">
      <c r="C40" s="59" t="s">
        <v>23</v>
      </c>
      <c r="D40" s="28" t="s">
        <v>24</v>
      </c>
      <c r="E40" s="27" t="s">
        <v>25</v>
      </c>
      <c r="F40" s="59" t="s">
        <v>26</v>
      </c>
      <c r="G40" s="60" t="s">
        <v>12</v>
      </c>
      <c r="H40" s="59" t="s">
        <v>27</v>
      </c>
      <c r="I40" s="61"/>
      <c r="J40" s="61"/>
      <c r="K40" s="61"/>
      <c r="L40" s="31"/>
      <c r="M40" s="31"/>
      <c r="N40" s="31"/>
      <c r="O40" s="31"/>
    </row>
    <row r="41" spans="1:15" x14ac:dyDescent="0.2">
      <c r="C41" s="56">
        <v>17445568.128000002</v>
      </c>
      <c r="D41" s="56">
        <v>186947</v>
      </c>
      <c r="E41" s="56">
        <v>83055</v>
      </c>
      <c r="F41" s="56">
        <f>E41-D41</f>
        <v>-103892</v>
      </c>
      <c r="G41" s="58">
        <v>0.21</v>
      </c>
      <c r="H41" s="56">
        <f>F41*G41</f>
        <v>-21817.32</v>
      </c>
      <c r="I41" s="61"/>
      <c r="J41" s="61"/>
      <c r="K41" s="61"/>
      <c r="L41" s="31"/>
      <c r="M41" s="31"/>
      <c r="N41" s="31"/>
      <c r="O41" s="31"/>
    </row>
    <row r="42" spans="1:15" x14ac:dyDescent="0.2">
      <c r="C42" s="56">
        <v>26168352.191999998</v>
      </c>
      <c r="D42" s="56"/>
      <c r="E42" s="59">
        <v>436139</v>
      </c>
      <c r="F42" s="56">
        <f>E42</f>
        <v>436139</v>
      </c>
      <c r="G42" s="58">
        <v>0.21</v>
      </c>
      <c r="H42" s="42">
        <f>F42*G42</f>
        <v>91589.19</v>
      </c>
      <c r="I42" s="61"/>
      <c r="J42" s="61"/>
      <c r="K42" s="61"/>
      <c r="L42" s="31"/>
      <c r="M42" s="31"/>
      <c r="N42" s="31"/>
      <c r="O42" s="31"/>
    </row>
    <row r="43" spans="1:15" x14ac:dyDescent="0.2">
      <c r="C43" s="56">
        <v>-514479</v>
      </c>
      <c r="D43" s="56"/>
      <c r="E43" s="56">
        <v>-2862</v>
      </c>
      <c r="F43" s="56">
        <f t="shared" ref="F43:F44" si="14">E43</f>
        <v>-2862</v>
      </c>
      <c r="G43" s="58">
        <v>0.21</v>
      </c>
      <c r="H43" s="42">
        <f t="shared" ref="H43:H44" si="15">F43*G43</f>
        <v>-601.02</v>
      </c>
      <c r="I43" s="61"/>
      <c r="J43" s="61"/>
      <c r="K43" s="61"/>
      <c r="L43" s="31"/>
      <c r="M43" s="31"/>
      <c r="N43" s="31"/>
      <c r="O43" s="31"/>
    </row>
    <row r="44" spans="1:15" ht="15" x14ac:dyDescent="0.35">
      <c r="C44" s="45">
        <v>-771718</v>
      </c>
      <c r="D44" s="56"/>
      <c r="E44" s="45">
        <v>-12862</v>
      </c>
      <c r="F44" s="45">
        <f t="shared" si="14"/>
        <v>-12862</v>
      </c>
      <c r="G44" s="58">
        <v>0.21</v>
      </c>
      <c r="H44" s="45">
        <f t="shared" si="15"/>
        <v>-2701.02</v>
      </c>
      <c r="I44" s="61"/>
      <c r="J44" s="61"/>
      <c r="K44" s="61"/>
      <c r="L44" s="31"/>
      <c r="M44" s="31"/>
      <c r="N44" s="31"/>
      <c r="O44" s="31"/>
    </row>
    <row r="45" spans="1:15" x14ac:dyDescent="0.2">
      <c r="C45" s="56">
        <f>SUM(C41:C44)</f>
        <v>42327723.32</v>
      </c>
      <c r="D45" s="61"/>
      <c r="E45" s="64">
        <f>SUM(E41:E44)</f>
        <v>503470</v>
      </c>
      <c r="F45" s="64">
        <f>SUM(F41:F44)</f>
        <v>316523</v>
      </c>
      <c r="G45" s="47" t="s">
        <v>28</v>
      </c>
      <c r="H45" s="64">
        <f>SUM(H41:H44)</f>
        <v>66469.829999999987</v>
      </c>
      <c r="I45" s="61"/>
      <c r="J45" s="61"/>
      <c r="K45" s="61"/>
      <c r="L45" s="31"/>
      <c r="M45" s="31"/>
      <c r="N45" s="31"/>
      <c r="O45" s="31"/>
    </row>
    <row r="46" spans="1:15" ht="15" x14ac:dyDescent="0.35">
      <c r="C46" s="61"/>
      <c r="D46" s="61"/>
      <c r="E46" s="61"/>
      <c r="F46" s="61"/>
      <c r="G46" s="47" t="s">
        <v>29</v>
      </c>
      <c r="H46" s="45">
        <f>-H54*0.21</f>
        <v>-8609.9307671999995</v>
      </c>
      <c r="I46" s="61"/>
      <c r="J46" s="61"/>
      <c r="K46" s="61"/>
      <c r="L46" s="31"/>
      <c r="M46" s="31"/>
      <c r="N46" s="31"/>
      <c r="O46" s="31"/>
    </row>
    <row r="47" spans="1:15" x14ac:dyDescent="0.2">
      <c r="C47" s="61"/>
      <c r="D47" s="61"/>
      <c r="E47" s="61"/>
      <c r="F47" s="61"/>
      <c r="G47" s="61"/>
      <c r="H47" s="56">
        <f>H45+H46</f>
        <v>57859.899232799988</v>
      </c>
      <c r="I47" s="61"/>
      <c r="J47" s="61"/>
      <c r="K47" s="61"/>
      <c r="L47" s="31"/>
      <c r="M47" s="31"/>
      <c r="N47" s="31"/>
      <c r="O47" s="31"/>
    </row>
    <row r="48" spans="1:15" x14ac:dyDescent="0.2">
      <c r="C48" s="61"/>
      <c r="D48" s="61"/>
      <c r="E48" s="61"/>
      <c r="F48" s="61"/>
      <c r="G48" s="61"/>
      <c r="H48" s="59">
        <f>H47-K33</f>
        <v>9.3067799985874444E-2</v>
      </c>
      <c r="I48" s="61"/>
      <c r="J48" s="61"/>
      <c r="K48" s="61"/>
      <c r="L48" s="31"/>
      <c r="M48" s="31"/>
      <c r="N48" s="31"/>
      <c r="O48" s="31"/>
    </row>
    <row r="49" spans="3:15" x14ac:dyDescent="0.2">
      <c r="C49" s="59" t="s">
        <v>30</v>
      </c>
      <c r="D49" s="26" t="s">
        <v>24</v>
      </c>
      <c r="E49" s="27" t="s">
        <v>31</v>
      </c>
      <c r="F49" s="59" t="s">
        <v>32</v>
      </c>
      <c r="G49" s="60" t="s">
        <v>13</v>
      </c>
      <c r="H49" s="59" t="s">
        <v>33</v>
      </c>
      <c r="I49" s="61"/>
      <c r="J49" s="61"/>
      <c r="K49" s="61"/>
      <c r="L49" s="31"/>
      <c r="M49" s="31"/>
      <c r="N49" s="31"/>
      <c r="O49" s="31"/>
    </row>
    <row r="50" spans="3:15" x14ac:dyDescent="0.2">
      <c r="C50" s="56">
        <v>34891136.256000005</v>
      </c>
      <c r="D50" s="56">
        <f>D41</f>
        <v>186947</v>
      </c>
      <c r="E50" s="56">
        <v>166111</v>
      </c>
      <c r="F50" s="56">
        <f>E50-D50</f>
        <v>-20836</v>
      </c>
      <c r="G50" s="58">
        <v>0.05</v>
      </c>
      <c r="H50" s="56">
        <f>F50*G50</f>
        <v>-1041.8</v>
      </c>
      <c r="I50" s="61"/>
      <c r="J50" s="61"/>
      <c r="K50" s="61"/>
      <c r="L50" s="31"/>
      <c r="M50" s="31"/>
      <c r="N50" s="31"/>
      <c r="O50" s="31"/>
    </row>
    <row r="51" spans="3:15" x14ac:dyDescent="0.2">
      <c r="C51" s="56">
        <v>52336704.383999996</v>
      </c>
      <c r="D51" s="56"/>
      <c r="E51" s="42">
        <v>872278.40639999986</v>
      </c>
      <c r="F51" s="42">
        <f>E51</f>
        <v>872278.40639999986</v>
      </c>
      <c r="G51" s="49">
        <v>0.05</v>
      </c>
      <c r="H51" s="42">
        <f>F51*G51</f>
        <v>43613.920319999997</v>
      </c>
      <c r="I51" s="61"/>
      <c r="J51" s="61"/>
      <c r="K51" s="61"/>
      <c r="L51" s="31"/>
      <c r="M51" s="31"/>
      <c r="N51" s="31"/>
      <c r="O51" s="31"/>
    </row>
    <row r="52" spans="3:15" x14ac:dyDescent="0.2">
      <c r="C52" s="56">
        <v>-1028957</v>
      </c>
      <c r="D52" s="56"/>
      <c r="E52" s="42">
        <v>-5725</v>
      </c>
      <c r="F52" s="42">
        <f t="shared" ref="F52:F53" si="16">E52</f>
        <v>-5725</v>
      </c>
      <c r="G52" s="49">
        <v>0.05</v>
      </c>
      <c r="H52" s="42">
        <f t="shared" ref="H52:H53" si="17">F52*G52</f>
        <v>-286.25</v>
      </c>
      <c r="I52" s="61"/>
      <c r="J52" s="61"/>
      <c r="K52" s="61"/>
      <c r="L52" s="31"/>
      <c r="M52" s="31"/>
      <c r="N52" s="31"/>
      <c r="O52" s="31"/>
    </row>
    <row r="53" spans="3:15" ht="15" x14ac:dyDescent="0.35">
      <c r="C53" s="45">
        <v>-1543436</v>
      </c>
      <c r="D53" s="56"/>
      <c r="E53" s="45">
        <v>-25724</v>
      </c>
      <c r="F53" s="45">
        <f t="shared" si="16"/>
        <v>-25724</v>
      </c>
      <c r="G53" s="58">
        <v>0.05</v>
      </c>
      <c r="H53" s="45">
        <f t="shared" si="17"/>
        <v>-1286.2</v>
      </c>
      <c r="I53" s="61"/>
      <c r="J53" s="61"/>
      <c r="K53" s="61"/>
      <c r="L53" s="31"/>
      <c r="M53" s="31"/>
      <c r="N53" s="31"/>
      <c r="O53" s="31"/>
    </row>
    <row r="54" spans="3:15" x14ac:dyDescent="0.2">
      <c r="C54" s="56">
        <f>SUM(C50:C53)</f>
        <v>84655447.640000001</v>
      </c>
      <c r="D54" s="61"/>
      <c r="E54" s="56">
        <f>E50+E51+E52+E53</f>
        <v>1006940.4063999999</v>
      </c>
      <c r="F54" s="56">
        <f>F50+F51+F52+F53</f>
        <v>819993.40639999986</v>
      </c>
      <c r="G54" s="61"/>
      <c r="H54" s="56">
        <f>H50+H51+H52+H53</f>
        <v>40999.670319999997</v>
      </c>
      <c r="I54" s="61"/>
      <c r="J54" s="61"/>
      <c r="K54" s="61"/>
      <c r="L54" s="31"/>
      <c r="M54" s="31"/>
      <c r="N54" s="31"/>
      <c r="O54" s="31"/>
    </row>
    <row r="55" spans="3:15" x14ac:dyDescent="0.2">
      <c r="C55" s="61"/>
      <c r="D55" s="61"/>
      <c r="E55" s="61"/>
      <c r="F55" s="61"/>
      <c r="G55" s="61"/>
      <c r="H55" s="56">
        <f>H54-L33</f>
        <v>1.6819999997096602E-2</v>
      </c>
      <c r="I55" s="61"/>
      <c r="J55" s="61"/>
      <c r="K55" s="61"/>
      <c r="L55" s="31"/>
      <c r="M55" s="31"/>
      <c r="N55" s="31"/>
      <c r="O55" s="31"/>
    </row>
    <row r="56" spans="3:15" x14ac:dyDescent="0.2">
      <c r="C56" s="61"/>
      <c r="D56" s="61"/>
      <c r="E56" s="61"/>
      <c r="F56" s="61"/>
      <c r="G56" s="61"/>
      <c r="H56" s="61"/>
      <c r="I56" s="61"/>
      <c r="J56" s="61"/>
      <c r="K56" s="61"/>
      <c r="L56" s="31"/>
      <c r="M56" s="31"/>
      <c r="N56" s="31"/>
      <c r="O56" s="31"/>
    </row>
    <row r="57" spans="3:15" x14ac:dyDescent="0.2">
      <c r="C57" s="61"/>
      <c r="D57" s="61"/>
      <c r="E57" s="61"/>
      <c r="F57" s="61"/>
      <c r="G57" s="61"/>
      <c r="H57" s="61"/>
      <c r="I57" s="61"/>
      <c r="J57" s="61"/>
      <c r="K57" s="61"/>
      <c r="L57" s="31"/>
      <c r="M57" s="31"/>
      <c r="N57" s="31"/>
      <c r="O57" s="31"/>
    </row>
  </sheetData>
  <pageMargins left="0.7" right="0.7" top="1.15625" bottom="0.75" header="0.3" footer="0.3"/>
  <pageSetup scale="51" orientation="portrait" r:id="rId1"/>
  <headerFooter>
    <oddHeader>&amp;R&amp;"Times New Roman,Bold"&amp;12Attachment to Response to Question 3
Page &amp;P of &amp;N
Williams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97"/>
  <sheetViews>
    <sheetView topLeftCell="C1" zoomScaleNormal="100" workbookViewId="0">
      <selection activeCell="F31" sqref="F31"/>
    </sheetView>
  </sheetViews>
  <sheetFormatPr defaultColWidth="8.85546875" defaultRowHeight="12.75" x14ac:dyDescent="0.2"/>
  <cols>
    <col min="1" max="1" width="11.28515625" style="23" customWidth="1"/>
    <col min="2" max="2" width="1.7109375" style="15" customWidth="1"/>
    <col min="3" max="3" width="12.7109375" style="15" customWidth="1"/>
    <col min="4" max="4" width="14.28515625" style="15" bestFit="1" customWidth="1"/>
    <col min="5" max="5" width="14.28515625" style="15" customWidth="1"/>
    <col min="6" max="6" width="14.28515625" style="15" bestFit="1" customWidth="1"/>
    <col min="7" max="7" width="14.28515625" style="15" customWidth="1"/>
    <col min="8" max="12" width="12.7109375" style="15" customWidth="1"/>
    <col min="13" max="13" width="16.5703125" style="15" bestFit="1" customWidth="1"/>
    <col min="14" max="14" width="12.7109375" style="15" customWidth="1"/>
    <col min="15" max="15" width="11.28515625" style="15" customWidth="1"/>
    <col min="16" max="16" width="14.5703125" style="15" bestFit="1" customWidth="1"/>
    <col min="17" max="16384" width="8.85546875" style="15"/>
  </cols>
  <sheetData>
    <row r="1" spans="1:16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6" x14ac:dyDescent="0.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6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6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5"/>
    </row>
    <row r="5" spans="1:16" x14ac:dyDescent="0.2">
      <c r="A5" s="18" t="s">
        <v>36</v>
      </c>
    </row>
    <row r="6" spans="1:16" x14ac:dyDescent="0.2">
      <c r="A6" s="19" t="s">
        <v>50</v>
      </c>
    </row>
    <row r="8" spans="1:16" s="22" customFormat="1" ht="38.25" x14ac:dyDescent="0.2">
      <c r="A8" s="20" t="s">
        <v>5</v>
      </c>
      <c r="B8" s="21"/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38</v>
      </c>
      <c r="J8" s="21" t="s">
        <v>39</v>
      </c>
      <c r="K8" s="21" t="s">
        <v>14</v>
      </c>
      <c r="L8" s="21" t="s">
        <v>15</v>
      </c>
      <c r="M8" s="21" t="s">
        <v>16</v>
      </c>
      <c r="N8" s="21" t="s">
        <v>17</v>
      </c>
    </row>
    <row r="9" spans="1:16" x14ac:dyDescent="0.2">
      <c r="A9" s="23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25">
        <v>134731050</v>
      </c>
      <c r="N9" s="31"/>
    </row>
    <row r="10" spans="1:16" ht="15" x14ac:dyDescent="0.25">
      <c r="A10" s="10">
        <v>42795</v>
      </c>
      <c r="B10"/>
      <c r="C10" s="56">
        <v>641481666</v>
      </c>
      <c r="D10" s="25">
        <v>1110889</v>
      </c>
      <c r="E10" s="25">
        <v>3193974</v>
      </c>
      <c r="F10" s="25">
        <v>6349338.8399999999</v>
      </c>
      <c r="G10" s="25">
        <f>E10-D10</f>
        <v>2083085</v>
      </c>
      <c r="H10" s="56">
        <f>F10-D10</f>
        <v>5238449.84</v>
      </c>
      <c r="I10" s="58">
        <v>0.35</v>
      </c>
      <c r="J10" s="58">
        <v>0.06</v>
      </c>
      <c r="K10" s="56">
        <f>G10*I10-L10*I10</f>
        <v>619072.30336000002</v>
      </c>
      <c r="L10" s="56">
        <f>H10*J10</f>
        <v>314306.99039999995</v>
      </c>
      <c r="M10" s="56">
        <f>M9+K10+L10</f>
        <v>135664429.29375997</v>
      </c>
      <c r="N10" s="56">
        <v>0</v>
      </c>
      <c r="P10" s="24"/>
    </row>
    <row r="11" spans="1:16" ht="15" x14ac:dyDescent="0.25">
      <c r="A11" s="12">
        <v>42826</v>
      </c>
      <c r="B11"/>
      <c r="C11" s="56">
        <v>641481666</v>
      </c>
      <c r="D11" s="25">
        <v>1110889</v>
      </c>
      <c r="E11" s="25">
        <v>3193974</v>
      </c>
      <c r="F11" s="25">
        <v>6349338.8399999999</v>
      </c>
      <c r="G11" s="25">
        <f t="shared" ref="G11:G15" si="0">E11-D11</f>
        <v>2083085</v>
      </c>
      <c r="H11" s="56">
        <f t="shared" ref="H11:H15" si="1">F11-D11</f>
        <v>5238449.84</v>
      </c>
      <c r="I11" s="58">
        <v>0.35</v>
      </c>
      <c r="J11" s="58">
        <v>0.06</v>
      </c>
      <c r="K11" s="56">
        <f t="shared" ref="K11:K15" si="2">G11*I11-L11*I11</f>
        <v>619072.30336000002</v>
      </c>
      <c r="L11" s="56">
        <f t="shared" ref="L11:L15" si="3">H11*J11</f>
        <v>314306.99039999995</v>
      </c>
      <c r="M11" s="56">
        <f t="shared" ref="M11:M15" si="4">M10+K11+L11</f>
        <v>136597808.58751994</v>
      </c>
      <c r="N11" s="56">
        <v>0</v>
      </c>
      <c r="O11" s="24"/>
      <c r="P11" s="36"/>
    </row>
    <row r="12" spans="1:16" ht="15" x14ac:dyDescent="0.25">
      <c r="A12" s="12">
        <v>42856</v>
      </c>
      <c r="B12"/>
      <c r="C12" s="56">
        <v>641481666</v>
      </c>
      <c r="D12" s="25">
        <v>1110889</v>
      </c>
      <c r="E12" s="25">
        <v>3193974</v>
      </c>
      <c r="F12" s="25">
        <v>6349338.8399999999</v>
      </c>
      <c r="G12" s="25">
        <f t="shared" si="0"/>
        <v>2083085</v>
      </c>
      <c r="H12" s="56">
        <f t="shared" si="1"/>
        <v>5238449.84</v>
      </c>
      <c r="I12" s="58">
        <v>0.35</v>
      </c>
      <c r="J12" s="58">
        <v>0.06</v>
      </c>
      <c r="K12" s="56">
        <f t="shared" si="2"/>
        <v>619072.30336000002</v>
      </c>
      <c r="L12" s="56">
        <f t="shared" si="3"/>
        <v>314306.99039999995</v>
      </c>
      <c r="M12" s="56">
        <f t="shared" si="4"/>
        <v>137531187.88127992</v>
      </c>
      <c r="N12" s="56">
        <v>0</v>
      </c>
      <c r="O12" s="36"/>
    </row>
    <row r="13" spans="1:16" ht="15" x14ac:dyDescent="0.25">
      <c r="A13" s="12">
        <v>42887</v>
      </c>
      <c r="B13"/>
      <c r="C13" s="56">
        <v>641481666</v>
      </c>
      <c r="D13" s="25">
        <v>1110889</v>
      </c>
      <c r="E13" s="25">
        <v>3193974.93</v>
      </c>
      <c r="F13" s="25">
        <v>6349339.4900000002</v>
      </c>
      <c r="G13" s="25">
        <f t="shared" si="0"/>
        <v>2083085.9300000002</v>
      </c>
      <c r="H13" s="56">
        <f t="shared" si="1"/>
        <v>5238450.49</v>
      </c>
      <c r="I13" s="58">
        <v>0.35</v>
      </c>
      <c r="J13" s="58">
        <v>0.06</v>
      </c>
      <c r="K13" s="56">
        <f t="shared" si="2"/>
        <v>619072.61521000008</v>
      </c>
      <c r="L13" s="56">
        <f t="shared" si="3"/>
        <v>314307.0294</v>
      </c>
      <c r="M13" s="56">
        <f t="shared" si="4"/>
        <v>138464567.5258899</v>
      </c>
      <c r="N13" s="56">
        <v>0</v>
      </c>
      <c r="O13" s="24"/>
    </row>
    <row r="14" spans="1:16" ht="15" x14ac:dyDescent="0.25">
      <c r="A14" s="12">
        <v>42917</v>
      </c>
      <c r="B14"/>
      <c r="C14" s="56">
        <v>641481666</v>
      </c>
      <c r="D14" s="25">
        <v>1252973</v>
      </c>
      <c r="E14" s="25">
        <f>3193974.93+142083-142083</f>
        <v>3193974.93</v>
      </c>
      <c r="F14" s="25">
        <f>6349339.49+142083-142083</f>
        <v>6349339.4900000002</v>
      </c>
      <c r="G14" s="25">
        <f t="shared" si="0"/>
        <v>1941001.9300000002</v>
      </c>
      <c r="H14" s="56">
        <f t="shared" si="1"/>
        <v>5096366.49</v>
      </c>
      <c r="I14" s="58">
        <v>0.35</v>
      </c>
      <c r="J14" s="58">
        <v>0.06</v>
      </c>
      <c r="K14" s="56">
        <f t="shared" si="2"/>
        <v>572326.97921000002</v>
      </c>
      <c r="L14" s="56">
        <f t="shared" si="3"/>
        <v>305781.98940000002</v>
      </c>
      <c r="M14" s="56">
        <f t="shared" si="4"/>
        <v>139342676.49449989</v>
      </c>
      <c r="N14" s="56">
        <v>0</v>
      </c>
      <c r="O14" s="36"/>
    </row>
    <row r="15" spans="1:16" ht="15" x14ac:dyDescent="0.25">
      <c r="A15" s="12">
        <v>42948</v>
      </c>
      <c r="B15"/>
      <c r="C15" s="56">
        <v>641481666</v>
      </c>
      <c r="D15" s="25">
        <v>1252973</v>
      </c>
      <c r="E15" s="25">
        <f>3193974.93+142083+1.4-142083-2</f>
        <v>3193974.33</v>
      </c>
      <c r="F15" s="25">
        <f>6349339.49+142083+1.4-142083-2</f>
        <v>6349338.8900000006</v>
      </c>
      <c r="G15" s="25">
        <f t="shared" si="0"/>
        <v>1941001.33</v>
      </c>
      <c r="H15" s="56">
        <f t="shared" si="1"/>
        <v>5096365.8900000006</v>
      </c>
      <c r="I15" s="58">
        <v>0.35</v>
      </c>
      <c r="J15" s="58">
        <v>0.06</v>
      </c>
      <c r="K15" s="56">
        <f t="shared" si="2"/>
        <v>572326.78180999996</v>
      </c>
      <c r="L15" s="56">
        <f t="shared" si="3"/>
        <v>305781.9534</v>
      </c>
      <c r="M15" s="56">
        <f t="shared" si="4"/>
        <v>140220785.22970986</v>
      </c>
      <c r="N15" s="56">
        <v>0</v>
      </c>
      <c r="O15" s="24"/>
    </row>
    <row r="16" spans="1:16" ht="15" x14ac:dyDescent="0.25">
      <c r="A16" s="10">
        <v>42987</v>
      </c>
      <c r="B16"/>
      <c r="C16" s="56">
        <v>641481666</v>
      </c>
      <c r="D16" s="25">
        <v>1252973</v>
      </c>
      <c r="E16" s="25">
        <v>3193974</v>
      </c>
      <c r="F16" s="25">
        <v>6349338.8399999999</v>
      </c>
      <c r="G16" s="56">
        <f>E16-D16</f>
        <v>1941001</v>
      </c>
      <c r="H16" s="56">
        <f>F16-D16</f>
        <v>5096365.84</v>
      </c>
      <c r="I16" s="58">
        <v>0.35</v>
      </c>
      <c r="J16" s="58">
        <v>0.06</v>
      </c>
      <c r="K16" s="56">
        <f t="shared" ref="K16:K33" si="5">G16*I16-L16*I16</f>
        <v>572326.66735999996</v>
      </c>
      <c r="L16" s="56">
        <f t="shared" ref="L16:L33" si="6">H16*J16</f>
        <v>305781.95039999997</v>
      </c>
      <c r="M16" s="56">
        <f t="shared" ref="M16:M33" si="7">M15+K16+L16</f>
        <v>141098893.84746987</v>
      </c>
      <c r="N16" s="56">
        <v>0</v>
      </c>
      <c r="O16" s="29"/>
    </row>
    <row r="17" spans="1:14" ht="15" x14ac:dyDescent="0.25">
      <c r="A17" s="12">
        <v>43009</v>
      </c>
      <c r="B17"/>
      <c r="C17" s="56">
        <v>641481666</v>
      </c>
      <c r="D17" s="25">
        <v>1252973</v>
      </c>
      <c r="E17" s="25">
        <v>3193974</v>
      </c>
      <c r="F17" s="25">
        <v>6349338.8399999999</v>
      </c>
      <c r="G17" s="56">
        <f t="shared" ref="G17:G21" si="8">E17-D17</f>
        <v>1941001</v>
      </c>
      <c r="H17" s="56">
        <f t="shared" ref="H17:H21" si="9">F17-D17</f>
        <v>5096365.84</v>
      </c>
      <c r="I17" s="58">
        <v>0.35</v>
      </c>
      <c r="J17" s="58">
        <v>0.06</v>
      </c>
      <c r="K17" s="56">
        <f t="shared" si="5"/>
        <v>572326.66735999996</v>
      </c>
      <c r="L17" s="56">
        <f t="shared" si="6"/>
        <v>305781.95039999997</v>
      </c>
      <c r="M17" s="56">
        <f t="shared" si="7"/>
        <v>141977002.46522987</v>
      </c>
      <c r="N17" s="56">
        <v>0</v>
      </c>
    </row>
    <row r="18" spans="1:14" ht="15" x14ac:dyDescent="0.25">
      <c r="A18" s="12">
        <v>43040</v>
      </c>
      <c r="B18"/>
      <c r="C18" s="56">
        <v>641481666</v>
      </c>
      <c r="D18" s="25">
        <v>1252973</v>
      </c>
      <c r="E18" s="25">
        <v>3193974</v>
      </c>
      <c r="F18" s="25">
        <v>6349338.8399999999</v>
      </c>
      <c r="G18" s="56">
        <f t="shared" si="8"/>
        <v>1941001</v>
      </c>
      <c r="H18" s="56">
        <f t="shared" si="9"/>
        <v>5096365.84</v>
      </c>
      <c r="I18" s="58">
        <v>0.35</v>
      </c>
      <c r="J18" s="58">
        <v>0.06</v>
      </c>
      <c r="K18" s="56">
        <f t="shared" si="5"/>
        <v>572326.66735999996</v>
      </c>
      <c r="L18" s="56">
        <f t="shared" si="6"/>
        <v>305781.95039999997</v>
      </c>
      <c r="M18" s="56">
        <f t="shared" si="7"/>
        <v>142855111.08298987</v>
      </c>
      <c r="N18" s="56">
        <v>0</v>
      </c>
    </row>
    <row r="19" spans="1:14" ht="15" x14ac:dyDescent="0.25">
      <c r="A19" s="12">
        <v>43070</v>
      </c>
      <c r="B19"/>
      <c r="C19" s="56">
        <v>641481666</v>
      </c>
      <c r="D19" s="25">
        <v>1252973</v>
      </c>
      <c r="E19" s="25">
        <v>3193974</v>
      </c>
      <c r="F19" s="25">
        <v>6349338.5</v>
      </c>
      <c r="G19" s="56">
        <f t="shared" si="8"/>
        <v>1941001</v>
      </c>
      <c r="H19" s="56">
        <f t="shared" si="9"/>
        <v>5096365.5</v>
      </c>
      <c r="I19" s="58">
        <v>0.35</v>
      </c>
      <c r="J19" s="58">
        <v>0.06</v>
      </c>
      <c r="K19" s="56">
        <f t="shared" si="5"/>
        <v>572326.67449999996</v>
      </c>
      <c r="L19" s="56">
        <f t="shared" si="6"/>
        <v>305781.93</v>
      </c>
      <c r="M19" s="56">
        <f>M18+K19+L19-1</f>
        <v>143733218.68748987</v>
      </c>
      <c r="N19" s="56">
        <v>0</v>
      </c>
    </row>
    <row r="20" spans="1:14" ht="15" x14ac:dyDescent="0.25">
      <c r="A20" s="12">
        <v>43101</v>
      </c>
      <c r="B20"/>
      <c r="C20" s="56">
        <v>641481666</v>
      </c>
      <c r="D20" s="25">
        <v>1252973</v>
      </c>
      <c r="E20" s="25">
        <f>3139295</f>
        <v>3139295</v>
      </c>
      <c r="F20" s="25">
        <v>6242868</v>
      </c>
      <c r="G20" s="56">
        <f t="shared" si="8"/>
        <v>1886322</v>
      </c>
      <c r="H20" s="56">
        <f t="shared" si="9"/>
        <v>4989895</v>
      </c>
      <c r="I20" s="58">
        <v>0.21</v>
      </c>
      <c r="J20" s="58">
        <v>0.05</v>
      </c>
      <c r="K20" s="56">
        <f t="shared" si="5"/>
        <v>343733.72249999997</v>
      </c>
      <c r="L20" s="56">
        <f t="shared" si="6"/>
        <v>249494.75</v>
      </c>
      <c r="M20" s="56">
        <f>M19+K20+L20+1</f>
        <v>144326448.15998986</v>
      </c>
      <c r="N20" s="56">
        <v>0</v>
      </c>
    </row>
    <row r="21" spans="1:14" ht="15" x14ac:dyDescent="0.25">
      <c r="A21" s="12">
        <v>43132</v>
      </c>
      <c r="B21"/>
      <c r="C21" s="56">
        <v>641481666</v>
      </c>
      <c r="D21" s="25">
        <v>1252973</v>
      </c>
      <c r="E21" s="25">
        <v>3139295</v>
      </c>
      <c r="F21" s="25">
        <f>6242867.79</f>
        <v>6242867.79</v>
      </c>
      <c r="G21" s="56">
        <f t="shared" si="8"/>
        <v>1886322</v>
      </c>
      <c r="H21" s="56">
        <f t="shared" si="9"/>
        <v>4989894.79</v>
      </c>
      <c r="I21" s="58">
        <v>0.21</v>
      </c>
      <c r="J21" s="58">
        <v>0.05</v>
      </c>
      <c r="K21" s="56">
        <f t="shared" si="5"/>
        <v>343733.724705</v>
      </c>
      <c r="L21" s="56">
        <f t="shared" si="6"/>
        <v>249494.73950000003</v>
      </c>
      <c r="M21" s="56">
        <f>M20+K21+L21-1</f>
        <v>144919675.62419486</v>
      </c>
      <c r="N21" s="56">
        <v>0</v>
      </c>
    </row>
    <row r="22" spans="1:14" ht="15" x14ac:dyDescent="0.25">
      <c r="A22" s="12">
        <v>43160</v>
      </c>
      <c r="B22"/>
      <c r="C22" s="56">
        <v>641481666</v>
      </c>
      <c r="D22" s="25">
        <v>1252973</v>
      </c>
      <c r="E22" s="25">
        <f>3139295</f>
        <v>3139295</v>
      </c>
      <c r="F22" s="25">
        <v>6242867.79</v>
      </c>
      <c r="G22" s="56">
        <f>E22-D22</f>
        <v>1886322</v>
      </c>
      <c r="H22" s="56">
        <f>F22-D22</f>
        <v>4989894.79</v>
      </c>
      <c r="I22" s="58">
        <v>0.21</v>
      </c>
      <c r="J22" s="58">
        <v>0.05</v>
      </c>
      <c r="K22" s="56">
        <f t="shared" si="5"/>
        <v>343733.724705</v>
      </c>
      <c r="L22" s="56">
        <f t="shared" si="6"/>
        <v>249494.73950000003</v>
      </c>
      <c r="M22" s="56">
        <f t="shared" si="7"/>
        <v>145512904.08839986</v>
      </c>
      <c r="N22" s="56">
        <v>0</v>
      </c>
    </row>
    <row r="23" spans="1:14" ht="15" x14ac:dyDescent="0.25">
      <c r="A23" s="12">
        <v>43191</v>
      </c>
      <c r="B23"/>
      <c r="C23" s="56">
        <v>641481666</v>
      </c>
      <c r="D23" s="25">
        <v>1252973</v>
      </c>
      <c r="E23" s="25">
        <f t="shared" ref="E23:E24" si="10">3139295</f>
        <v>3139295</v>
      </c>
      <c r="F23" s="25">
        <v>6242867.79</v>
      </c>
      <c r="G23" s="56">
        <f t="shared" ref="G23:G27" si="11">E23-D23</f>
        <v>1886322</v>
      </c>
      <c r="H23" s="56">
        <f t="shared" ref="H23:H27" si="12">F23-D23</f>
        <v>4989894.79</v>
      </c>
      <c r="I23" s="58">
        <v>0.21</v>
      </c>
      <c r="J23" s="58">
        <v>0.05</v>
      </c>
      <c r="K23" s="56">
        <f t="shared" si="5"/>
        <v>343733.724705</v>
      </c>
      <c r="L23" s="56">
        <f t="shared" si="6"/>
        <v>249494.73950000003</v>
      </c>
      <c r="M23" s="56">
        <f t="shared" si="7"/>
        <v>146106132.55260485</v>
      </c>
      <c r="N23" s="56">
        <v>0</v>
      </c>
    </row>
    <row r="24" spans="1:14" ht="15" x14ac:dyDescent="0.25">
      <c r="A24" s="12">
        <v>43221</v>
      </c>
      <c r="B24"/>
      <c r="C24" s="56">
        <v>641481666</v>
      </c>
      <c r="D24" s="25">
        <v>1252973</v>
      </c>
      <c r="E24" s="25">
        <f t="shared" si="10"/>
        <v>3139295</v>
      </c>
      <c r="F24" s="25">
        <v>6242867.79</v>
      </c>
      <c r="G24" s="56">
        <f t="shared" si="11"/>
        <v>1886322</v>
      </c>
      <c r="H24" s="56">
        <f t="shared" si="12"/>
        <v>4989894.79</v>
      </c>
      <c r="I24" s="58">
        <v>0.21</v>
      </c>
      <c r="J24" s="58">
        <v>0.05</v>
      </c>
      <c r="K24" s="56">
        <f t="shared" si="5"/>
        <v>343733.724705</v>
      </c>
      <c r="L24" s="56">
        <f t="shared" si="6"/>
        <v>249494.73950000003</v>
      </c>
      <c r="M24" s="56">
        <f t="shared" si="7"/>
        <v>146699361.01680985</v>
      </c>
      <c r="N24" s="56">
        <v>0</v>
      </c>
    </row>
    <row r="25" spans="1:14" ht="15" x14ac:dyDescent="0.25">
      <c r="A25" s="12">
        <v>43252</v>
      </c>
      <c r="B25"/>
      <c r="C25" s="56">
        <v>646245978</v>
      </c>
      <c r="D25" s="39">
        <v>1258715.25</v>
      </c>
      <c r="E25" s="39">
        <f>3505125-5852</f>
        <v>3499273</v>
      </c>
      <c r="F25" s="25">
        <v>6293914.4900000002</v>
      </c>
      <c r="G25" s="56">
        <f t="shared" si="11"/>
        <v>2240557.75</v>
      </c>
      <c r="H25" s="56">
        <f t="shared" si="12"/>
        <v>5035199.24</v>
      </c>
      <c r="I25" s="58">
        <v>0.21</v>
      </c>
      <c r="J25" s="58">
        <v>0.05</v>
      </c>
      <c r="K25" s="56">
        <f t="shared" si="5"/>
        <v>417647.53548000002</v>
      </c>
      <c r="L25" s="56">
        <f t="shared" si="6"/>
        <v>251759.96200000003</v>
      </c>
      <c r="M25" s="59">
        <f t="shared" si="7"/>
        <v>147368768.51428986</v>
      </c>
      <c r="N25" s="56">
        <v>0</v>
      </c>
    </row>
    <row r="26" spans="1:14" ht="15" x14ac:dyDescent="0.25">
      <c r="A26" s="12">
        <v>43282</v>
      </c>
      <c r="B26"/>
      <c r="C26" s="56">
        <v>646245978</v>
      </c>
      <c r="D26" s="39">
        <v>1264457.0900000001</v>
      </c>
      <c r="E26" s="39">
        <f>3505125+975</f>
        <v>3506100</v>
      </c>
      <c r="F26" s="25">
        <v>6293913.9900000002</v>
      </c>
      <c r="G26" s="56">
        <f t="shared" si="11"/>
        <v>2241642.91</v>
      </c>
      <c r="H26" s="56">
        <f t="shared" si="12"/>
        <v>5029456.9000000004</v>
      </c>
      <c r="I26" s="58">
        <v>0.21</v>
      </c>
      <c r="J26" s="58">
        <v>0.05</v>
      </c>
      <c r="K26" s="56">
        <f t="shared" si="5"/>
        <v>417935.71364999999</v>
      </c>
      <c r="L26" s="56">
        <f t="shared" si="6"/>
        <v>251472.84500000003</v>
      </c>
      <c r="M26" s="59">
        <f t="shared" si="7"/>
        <v>148038177.07293984</v>
      </c>
      <c r="N26" s="56">
        <v>0</v>
      </c>
    </row>
    <row r="27" spans="1:14" ht="15" x14ac:dyDescent="0.25">
      <c r="A27" s="12">
        <v>43313</v>
      </c>
      <c r="B27"/>
      <c r="C27" s="56">
        <v>646245978</v>
      </c>
      <c r="D27" s="39">
        <v>1264457.0900000001</v>
      </c>
      <c r="E27" s="39">
        <f>3505125+975</f>
        <v>3506100</v>
      </c>
      <c r="F27" s="25">
        <v>6293913.9900000002</v>
      </c>
      <c r="G27" s="56">
        <f t="shared" si="11"/>
        <v>2241642.91</v>
      </c>
      <c r="H27" s="56">
        <f t="shared" si="12"/>
        <v>5029456.9000000004</v>
      </c>
      <c r="I27" s="58">
        <v>0.21</v>
      </c>
      <c r="J27" s="58">
        <v>0.05</v>
      </c>
      <c r="K27" s="56">
        <f t="shared" si="5"/>
        <v>417935.71364999999</v>
      </c>
      <c r="L27" s="56">
        <f t="shared" si="6"/>
        <v>251472.84500000003</v>
      </c>
      <c r="M27" s="59">
        <f t="shared" si="7"/>
        <v>148707585.63158983</v>
      </c>
      <c r="N27" s="56">
        <v>0</v>
      </c>
    </row>
    <row r="28" spans="1:14" ht="15" x14ac:dyDescent="0.25">
      <c r="A28" s="10">
        <v>43352</v>
      </c>
      <c r="B28"/>
      <c r="C28" s="56">
        <v>646245978</v>
      </c>
      <c r="D28" s="25">
        <v>1264457</v>
      </c>
      <c r="E28" s="25">
        <f>3505125.97+976.02</f>
        <v>3506101.99</v>
      </c>
      <c r="F28" s="25">
        <v>6293913.9900000002</v>
      </c>
      <c r="G28" s="56">
        <f>E28-D28</f>
        <v>2241644.9900000002</v>
      </c>
      <c r="H28" s="56">
        <f>F28-D28</f>
        <v>5029456.99</v>
      </c>
      <c r="I28" s="58">
        <v>0.21</v>
      </c>
      <c r="J28" s="58">
        <v>0.05</v>
      </c>
      <c r="K28" s="56">
        <f t="shared" si="5"/>
        <v>417936.14950500004</v>
      </c>
      <c r="L28" s="56">
        <f t="shared" si="6"/>
        <v>251472.84950000001</v>
      </c>
      <c r="M28" s="56">
        <f t="shared" si="7"/>
        <v>149376994.63059482</v>
      </c>
      <c r="N28" s="56">
        <v>0</v>
      </c>
    </row>
    <row r="29" spans="1:14" ht="15" x14ac:dyDescent="0.25">
      <c r="A29" s="12">
        <v>43374</v>
      </c>
      <c r="B29"/>
      <c r="C29" s="56">
        <v>648975198</v>
      </c>
      <c r="D29" s="25">
        <v>1266814</v>
      </c>
      <c r="E29" s="25">
        <f>3723151.93+361.9</f>
        <v>3723513.83</v>
      </c>
      <c r="F29" s="25">
        <v>6313903.5599999996</v>
      </c>
      <c r="G29" s="56">
        <f t="shared" ref="G29:G33" si="13">E29-D29</f>
        <v>2456699.83</v>
      </c>
      <c r="H29" s="56">
        <f t="shared" ref="H29:H33" si="14">F29-D29</f>
        <v>5047089.5599999996</v>
      </c>
      <c r="I29" s="58">
        <v>0.21</v>
      </c>
      <c r="J29" s="58">
        <v>0.05</v>
      </c>
      <c r="K29" s="56">
        <f t="shared" si="5"/>
        <v>462912.52392000001</v>
      </c>
      <c r="L29" s="56">
        <f t="shared" si="6"/>
        <v>252354.478</v>
      </c>
      <c r="M29" s="56">
        <f t="shared" si="7"/>
        <v>150092261.6325148</v>
      </c>
      <c r="N29" s="56">
        <v>0</v>
      </c>
    </row>
    <row r="30" spans="1:14" ht="15" x14ac:dyDescent="0.25">
      <c r="A30" s="12">
        <v>43405</v>
      </c>
      <c r="B30"/>
      <c r="C30" s="56">
        <v>648975198</v>
      </c>
      <c r="D30" s="25">
        <v>1269171</v>
      </c>
      <c r="E30" s="25">
        <f>3723151.93+3162.23</f>
        <v>3726314.16</v>
      </c>
      <c r="F30" s="25">
        <f>6313903.56</f>
        <v>6313903.5599999996</v>
      </c>
      <c r="G30" s="56">
        <f t="shared" si="13"/>
        <v>2457143.16</v>
      </c>
      <c r="H30" s="56">
        <f t="shared" si="14"/>
        <v>5044732.5599999996</v>
      </c>
      <c r="I30" s="58">
        <v>0.21</v>
      </c>
      <c r="J30" s="58">
        <v>0.05</v>
      </c>
      <c r="K30" s="56">
        <f t="shared" si="5"/>
        <v>463030.37172</v>
      </c>
      <c r="L30" s="56">
        <f t="shared" si="6"/>
        <v>252236.628</v>
      </c>
      <c r="M30" s="56">
        <f t="shared" si="7"/>
        <v>150807528.63223478</v>
      </c>
      <c r="N30" s="56">
        <v>0</v>
      </c>
    </row>
    <row r="31" spans="1:14" ht="15" x14ac:dyDescent="0.25">
      <c r="A31" s="12">
        <v>43435</v>
      </c>
      <c r="B31"/>
      <c r="C31" s="56">
        <v>648975198</v>
      </c>
      <c r="D31" s="25">
        <v>1269171</v>
      </c>
      <c r="E31" s="25">
        <f>3723151.93+3162.23</f>
        <v>3726314.16</v>
      </c>
      <c r="F31" s="25">
        <f>6313903.56</f>
        <v>6313903.5599999996</v>
      </c>
      <c r="G31" s="56">
        <f t="shared" si="13"/>
        <v>2457143.16</v>
      </c>
      <c r="H31" s="56">
        <f t="shared" si="14"/>
        <v>5044732.5599999996</v>
      </c>
      <c r="I31" s="58">
        <v>0.21</v>
      </c>
      <c r="J31" s="58">
        <v>0.05</v>
      </c>
      <c r="K31" s="56">
        <f t="shared" si="5"/>
        <v>463030.37172</v>
      </c>
      <c r="L31" s="56">
        <f t="shared" si="6"/>
        <v>252236.628</v>
      </c>
      <c r="M31" s="56">
        <f t="shared" si="7"/>
        <v>151522795.63195476</v>
      </c>
      <c r="N31" s="56">
        <v>0</v>
      </c>
    </row>
    <row r="32" spans="1:14" ht="15" x14ac:dyDescent="0.25">
      <c r="A32" s="12">
        <v>43466</v>
      </c>
      <c r="B32"/>
      <c r="C32" s="56">
        <v>648975198</v>
      </c>
      <c r="D32" s="25">
        <v>1269171</v>
      </c>
      <c r="E32" s="25">
        <f>3138668.67</f>
        <v>3138668.67</v>
      </c>
      <c r="F32" s="25">
        <v>6229520.4199999999</v>
      </c>
      <c r="G32" s="56">
        <f t="shared" si="13"/>
        <v>1869497.67</v>
      </c>
      <c r="H32" s="56">
        <f t="shared" si="14"/>
        <v>4960349.42</v>
      </c>
      <c r="I32" s="58">
        <v>0.21</v>
      </c>
      <c r="J32" s="58">
        <v>0.05</v>
      </c>
      <c r="K32" s="56">
        <f t="shared" si="5"/>
        <v>340510.84178999998</v>
      </c>
      <c r="L32" s="56">
        <f t="shared" si="6"/>
        <v>248017.47100000002</v>
      </c>
      <c r="M32" s="56">
        <f t="shared" si="7"/>
        <v>152111323.94474474</v>
      </c>
      <c r="N32" s="56">
        <v>0</v>
      </c>
    </row>
    <row r="33" spans="1:14" ht="15" x14ac:dyDescent="0.25">
      <c r="A33" s="12">
        <v>43497</v>
      </c>
      <c r="B33"/>
      <c r="C33" s="56">
        <v>648975198</v>
      </c>
      <c r="D33" s="25">
        <v>1269171</v>
      </c>
      <c r="E33" s="25">
        <f>3138668.67-2</f>
        <v>3138666.67</v>
      </c>
      <c r="F33" s="25">
        <v>6229520.4199999999</v>
      </c>
      <c r="G33" s="56">
        <f t="shared" si="13"/>
        <v>1869495.67</v>
      </c>
      <c r="H33" s="56">
        <f t="shared" si="14"/>
        <v>4960349.42</v>
      </c>
      <c r="I33" s="58">
        <v>0.21</v>
      </c>
      <c r="J33" s="58">
        <v>0.05</v>
      </c>
      <c r="K33" s="56">
        <f t="shared" si="5"/>
        <v>340510.42178999993</v>
      </c>
      <c r="L33" s="56">
        <f t="shared" si="6"/>
        <v>248017.47100000002</v>
      </c>
      <c r="M33" s="56">
        <f t="shared" si="7"/>
        <v>152699851.83753473</v>
      </c>
      <c r="N33" s="56">
        <v>0</v>
      </c>
    </row>
    <row r="34" spans="1:14" x14ac:dyDescent="0.2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x14ac:dyDescent="0.2">
      <c r="C35" s="40" t="s">
        <v>51</v>
      </c>
      <c r="D35" s="61"/>
      <c r="E35" s="61"/>
      <c r="F35" s="61"/>
      <c r="G35" s="61"/>
      <c r="H35" s="61"/>
      <c r="I35" s="61"/>
      <c r="J35" s="61"/>
      <c r="K35" s="61"/>
      <c r="L35" s="31"/>
      <c r="M35" s="31"/>
      <c r="N35" s="31"/>
    </row>
    <row r="36" spans="1:14" x14ac:dyDescent="0.2">
      <c r="C36" s="40" t="s">
        <v>21</v>
      </c>
      <c r="D36" s="61"/>
      <c r="E36" s="61"/>
      <c r="F36" s="61"/>
      <c r="G36" s="61"/>
      <c r="H36" s="61"/>
      <c r="I36" s="61"/>
      <c r="J36" s="61"/>
      <c r="K36" s="61"/>
      <c r="L36" s="31"/>
      <c r="M36" s="31"/>
      <c r="N36" s="31"/>
    </row>
    <row r="37" spans="1:14" x14ac:dyDescent="0.2">
      <c r="C37" s="40" t="s">
        <v>58</v>
      </c>
      <c r="D37" s="61"/>
      <c r="E37" s="61"/>
      <c r="F37" s="61"/>
      <c r="G37" s="61"/>
      <c r="H37" s="61"/>
      <c r="I37" s="61"/>
      <c r="J37" s="61"/>
      <c r="K37" s="61"/>
      <c r="L37" s="31"/>
      <c r="M37" s="31"/>
      <c r="N37" s="31"/>
    </row>
    <row r="38" spans="1:14" x14ac:dyDescent="0.2">
      <c r="C38" s="59" t="s">
        <v>22</v>
      </c>
      <c r="D38" s="61"/>
      <c r="E38" s="61"/>
      <c r="F38" s="61"/>
      <c r="G38" s="61"/>
      <c r="H38" s="61"/>
      <c r="I38" s="61"/>
      <c r="J38" s="61"/>
      <c r="K38" s="61"/>
      <c r="L38" s="31"/>
      <c r="M38" s="31"/>
      <c r="N38" s="31"/>
    </row>
    <row r="39" spans="1:14" x14ac:dyDescent="0.2">
      <c r="C39" s="61"/>
      <c r="D39" s="61"/>
      <c r="E39" s="61"/>
      <c r="F39" s="61"/>
      <c r="G39" s="61"/>
      <c r="H39" s="61"/>
      <c r="I39" s="61"/>
      <c r="J39" s="61"/>
      <c r="K39" s="61"/>
      <c r="L39" s="31"/>
      <c r="M39" s="31"/>
      <c r="N39" s="31"/>
    </row>
    <row r="40" spans="1:14" x14ac:dyDescent="0.2">
      <c r="C40" s="59" t="s">
        <v>23</v>
      </c>
      <c r="D40" s="28" t="s">
        <v>24</v>
      </c>
      <c r="E40" s="27" t="s">
        <v>25</v>
      </c>
      <c r="F40" s="59" t="s">
        <v>26</v>
      </c>
      <c r="G40" s="60" t="s">
        <v>12</v>
      </c>
      <c r="H40" s="59" t="s">
        <v>27</v>
      </c>
      <c r="I40" s="61"/>
      <c r="J40" s="61"/>
      <c r="K40" s="61"/>
      <c r="L40" s="31"/>
      <c r="M40" s="31"/>
      <c r="N40" s="31"/>
    </row>
    <row r="41" spans="1:14" x14ac:dyDescent="0.2">
      <c r="C41" s="56">
        <v>1707678.0000000002</v>
      </c>
      <c r="D41" s="56">
        <v>1269171</v>
      </c>
      <c r="E41" s="56">
        <v>6956</v>
      </c>
      <c r="F41" s="56">
        <f>E41-D41</f>
        <v>-1262215</v>
      </c>
      <c r="G41" s="58">
        <v>0.21</v>
      </c>
      <c r="H41" s="56">
        <f>F41*G41</f>
        <v>-265065.14999999997</v>
      </c>
      <c r="I41" s="61"/>
      <c r="J41" s="61"/>
      <c r="K41" s="61"/>
      <c r="L41" s="31"/>
      <c r="M41" s="31"/>
      <c r="N41" s="31"/>
    </row>
    <row r="42" spans="1:14" x14ac:dyDescent="0.2">
      <c r="C42" s="56">
        <v>2561517</v>
      </c>
      <c r="D42" s="61"/>
      <c r="E42" s="56">
        <v>30494.25</v>
      </c>
      <c r="F42" s="56">
        <f>E42</f>
        <v>30494.25</v>
      </c>
      <c r="G42" s="58">
        <v>0.21</v>
      </c>
      <c r="H42" s="56">
        <f t="shared" ref="H42:H65" si="15">F42*G42</f>
        <v>6403.7924999999996</v>
      </c>
      <c r="I42" s="61"/>
      <c r="J42" s="61"/>
      <c r="K42" s="61"/>
      <c r="L42" s="31"/>
      <c r="M42" s="31"/>
      <c r="N42" s="31"/>
    </row>
    <row r="43" spans="1:14" x14ac:dyDescent="0.2">
      <c r="C43" s="56">
        <v>30650265</v>
      </c>
      <c r="D43" s="61"/>
      <c r="E43" s="56">
        <v>134989</v>
      </c>
      <c r="F43" s="56">
        <f t="shared" ref="F43:F65" si="16">E43</f>
        <v>134989</v>
      </c>
      <c r="G43" s="58">
        <v>0.21</v>
      </c>
      <c r="H43" s="56">
        <f t="shared" si="15"/>
        <v>28347.69</v>
      </c>
      <c r="I43" s="61"/>
      <c r="J43" s="61"/>
      <c r="K43" s="61"/>
      <c r="L43" s="31"/>
      <c r="M43" s="31"/>
      <c r="N43" s="31"/>
    </row>
    <row r="44" spans="1:14" x14ac:dyDescent="0.2">
      <c r="C44" s="56">
        <v>45975398</v>
      </c>
      <c r="D44" s="61"/>
      <c r="E44" s="56">
        <v>547326.16666666663</v>
      </c>
      <c r="F44" s="56">
        <f t="shared" si="16"/>
        <v>547326.16666666663</v>
      </c>
      <c r="G44" s="58">
        <v>0.21</v>
      </c>
      <c r="H44" s="56">
        <f t="shared" si="15"/>
        <v>114938.49499999998</v>
      </c>
      <c r="I44" s="61"/>
      <c r="J44" s="61"/>
      <c r="K44" s="61"/>
      <c r="L44" s="31"/>
      <c r="M44" s="31"/>
      <c r="N44" s="31"/>
    </row>
    <row r="45" spans="1:14" x14ac:dyDescent="0.2">
      <c r="C45" s="56">
        <v>27464567.032000002</v>
      </c>
      <c r="D45" s="61"/>
      <c r="E45" s="56">
        <v>120959</v>
      </c>
      <c r="F45" s="56">
        <f t="shared" si="16"/>
        <v>120959</v>
      </c>
      <c r="G45" s="58">
        <v>0.21</v>
      </c>
      <c r="H45" s="56">
        <f t="shared" si="15"/>
        <v>25401.39</v>
      </c>
      <c r="I45" s="61"/>
      <c r="J45" s="61"/>
      <c r="K45" s="61"/>
      <c r="L45" s="31"/>
      <c r="M45" s="31"/>
      <c r="N45" s="31"/>
    </row>
    <row r="46" spans="1:14" x14ac:dyDescent="0.2">
      <c r="C46" s="56">
        <v>41196850.548</v>
      </c>
      <c r="D46" s="61"/>
      <c r="E46" s="56">
        <v>490438.69699999999</v>
      </c>
      <c r="F46" s="56">
        <f t="shared" si="16"/>
        <v>490438.69699999999</v>
      </c>
      <c r="G46" s="58">
        <v>0.21</v>
      </c>
      <c r="H46" s="56">
        <f t="shared" si="15"/>
        <v>102992.12637</v>
      </c>
      <c r="I46" s="61"/>
      <c r="J46" s="61"/>
      <c r="K46" s="61"/>
      <c r="L46" s="31"/>
      <c r="M46" s="31"/>
      <c r="N46" s="31"/>
    </row>
    <row r="47" spans="1:14" x14ac:dyDescent="0.2">
      <c r="C47" s="56">
        <v>8604879.8300000001</v>
      </c>
      <c r="D47" s="61"/>
      <c r="E47" s="56">
        <v>40966</v>
      </c>
      <c r="F47" s="56">
        <f t="shared" si="16"/>
        <v>40966</v>
      </c>
      <c r="G47" s="58">
        <v>0.21</v>
      </c>
      <c r="H47" s="56">
        <f t="shared" si="15"/>
        <v>8602.86</v>
      </c>
      <c r="I47" s="61"/>
      <c r="J47" s="61"/>
      <c r="K47" s="61"/>
      <c r="L47" s="31"/>
      <c r="M47" s="31"/>
      <c r="N47" s="31"/>
    </row>
    <row r="48" spans="1:14" x14ac:dyDescent="0.2">
      <c r="C48" s="56">
        <v>3423604.6119999997</v>
      </c>
      <c r="D48" s="61"/>
      <c r="E48" s="56">
        <v>16299</v>
      </c>
      <c r="F48" s="56">
        <f t="shared" si="16"/>
        <v>16299</v>
      </c>
      <c r="G48" s="58">
        <v>0.21</v>
      </c>
      <c r="H48" s="56">
        <f t="shared" si="15"/>
        <v>3422.79</v>
      </c>
      <c r="I48" s="61"/>
      <c r="J48" s="61"/>
      <c r="K48" s="61"/>
      <c r="L48" s="31"/>
      <c r="M48" s="31"/>
      <c r="N48" s="31"/>
    </row>
    <row r="49" spans="3:14" x14ac:dyDescent="0.2">
      <c r="C49" s="56">
        <v>5135406.9179999996</v>
      </c>
      <c r="D49" s="61"/>
      <c r="E49" s="56">
        <v>61135.796642857138</v>
      </c>
      <c r="F49" s="56">
        <f t="shared" si="16"/>
        <v>61135.796642857138</v>
      </c>
      <c r="G49" s="58">
        <v>0.21</v>
      </c>
      <c r="H49" s="56">
        <f t="shared" si="15"/>
        <v>12838.517294999998</v>
      </c>
      <c r="I49" s="61"/>
      <c r="J49" s="61"/>
      <c r="K49" s="61"/>
      <c r="L49" s="31"/>
      <c r="M49" s="31"/>
      <c r="N49" s="31"/>
    </row>
    <row r="50" spans="3:14" x14ac:dyDescent="0.2">
      <c r="C50" s="56">
        <v>16610.338</v>
      </c>
      <c r="D50" s="61"/>
      <c r="E50" s="56">
        <v>79</v>
      </c>
      <c r="F50" s="56">
        <f t="shared" si="16"/>
        <v>79</v>
      </c>
      <c r="G50" s="58">
        <v>0.21</v>
      </c>
      <c r="H50" s="56">
        <f t="shared" si="15"/>
        <v>16.59</v>
      </c>
      <c r="I50" s="61"/>
      <c r="J50" s="61"/>
      <c r="K50" s="61"/>
      <c r="L50" s="31"/>
      <c r="M50" s="31"/>
      <c r="N50" s="31"/>
    </row>
    <row r="51" spans="3:14" x14ac:dyDescent="0.2">
      <c r="C51" s="56">
        <v>24915.507000000001</v>
      </c>
      <c r="D51" s="61"/>
      <c r="E51" s="56">
        <v>296.61317857142859</v>
      </c>
      <c r="F51" s="56">
        <f t="shared" si="16"/>
        <v>296.61317857142859</v>
      </c>
      <c r="G51" s="58">
        <v>0.21</v>
      </c>
      <c r="H51" s="56">
        <f t="shared" si="15"/>
        <v>62.288767499999999</v>
      </c>
      <c r="I51" s="61"/>
      <c r="J51" s="61"/>
      <c r="K51" s="61"/>
      <c r="L51" s="31"/>
      <c r="M51" s="31"/>
      <c r="N51" s="31"/>
    </row>
    <row r="52" spans="3:14" x14ac:dyDescent="0.2">
      <c r="C52" s="56">
        <v>31061870.714000002</v>
      </c>
      <c r="D52" s="61"/>
      <c r="E52" s="56">
        <v>147880</v>
      </c>
      <c r="F52" s="56">
        <f t="shared" si="16"/>
        <v>147880</v>
      </c>
      <c r="G52" s="58">
        <v>0.21</v>
      </c>
      <c r="H52" s="56">
        <f t="shared" si="15"/>
        <v>31054.799999999999</v>
      </c>
      <c r="I52" s="61"/>
      <c r="J52" s="61"/>
      <c r="K52" s="61"/>
      <c r="L52" s="31"/>
      <c r="M52" s="31"/>
      <c r="N52" s="31"/>
    </row>
    <row r="53" spans="3:14" x14ac:dyDescent="0.2">
      <c r="C53" s="56">
        <v>46592806.070999995</v>
      </c>
      <c r="D53" s="61"/>
      <c r="E53" s="56">
        <v>776546.76784999995</v>
      </c>
      <c r="F53" s="56">
        <f t="shared" si="16"/>
        <v>776546.76784999995</v>
      </c>
      <c r="G53" s="58">
        <v>0.21</v>
      </c>
      <c r="H53" s="56">
        <f t="shared" si="15"/>
        <v>163074.8212485</v>
      </c>
      <c r="I53" s="61"/>
      <c r="J53" s="61"/>
      <c r="K53" s="61"/>
      <c r="L53" s="31"/>
      <c r="M53" s="31"/>
      <c r="N53" s="31"/>
    </row>
    <row r="54" spans="3:14" x14ac:dyDescent="0.2">
      <c r="C54" s="56">
        <v>1219848.1800000002</v>
      </c>
      <c r="D54" s="61"/>
      <c r="E54" s="56">
        <v>5807</v>
      </c>
      <c r="F54" s="56">
        <f t="shared" si="16"/>
        <v>5807</v>
      </c>
      <c r="G54" s="58">
        <v>0.21</v>
      </c>
      <c r="H54" s="56">
        <f t="shared" si="15"/>
        <v>1219.47</v>
      </c>
      <c r="I54" s="61"/>
      <c r="J54" s="61"/>
      <c r="K54" s="61"/>
      <c r="L54" s="31"/>
      <c r="M54" s="31"/>
      <c r="N54" s="31"/>
    </row>
    <row r="55" spans="3:14" x14ac:dyDescent="0.2">
      <c r="C55" s="56">
        <v>2523999.9120000005</v>
      </c>
      <c r="D55" s="61"/>
      <c r="E55" s="56">
        <v>12016</v>
      </c>
      <c r="F55" s="56">
        <f t="shared" si="16"/>
        <v>12016</v>
      </c>
      <c r="G55" s="58">
        <v>0.21</v>
      </c>
      <c r="H55" s="56">
        <f t="shared" si="15"/>
        <v>2523.36</v>
      </c>
      <c r="I55" s="61"/>
      <c r="J55" s="61"/>
      <c r="K55" s="61"/>
      <c r="L55" s="31"/>
      <c r="M55" s="31"/>
      <c r="N55" s="31"/>
    </row>
    <row r="56" spans="3:14" x14ac:dyDescent="0.2">
      <c r="C56" s="56">
        <v>3785999.8679999998</v>
      </c>
      <c r="D56" s="61"/>
      <c r="E56" s="56">
        <v>45071.426999999996</v>
      </c>
      <c r="F56" s="56">
        <f t="shared" si="16"/>
        <v>45071.426999999996</v>
      </c>
      <c r="G56" s="58">
        <v>0.21</v>
      </c>
      <c r="H56" s="56">
        <f t="shared" si="15"/>
        <v>9464.9996699999992</v>
      </c>
      <c r="I56" s="61"/>
      <c r="J56" s="61"/>
      <c r="K56" s="61"/>
      <c r="L56" s="31"/>
      <c r="M56" s="31"/>
      <c r="N56" s="31"/>
    </row>
    <row r="57" spans="3:14" x14ac:dyDescent="0.2">
      <c r="C57" s="56">
        <v>25974568.388</v>
      </c>
      <c r="D57" s="61"/>
      <c r="E57" s="56">
        <v>123661</v>
      </c>
      <c r="F57" s="56">
        <f t="shared" si="16"/>
        <v>123661</v>
      </c>
      <c r="G57" s="58">
        <v>0.21</v>
      </c>
      <c r="H57" s="56">
        <f t="shared" si="15"/>
        <v>25968.809999999998</v>
      </c>
      <c r="I57" s="61"/>
      <c r="J57" s="61"/>
      <c r="K57" s="61"/>
      <c r="L57" s="31"/>
      <c r="M57" s="31"/>
      <c r="N57" s="31"/>
    </row>
    <row r="58" spans="3:14" x14ac:dyDescent="0.2">
      <c r="C58" s="56">
        <v>38961852.581999995</v>
      </c>
      <c r="D58" s="61"/>
      <c r="E58" s="59">
        <v>463832</v>
      </c>
      <c r="F58" s="56">
        <f t="shared" si="16"/>
        <v>463832</v>
      </c>
      <c r="G58" s="58">
        <v>0.21</v>
      </c>
      <c r="H58" s="56">
        <f t="shared" si="15"/>
        <v>97404.72</v>
      </c>
      <c r="I58" s="61"/>
      <c r="J58" s="61"/>
      <c r="K58" s="61"/>
      <c r="L58" s="31"/>
      <c r="M58" s="31"/>
      <c r="N58" s="31"/>
    </row>
    <row r="59" spans="3:14" x14ac:dyDescent="0.2">
      <c r="C59" s="56">
        <v>2779050.4420000003</v>
      </c>
      <c r="D59" s="61"/>
      <c r="E59" s="56">
        <v>14305</v>
      </c>
      <c r="F59" s="56">
        <f t="shared" si="16"/>
        <v>14305</v>
      </c>
      <c r="G59" s="58">
        <v>0.21</v>
      </c>
      <c r="H59" s="56">
        <f t="shared" si="15"/>
        <v>3004.0499999999997</v>
      </c>
      <c r="I59" s="61"/>
      <c r="J59" s="61"/>
      <c r="K59" s="61"/>
      <c r="L59" s="31"/>
      <c r="M59" s="31"/>
      <c r="N59" s="31"/>
    </row>
    <row r="60" spans="3:14" x14ac:dyDescent="0.2">
      <c r="C60" s="56">
        <v>4168575.6630000002</v>
      </c>
      <c r="D60" s="61"/>
      <c r="E60" s="42">
        <v>49625.900750000001</v>
      </c>
      <c r="F60" s="42">
        <f t="shared" si="16"/>
        <v>49625.900750000001</v>
      </c>
      <c r="G60" s="49">
        <v>0.21</v>
      </c>
      <c r="H60" s="42">
        <f t="shared" si="15"/>
        <v>10421.439157499999</v>
      </c>
      <c r="I60" s="61"/>
      <c r="J60" s="61"/>
      <c r="K60" s="61"/>
      <c r="L60" s="31"/>
      <c r="M60" s="31"/>
      <c r="N60" s="31"/>
    </row>
    <row r="61" spans="3:14" x14ac:dyDescent="0.2">
      <c r="C61" s="56">
        <v>952862</v>
      </c>
      <c r="D61" s="61"/>
      <c r="E61" s="42">
        <v>5732</v>
      </c>
      <c r="F61" s="42">
        <f t="shared" si="16"/>
        <v>5732</v>
      </c>
      <c r="G61" s="49">
        <v>0.21</v>
      </c>
      <c r="H61" s="42">
        <f t="shared" si="15"/>
        <v>1203.72</v>
      </c>
      <c r="I61" s="61"/>
      <c r="J61" s="61"/>
      <c r="K61" s="61"/>
      <c r="L61" s="31"/>
      <c r="M61" s="31"/>
      <c r="N61" s="31"/>
    </row>
    <row r="62" spans="3:14" x14ac:dyDescent="0.2">
      <c r="C62" s="56">
        <v>1429294</v>
      </c>
      <c r="D62" s="61"/>
      <c r="E62" s="42">
        <v>23821</v>
      </c>
      <c r="F62" s="42">
        <f t="shared" si="16"/>
        <v>23821</v>
      </c>
      <c r="G62" s="49">
        <v>0.21</v>
      </c>
      <c r="H62" s="42">
        <f t="shared" si="15"/>
        <v>5002.41</v>
      </c>
      <c r="I62" s="61"/>
      <c r="J62" s="61"/>
      <c r="K62" s="61"/>
      <c r="L62" s="31"/>
      <c r="M62" s="31"/>
      <c r="N62" s="31"/>
    </row>
    <row r="63" spans="3:14" x14ac:dyDescent="0.2">
      <c r="C63" s="56">
        <v>855112</v>
      </c>
      <c r="D63" s="61"/>
      <c r="E63" s="42">
        <v>5144</v>
      </c>
      <c r="F63" s="42">
        <f t="shared" si="16"/>
        <v>5144</v>
      </c>
      <c r="G63" s="49">
        <v>0.21</v>
      </c>
      <c r="H63" s="42">
        <f t="shared" si="15"/>
        <v>1080.24</v>
      </c>
      <c r="I63" s="61"/>
      <c r="J63" s="61"/>
      <c r="K63" s="61"/>
      <c r="L63" s="31"/>
      <c r="M63" s="31"/>
      <c r="N63" s="31"/>
    </row>
    <row r="64" spans="3:14" x14ac:dyDescent="0.2">
      <c r="C64" s="56">
        <v>3270</v>
      </c>
      <c r="D64" s="61"/>
      <c r="E64" s="42">
        <v>54</v>
      </c>
      <c r="F64" s="42">
        <f t="shared" si="16"/>
        <v>54</v>
      </c>
      <c r="G64" s="49">
        <v>0.21</v>
      </c>
      <c r="H64" s="42">
        <f t="shared" si="15"/>
        <v>11.34</v>
      </c>
      <c r="I64" s="61"/>
      <c r="J64" s="61"/>
      <c r="K64" s="61"/>
      <c r="L64" s="31"/>
      <c r="M64" s="31"/>
      <c r="N64" s="31"/>
    </row>
    <row r="65" spans="3:14" ht="15" x14ac:dyDescent="0.35">
      <c r="C65" s="45">
        <v>1279398</v>
      </c>
      <c r="D65" s="61"/>
      <c r="E65" s="45">
        <v>15231</v>
      </c>
      <c r="F65" s="45">
        <f t="shared" si="16"/>
        <v>15231</v>
      </c>
      <c r="G65" s="49">
        <v>0.21</v>
      </c>
      <c r="H65" s="45">
        <f t="shared" si="15"/>
        <v>3198.5099999999998</v>
      </c>
      <c r="I65" s="61"/>
      <c r="J65" s="61"/>
      <c r="K65" s="61"/>
      <c r="L65" s="31"/>
      <c r="M65" s="31"/>
      <c r="N65" s="31"/>
    </row>
    <row r="66" spans="3:14" x14ac:dyDescent="0.2">
      <c r="C66" s="56">
        <f>SUM(C41:C65)</f>
        <v>328350200.60499996</v>
      </c>
      <c r="D66" s="61"/>
      <c r="E66" s="56">
        <f>SUM(E41:E65)</f>
        <v>3138666.6190880956</v>
      </c>
      <c r="F66" s="56">
        <f>SUM(F41:F65)</f>
        <v>1869495.6190880949</v>
      </c>
      <c r="G66" s="47" t="s">
        <v>28</v>
      </c>
      <c r="H66" s="56">
        <f>SUM(H41:H65)</f>
        <v>392594.08000849991</v>
      </c>
      <c r="I66" s="61"/>
      <c r="J66" s="61"/>
      <c r="K66" s="61"/>
      <c r="L66" s="31"/>
      <c r="M66" s="31"/>
      <c r="N66" s="31"/>
    </row>
    <row r="67" spans="3:14" ht="15" x14ac:dyDescent="0.35">
      <c r="C67" s="61"/>
      <c r="D67" s="61"/>
      <c r="E67" s="61"/>
      <c r="F67" s="61"/>
      <c r="G67" s="47" t="s">
        <v>29</v>
      </c>
      <c r="H67" s="45">
        <f>-H95*0.21</f>
        <v>-52083.668671349995</v>
      </c>
      <c r="I67" s="61"/>
      <c r="J67" s="61"/>
      <c r="K67" s="61"/>
      <c r="L67" s="31"/>
      <c r="M67" s="31"/>
      <c r="N67" s="31"/>
    </row>
    <row r="68" spans="3:14" x14ac:dyDescent="0.2">
      <c r="C68" s="61"/>
      <c r="D68" s="61"/>
      <c r="E68" s="61"/>
      <c r="F68" s="61"/>
      <c r="G68" s="61"/>
      <c r="H68" s="56">
        <f>H66+H67</f>
        <v>340510.41133714991</v>
      </c>
      <c r="I68" s="61"/>
      <c r="J68" s="61"/>
      <c r="K68" s="61"/>
      <c r="L68" s="31"/>
      <c r="M68" s="31"/>
      <c r="N68" s="31"/>
    </row>
    <row r="69" spans="3:14" x14ac:dyDescent="0.2">
      <c r="C69" s="61"/>
      <c r="D69" s="61"/>
      <c r="E69" s="61"/>
      <c r="F69" s="61"/>
      <c r="G69" s="61"/>
      <c r="H69" s="56">
        <f>H68-K33</f>
        <v>-1.0452850023284554E-2</v>
      </c>
      <c r="I69" s="61"/>
      <c r="J69" s="61"/>
      <c r="K69" s="61"/>
      <c r="L69" s="31"/>
      <c r="M69" s="31"/>
      <c r="N69" s="31"/>
    </row>
    <row r="70" spans="3:14" x14ac:dyDescent="0.2">
      <c r="C70" s="59" t="s">
        <v>30</v>
      </c>
      <c r="D70" s="26" t="s">
        <v>24</v>
      </c>
      <c r="E70" s="27" t="s">
        <v>31</v>
      </c>
      <c r="F70" s="59" t="s">
        <v>32</v>
      </c>
      <c r="G70" s="60" t="s">
        <v>13</v>
      </c>
      <c r="H70" s="59" t="s">
        <v>33</v>
      </c>
      <c r="I70" s="61"/>
      <c r="J70" s="61"/>
      <c r="K70" s="61"/>
      <c r="L70" s="31"/>
      <c r="M70" s="31"/>
      <c r="N70" s="31"/>
    </row>
    <row r="71" spans="3:14" x14ac:dyDescent="0.2">
      <c r="C71" s="56">
        <v>3645863</v>
      </c>
      <c r="D71" s="56">
        <f>D41</f>
        <v>1269171</v>
      </c>
      <c r="E71" s="56">
        <v>13739</v>
      </c>
      <c r="F71" s="56">
        <f>E71-D71</f>
        <v>-1255432</v>
      </c>
      <c r="G71" s="58">
        <v>0.05</v>
      </c>
      <c r="H71" s="56">
        <f>F71*G71</f>
        <v>-62771.600000000006</v>
      </c>
      <c r="I71" s="61"/>
      <c r="J71" s="61"/>
      <c r="K71" s="61"/>
      <c r="L71" s="31"/>
      <c r="M71" s="31"/>
      <c r="N71" s="31"/>
    </row>
    <row r="72" spans="3:14" x14ac:dyDescent="0.2">
      <c r="C72" s="56">
        <v>3415356</v>
      </c>
      <c r="D72" s="61"/>
      <c r="E72" s="56">
        <v>13912</v>
      </c>
      <c r="F72" s="56">
        <f t="shared" ref="F72:F94" si="17">E72-D72</f>
        <v>13912</v>
      </c>
      <c r="G72" s="58">
        <v>0.05</v>
      </c>
      <c r="H72" s="56">
        <f t="shared" ref="H72:H94" si="18">F72*G72</f>
        <v>695.6</v>
      </c>
      <c r="I72" s="61"/>
      <c r="J72" s="61"/>
      <c r="K72" s="61"/>
      <c r="L72" s="31"/>
      <c r="M72" s="31"/>
      <c r="N72" s="31"/>
    </row>
    <row r="73" spans="3:14" x14ac:dyDescent="0.2">
      <c r="C73" s="56">
        <v>5123034</v>
      </c>
      <c r="D73" s="61"/>
      <c r="E73" s="56">
        <v>60988.5</v>
      </c>
      <c r="F73" s="56">
        <f t="shared" si="17"/>
        <v>60988.5</v>
      </c>
      <c r="G73" s="58">
        <v>0.05</v>
      </c>
      <c r="H73" s="56">
        <f t="shared" si="18"/>
        <v>3049.4250000000002</v>
      </c>
      <c r="I73" s="61"/>
      <c r="J73" s="61"/>
      <c r="K73" s="61"/>
      <c r="L73" s="31"/>
      <c r="M73" s="31"/>
      <c r="N73" s="31"/>
    </row>
    <row r="74" spans="3:14" x14ac:dyDescent="0.2">
      <c r="C74" s="56">
        <v>61300530.800000004</v>
      </c>
      <c r="D74" s="61"/>
      <c r="E74" s="56">
        <v>269978</v>
      </c>
      <c r="F74" s="56">
        <f t="shared" si="17"/>
        <v>269978</v>
      </c>
      <c r="G74" s="58">
        <v>0.05</v>
      </c>
      <c r="H74" s="56">
        <f t="shared" si="18"/>
        <v>13498.900000000001</v>
      </c>
      <c r="I74" s="61"/>
      <c r="J74" s="61"/>
      <c r="K74" s="61"/>
      <c r="L74" s="31"/>
      <c r="M74" s="31"/>
      <c r="N74" s="31"/>
    </row>
    <row r="75" spans="3:14" x14ac:dyDescent="0.2">
      <c r="C75" s="56">
        <v>91950796.200000003</v>
      </c>
      <c r="D75" s="61"/>
      <c r="E75" s="56">
        <v>1094652.3357142857</v>
      </c>
      <c r="F75" s="56">
        <f t="shared" si="17"/>
        <v>1094652.3357142857</v>
      </c>
      <c r="G75" s="58">
        <v>0.05</v>
      </c>
      <c r="H75" s="56">
        <f t="shared" si="18"/>
        <v>54732.616785714286</v>
      </c>
      <c r="I75" s="61"/>
      <c r="J75" s="61"/>
      <c r="K75" s="61"/>
      <c r="L75" s="31"/>
      <c r="M75" s="31"/>
      <c r="N75" s="31"/>
    </row>
    <row r="76" spans="3:14" x14ac:dyDescent="0.2">
      <c r="C76" s="56">
        <v>54929134.064000003</v>
      </c>
      <c r="D76" s="61"/>
      <c r="E76" s="56">
        <v>241917</v>
      </c>
      <c r="F76" s="56">
        <f t="shared" si="17"/>
        <v>241917</v>
      </c>
      <c r="G76" s="58">
        <v>0.05</v>
      </c>
      <c r="H76" s="56">
        <f t="shared" si="18"/>
        <v>12095.85</v>
      </c>
      <c r="I76" s="61"/>
      <c r="J76" s="61"/>
      <c r="K76" s="61"/>
      <c r="L76" s="31"/>
      <c r="M76" s="31"/>
      <c r="N76" s="31"/>
    </row>
    <row r="77" spans="3:14" x14ac:dyDescent="0.2">
      <c r="C77" s="56">
        <v>82393701.096000001</v>
      </c>
      <c r="D77" s="61"/>
      <c r="E77" s="56">
        <v>980877.39399999997</v>
      </c>
      <c r="F77" s="56">
        <f t="shared" si="17"/>
        <v>980877.39399999997</v>
      </c>
      <c r="G77" s="58">
        <v>0.05</v>
      </c>
      <c r="H77" s="56">
        <f t="shared" si="18"/>
        <v>49043.869700000003</v>
      </c>
      <c r="I77" s="61"/>
      <c r="J77" s="61"/>
      <c r="K77" s="61"/>
      <c r="L77" s="31"/>
      <c r="M77" s="31"/>
      <c r="N77" s="31"/>
    </row>
    <row r="78" spans="3:14" x14ac:dyDescent="0.2">
      <c r="C78" s="56">
        <v>8604879.8300000001</v>
      </c>
      <c r="D78" s="61"/>
      <c r="E78" s="56">
        <v>40966</v>
      </c>
      <c r="F78" s="56">
        <f t="shared" si="17"/>
        <v>40966</v>
      </c>
      <c r="G78" s="58">
        <v>0.05</v>
      </c>
      <c r="H78" s="56">
        <f t="shared" si="18"/>
        <v>2048.3000000000002</v>
      </c>
      <c r="I78" s="61"/>
      <c r="J78" s="61"/>
      <c r="K78" s="61"/>
      <c r="L78" s="31"/>
      <c r="M78" s="31"/>
      <c r="N78" s="31"/>
    </row>
    <row r="79" spans="3:14" x14ac:dyDescent="0.2">
      <c r="C79" s="56">
        <v>6880429.9000000022</v>
      </c>
      <c r="D79" s="61"/>
      <c r="E79" s="56">
        <v>32757</v>
      </c>
      <c r="F79" s="56">
        <f t="shared" si="17"/>
        <v>32757</v>
      </c>
      <c r="G79" s="58">
        <v>0.05</v>
      </c>
      <c r="H79" s="56">
        <f t="shared" si="18"/>
        <v>1637.8500000000001</v>
      </c>
      <c r="I79" s="61"/>
      <c r="J79" s="61"/>
      <c r="K79" s="61"/>
      <c r="L79" s="31"/>
      <c r="M79" s="31"/>
      <c r="N79" s="31"/>
    </row>
    <row r="80" spans="3:14" x14ac:dyDescent="0.2">
      <c r="C80" s="56">
        <v>10320644.850000001</v>
      </c>
      <c r="D80" s="61"/>
      <c r="E80" s="56">
        <v>122864.81964285717</v>
      </c>
      <c r="F80" s="56">
        <f t="shared" si="17"/>
        <v>122864.81964285717</v>
      </c>
      <c r="G80" s="58">
        <v>0.05</v>
      </c>
      <c r="H80" s="56">
        <f t="shared" si="18"/>
        <v>6143.2409821428591</v>
      </c>
      <c r="I80" s="61"/>
      <c r="J80" s="61"/>
      <c r="K80" s="61"/>
      <c r="L80" s="31"/>
      <c r="M80" s="31"/>
      <c r="N80" s="31"/>
    </row>
    <row r="81" spans="3:14" x14ac:dyDescent="0.2">
      <c r="C81" s="56">
        <v>62123741.428000003</v>
      </c>
      <c r="D81" s="61"/>
      <c r="E81" s="56">
        <v>295761</v>
      </c>
      <c r="F81" s="56">
        <f t="shared" si="17"/>
        <v>295761</v>
      </c>
      <c r="G81" s="58">
        <v>0.05</v>
      </c>
      <c r="H81" s="56">
        <f t="shared" si="18"/>
        <v>14788.050000000001</v>
      </c>
      <c r="I81" s="61"/>
      <c r="J81" s="61"/>
      <c r="K81" s="61"/>
      <c r="L81" s="31"/>
      <c r="M81" s="31"/>
      <c r="N81" s="31"/>
    </row>
    <row r="82" spans="3:14" x14ac:dyDescent="0.2">
      <c r="C82" s="56">
        <v>93185612.14199999</v>
      </c>
      <c r="D82" s="61"/>
      <c r="E82" s="56">
        <v>1553093.5356999999</v>
      </c>
      <c r="F82" s="56">
        <f t="shared" si="17"/>
        <v>1553093.5356999999</v>
      </c>
      <c r="G82" s="58">
        <v>0.05</v>
      </c>
      <c r="H82" s="56">
        <f t="shared" si="18"/>
        <v>77654.676785000003</v>
      </c>
      <c r="I82" s="61"/>
      <c r="J82" s="61"/>
      <c r="K82" s="61"/>
      <c r="L82" s="31"/>
      <c r="M82" s="31"/>
      <c r="N82" s="31"/>
    </row>
    <row r="83" spans="3:14" x14ac:dyDescent="0.2">
      <c r="C83" s="56">
        <v>1219848.1800000002</v>
      </c>
      <c r="D83" s="61"/>
      <c r="E83" s="56">
        <v>5807</v>
      </c>
      <c r="F83" s="56">
        <f t="shared" si="17"/>
        <v>5807</v>
      </c>
      <c r="G83" s="58">
        <v>0.05</v>
      </c>
      <c r="H83" s="56">
        <f t="shared" si="18"/>
        <v>290.35000000000002</v>
      </c>
      <c r="I83" s="61"/>
      <c r="J83" s="61"/>
      <c r="K83" s="61"/>
      <c r="L83" s="31"/>
      <c r="M83" s="31"/>
      <c r="N83" s="31"/>
    </row>
    <row r="84" spans="3:14" x14ac:dyDescent="0.2">
      <c r="C84" s="56">
        <v>5047999.824000001</v>
      </c>
      <c r="D84" s="61"/>
      <c r="E84" s="56">
        <v>24033</v>
      </c>
      <c r="F84" s="56">
        <f t="shared" si="17"/>
        <v>24033</v>
      </c>
      <c r="G84" s="58">
        <v>0.05</v>
      </c>
      <c r="H84" s="56">
        <f t="shared" si="18"/>
        <v>1201.6500000000001</v>
      </c>
      <c r="I84" s="61"/>
      <c r="J84" s="61"/>
      <c r="K84" s="61"/>
      <c r="L84" s="31"/>
      <c r="M84" s="31"/>
      <c r="N84" s="31"/>
    </row>
    <row r="85" spans="3:14" x14ac:dyDescent="0.2">
      <c r="C85" s="56">
        <v>7571999.7359999996</v>
      </c>
      <c r="D85" s="61"/>
      <c r="E85" s="56">
        <v>90142.853999999992</v>
      </c>
      <c r="F85" s="56">
        <f t="shared" si="17"/>
        <v>90142.853999999992</v>
      </c>
      <c r="G85" s="58">
        <v>0.05</v>
      </c>
      <c r="H85" s="56">
        <f t="shared" si="18"/>
        <v>4507.1426999999994</v>
      </c>
      <c r="I85" s="61"/>
      <c r="J85" s="61"/>
      <c r="K85" s="61"/>
      <c r="L85" s="31"/>
      <c r="M85" s="31"/>
      <c r="N85" s="31"/>
    </row>
    <row r="86" spans="3:14" x14ac:dyDescent="0.2">
      <c r="C86" s="56">
        <v>51949136.776000001</v>
      </c>
      <c r="D86" s="61"/>
      <c r="E86" s="56">
        <v>247321</v>
      </c>
      <c r="F86" s="56">
        <f t="shared" si="17"/>
        <v>247321</v>
      </c>
      <c r="G86" s="58">
        <v>0.05</v>
      </c>
      <c r="H86" s="56">
        <f t="shared" si="18"/>
        <v>12366.050000000001</v>
      </c>
      <c r="I86" s="61"/>
      <c r="J86" s="61"/>
      <c r="K86" s="61"/>
      <c r="L86" s="31"/>
      <c r="M86" s="31"/>
      <c r="N86" s="31"/>
    </row>
    <row r="87" spans="3:14" x14ac:dyDescent="0.2">
      <c r="C87" s="56">
        <v>77923705.16399999</v>
      </c>
      <c r="D87" s="61"/>
      <c r="E87" s="56">
        <v>927663.15671428561</v>
      </c>
      <c r="F87" s="56">
        <f t="shared" si="17"/>
        <v>927663.15671428561</v>
      </c>
      <c r="G87" s="58">
        <v>0.05</v>
      </c>
      <c r="H87" s="56">
        <f t="shared" si="18"/>
        <v>46383.157835714286</v>
      </c>
      <c r="I87" s="61"/>
      <c r="J87" s="61"/>
      <c r="K87" s="61"/>
      <c r="L87" s="31"/>
      <c r="M87" s="31"/>
      <c r="N87" s="31"/>
    </row>
    <row r="88" spans="3:14" x14ac:dyDescent="0.2">
      <c r="C88" s="56">
        <v>5558100.8840000005</v>
      </c>
      <c r="D88" s="61"/>
      <c r="E88" s="56">
        <v>28610</v>
      </c>
      <c r="F88" s="42">
        <f t="shared" si="17"/>
        <v>28610</v>
      </c>
      <c r="G88" s="58">
        <v>0.05</v>
      </c>
      <c r="H88" s="56">
        <f t="shared" si="18"/>
        <v>1430.5</v>
      </c>
      <c r="I88" s="61"/>
      <c r="J88" s="61"/>
      <c r="K88" s="61"/>
      <c r="L88" s="31"/>
      <c r="M88" s="31"/>
      <c r="N88" s="31"/>
    </row>
    <row r="89" spans="3:14" x14ac:dyDescent="0.2">
      <c r="C89" s="56">
        <v>8337151.3260000004</v>
      </c>
      <c r="D89" s="61"/>
      <c r="E89" s="42">
        <v>99251.801500000001</v>
      </c>
      <c r="F89" s="42">
        <f t="shared" si="17"/>
        <v>99251.801500000001</v>
      </c>
      <c r="G89" s="49">
        <v>0.05</v>
      </c>
      <c r="H89" s="42">
        <f t="shared" si="18"/>
        <v>4962.5900750000001</v>
      </c>
      <c r="I89" s="61"/>
      <c r="J89" s="61"/>
      <c r="K89" s="61"/>
      <c r="L89" s="31"/>
      <c r="M89" s="31"/>
      <c r="N89" s="31"/>
    </row>
    <row r="90" spans="3:14" x14ac:dyDescent="0.2">
      <c r="C90" s="56">
        <v>1905725</v>
      </c>
      <c r="D90" s="61"/>
      <c r="E90" s="42">
        <v>11465</v>
      </c>
      <c r="F90" s="42">
        <f t="shared" si="17"/>
        <v>11465</v>
      </c>
      <c r="G90" s="49">
        <v>0.05</v>
      </c>
      <c r="H90" s="42">
        <f t="shared" si="18"/>
        <v>573.25</v>
      </c>
      <c r="I90" s="61"/>
      <c r="J90" s="61"/>
      <c r="K90" s="61"/>
      <c r="L90" s="31"/>
      <c r="M90" s="31"/>
      <c r="N90" s="31"/>
    </row>
    <row r="91" spans="3:14" x14ac:dyDescent="0.2">
      <c r="C91" s="56">
        <v>2858587</v>
      </c>
      <c r="D91" s="61"/>
      <c r="E91" s="42">
        <v>47643</v>
      </c>
      <c r="F91" s="42">
        <f t="shared" si="17"/>
        <v>47643</v>
      </c>
      <c r="G91" s="49">
        <v>0.05</v>
      </c>
      <c r="H91" s="42">
        <f t="shared" si="18"/>
        <v>2382.15</v>
      </c>
      <c r="I91" s="61"/>
      <c r="J91" s="61"/>
      <c r="K91" s="61"/>
      <c r="L91" s="31"/>
      <c r="M91" s="31"/>
      <c r="N91" s="31"/>
    </row>
    <row r="92" spans="3:14" x14ac:dyDescent="0.2">
      <c r="C92" s="56">
        <v>1091688</v>
      </c>
      <c r="D92" s="61"/>
      <c r="E92" s="42">
        <v>6567</v>
      </c>
      <c r="F92" s="42">
        <f t="shared" si="17"/>
        <v>6567</v>
      </c>
      <c r="G92" s="49">
        <v>0.05</v>
      </c>
      <c r="H92" s="42">
        <f t="shared" si="18"/>
        <v>328.35</v>
      </c>
      <c r="I92" s="61"/>
      <c r="J92" s="61"/>
      <c r="K92" s="61"/>
      <c r="L92" s="31"/>
      <c r="M92" s="31"/>
      <c r="N92" s="31"/>
    </row>
    <row r="93" spans="3:14" x14ac:dyDescent="0.2">
      <c r="C93" s="56">
        <v>3270</v>
      </c>
      <c r="D93" s="61"/>
      <c r="E93" s="42">
        <v>54</v>
      </c>
      <c r="F93" s="42">
        <f t="shared" si="17"/>
        <v>54</v>
      </c>
      <c r="G93" s="49">
        <v>0.05</v>
      </c>
      <c r="H93" s="42">
        <f t="shared" si="18"/>
        <v>2.7</v>
      </c>
      <c r="I93" s="61"/>
      <c r="J93" s="61"/>
      <c r="K93" s="61"/>
      <c r="L93" s="31"/>
      <c r="M93" s="31"/>
      <c r="N93" s="31"/>
    </row>
    <row r="94" spans="3:14" ht="15" x14ac:dyDescent="0.35">
      <c r="C94" s="45">
        <f>1634262+1</f>
        <v>1634263</v>
      </c>
      <c r="D94" s="61"/>
      <c r="E94" s="45">
        <v>19456</v>
      </c>
      <c r="F94" s="45">
        <f t="shared" si="17"/>
        <v>19456</v>
      </c>
      <c r="G94" s="49">
        <v>0.05</v>
      </c>
      <c r="H94" s="45">
        <f t="shared" si="18"/>
        <v>972.80000000000007</v>
      </c>
      <c r="I94" s="61"/>
      <c r="J94" s="61"/>
      <c r="K94" s="61"/>
      <c r="L94" s="31"/>
      <c r="M94" s="31"/>
      <c r="N94" s="31"/>
    </row>
    <row r="95" spans="3:14" x14ac:dyDescent="0.2">
      <c r="C95" s="56">
        <f>SUM(C71:C94)</f>
        <v>648975198.19999993</v>
      </c>
      <c r="D95" s="61"/>
      <c r="E95" s="56">
        <f>SUM(E71:E94)</f>
        <v>6229520.3972714292</v>
      </c>
      <c r="F95" s="56">
        <f>SUM(F71:F94)</f>
        <v>4960349.3972714283</v>
      </c>
      <c r="G95" s="61"/>
      <c r="H95" s="56">
        <f>SUM(H71:H94)</f>
        <v>248017.4698635714</v>
      </c>
      <c r="I95" s="61"/>
      <c r="J95" s="61"/>
      <c r="K95" s="61"/>
      <c r="L95" s="31"/>
      <c r="M95" s="31"/>
      <c r="N95" s="31"/>
    </row>
    <row r="96" spans="3:14" x14ac:dyDescent="0.2">
      <c r="C96" s="61"/>
      <c r="D96" s="61"/>
      <c r="E96" s="61"/>
      <c r="F96" s="61"/>
      <c r="G96" s="61"/>
      <c r="H96" s="56">
        <f>H95-L33</f>
        <v>-1.1364286183379591E-3</v>
      </c>
      <c r="I96" s="61"/>
      <c r="J96" s="61"/>
      <c r="K96" s="61"/>
      <c r="L96" s="31"/>
      <c r="M96" s="31"/>
      <c r="N96" s="31"/>
    </row>
    <row r="97" spans="3:14" x14ac:dyDescent="0.2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</sheetData>
  <pageMargins left="0.7" right="0.7" top="1.15625" bottom="0.75" header="0.3" footer="0.3"/>
  <pageSetup scale="48" orientation="portrait" r:id="rId1"/>
  <headerFooter>
    <oddHeader>&amp;R&amp;"Times New Roman,Bold"&amp;12Attachment to Response to Question 3
Page &amp;P of &amp;N
Williams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Project 28</vt:lpstr>
      <vt:lpstr>Project 29</vt:lpstr>
      <vt:lpstr>Project 29_2011 Plan</vt:lpstr>
      <vt:lpstr>Project 30</vt:lpstr>
      <vt:lpstr>Project 31</vt:lpstr>
      <vt:lpstr>Project 32</vt:lpstr>
      <vt:lpstr>Project 33</vt:lpstr>
      <vt:lpstr>Project 34</vt:lpstr>
      <vt:lpstr>Project 35</vt:lpstr>
      <vt:lpstr>Project 37</vt:lpstr>
      <vt:lpstr>Project 38</vt:lpstr>
      <vt:lpstr>Project 41</vt:lpstr>
      <vt:lpstr>'Project 33'!Print_Area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2019-07-22T18:47:55Z</dcterms:created>
  <dcterms:modified xsi:type="dcterms:W3CDTF">2019-07-22T18:48:04Z</dcterms:modified>
</cp:coreProperties>
</file>