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5200" windowHeight="11970" tabRatio="808" firstSheet="8" activeTab="8"/>
  </bookViews>
  <sheets>
    <sheet name="Databases &gt;" sheetId="49" state="hidden" r:id="rId1"/>
    <sheet name="Input Data" sheetId="5" state="hidden" r:id="rId2"/>
    <sheet name="Case Database" sheetId="16" state="hidden" r:id="rId3"/>
    <sheet name="Forecast" sheetId="33" state="hidden" r:id="rId4"/>
    <sheet name="Sales Volumes" sheetId="41" state="hidden" r:id="rId5"/>
    <sheet name="TS-2 Data" sheetId="47" state="hidden" r:id="rId6"/>
    <sheet name="FT Data" sheetId="48" state="hidden" r:id="rId7"/>
    <sheet name="FILING &gt;" sheetId="50" state="hidden" r:id="rId8"/>
    <sheet name="Cover Sheet" sheetId="40" r:id="rId9"/>
    <sheet name="Summary Sheet" sheetId="1" r:id="rId10"/>
    <sheet name="Ex A 1 of 2" sheetId="2" r:id="rId11"/>
    <sheet name="Ex A 2 of 2" sheetId="3" r:id="rId12"/>
    <sheet name="Ex B-1 1 of 7" sheetId="4" r:id="rId13"/>
    <sheet name="Ex B-1 2 of 7" sheetId="6" r:id="rId14"/>
    <sheet name="Ex B-1 3 of 7" sheetId="45" r:id="rId15"/>
    <sheet name="Ex B-1 4 of 7" sheetId="7" r:id="rId16"/>
    <sheet name="Ex B-1 5 of 7" sheetId="8" r:id="rId17"/>
    <sheet name="Ex B-1 6 of 7" sheetId="52" r:id="rId18"/>
    <sheet name="Ex B-1 7 of 7" sheetId="51" r:id="rId19"/>
    <sheet name="Ex C-1 1 of 3" sheetId="9" r:id="rId20"/>
    <sheet name="Ex C-1 2 of 3" sheetId="10" r:id="rId21"/>
    <sheet name="Ex C-1 3 of 3" sheetId="37" r:id="rId22"/>
    <sheet name="Ex D-1 1 of 2" sheetId="11" r:id="rId23"/>
    <sheet name="Ex D-1 2 of 2" sheetId="34" r:id="rId24"/>
    <sheet name="Ex E-1 1 of 2 " sheetId="12" r:id="rId25"/>
    <sheet name="Ex E-1 2 of 2" sheetId="36" r:id="rId26"/>
    <sheet name="Ex F-1 1 of 1" sheetId="39" r:id="rId27"/>
    <sheet name="Effective Rates" sheetId="14" r:id="rId28"/>
    <sheet name="FT Rate Summary" sheetId="15" r:id="rId29"/>
    <sheet name="Rate LGDS" sheetId="53" r:id="rId30"/>
  </sheets>
  <definedNames>
    <definedName name="_xlnm.Print_Area" localSheetId="2">'Case Database'!$A$1:$D$71</definedName>
    <definedName name="_xlnm.Print_Area" localSheetId="27">'Effective Rates'!$A$1:$S$134</definedName>
    <definedName name="_xlnm.Print_Area" localSheetId="10">'Ex A 1 of 2'!$A$1:$G$77</definedName>
    <definedName name="_xlnm.Print_Area" localSheetId="11">'Ex A 2 of 2'!$A$9:$F$58</definedName>
    <definedName name="_xlnm.Print_Area" localSheetId="12">'Ex B-1 1 of 7'!$A$1:$G$31</definedName>
    <definedName name="_xlnm.Print_Area" localSheetId="13">'Ex B-1 2 of 7'!$A$1:$N$29</definedName>
    <definedName name="_xlnm.Print_Area" localSheetId="14">'Ex B-1 3 of 7'!$A$1:$N$34</definedName>
    <definedName name="_xlnm.Print_Area" localSheetId="15">'Ex B-1 4 of 7'!$A$1:$N$31</definedName>
    <definedName name="_xlnm.Print_Area" localSheetId="16">'Ex B-1 5 of 7'!$A$1:$I$37</definedName>
    <definedName name="_xlnm.Print_Area" localSheetId="19">'Ex C-1 1 of 3'!$A$1:$D$29</definedName>
    <definedName name="_xlnm.Print_Area" localSheetId="20">'Ex C-1 2 of 3'!$A$1:$H$29</definedName>
    <definedName name="_xlnm.Print_Area" localSheetId="21">'Ex C-1 3 of 3'!$A$6:$H$27</definedName>
    <definedName name="_xlnm.Print_Area" localSheetId="22">'Ex D-1 1 of 2'!$A$1:$J$21</definedName>
    <definedName name="_xlnm.Print_Area" localSheetId="23">'Ex D-1 2 of 2'!$A$1:$H$35</definedName>
    <definedName name="_xlnm.Print_Area" localSheetId="24">'Ex E-1 1 of 2 '!$A$1:$E$24</definedName>
    <definedName name="_xlnm.Print_Area" localSheetId="25">'Ex E-1 2 of 2'!$A$1:$K$33</definedName>
    <definedName name="_xlnm.Print_Area" localSheetId="26">'Ex F-1 1 of 1'!$A$1:$F$22</definedName>
    <definedName name="_xlnm.Print_Area" localSheetId="6">'FT Data'!$A$1:$BF$10</definedName>
    <definedName name="_xlnm.Print_Area" localSheetId="28">'FT Rate Summary'!$A$1:$I$57</definedName>
    <definedName name="_xlnm.Print_Area" localSheetId="1">'Input Data'!$B$1:$D$15</definedName>
    <definedName name="_xlnm.Print_Area" localSheetId="29">'Rate LGDS'!$A$1:$I$57</definedName>
    <definedName name="_xlnm.Print_Area" localSheetId="4">'Sales Volumes'!$A$1:$H$14</definedName>
    <definedName name="_xlnm.Print_Area" localSheetId="9">'Summary Sheet'!$A$1:$K$59</definedName>
    <definedName name="_xlnm.Print_Titles" localSheetId="2">'Case Database'!$3:$3</definedName>
    <definedName name="_xlnm.Print_Titles" localSheetId="4">'Sales Volumes'!$2:$3</definedName>
  </definedNames>
  <calcPr calcId="152511" iterate="1"/>
</workbook>
</file>

<file path=xl/calcChain.xml><?xml version="1.0" encoding="utf-8"?>
<calcChain xmlns="http://schemas.openxmlformats.org/spreadsheetml/2006/main">
  <c r="E21" i="8" l="1"/>
  <c r="C21" i="8"/>
  <c r="F9" i="2" l="1"/>
  <c r="C17" i="39" l="1"/>
  <c r="E20" i="8" l="1"/>
  <c r="C20" i="8"/>
  <c r="E19" i="8"/>
  <c r="C19" i="8"/>
  <c r="B66" i="41" l="1"/>
  <c r="B67" i="41"/>
  <c r="B68" i="41"/>
  <c r="B80" i="16"/>
  <c r="D79" i="16"/>
  <c r="D80" i="16"/>
  <c r="B79" i="16" l="1"/>
  <c r="BH6" i="48" l="1"/>
  <c r="B63" i="41" l="1"/>
  <c r="B64" i="41"/>
  <c r="B65" i="41"/>
  <c r="B6" i="36" l="1"/>
  <c r="G35" i="12"/>
  <c r="G36" i="12"/>
  <c r="G37" i="12"/>
  <c r="G38" i="12"/>
  <c r="G39" i="12"/>
  <c r="G40" i="12"/>
  <c r="G41" i="12"/>
  <c r="G42" i="12"/>
  <c r="G43" i="12"/>
  <c r="G44" i="12"/>
  <c r="G45" i="12"/>
  <c r="G34" i="12"/>
  <c r="C35" i="12"/>
  <c r="D35" i="12"/>
  <c r="C36" i="12"/>
  <c r="D36" i="12"/>
  <c r="C37" i="12"/>
  <c r="D37" i="12"/>
  <c r="C38" i="12"/>
  <c r="D38" i="12"/>
  <c r="C39" i="12"/>
  <c r="D39" i="12"/>
  <c r="C40" i="12"/>
  <c r="D40" i="12"/>
  <c r="C41" i="12"/>
  <c r="D41" i="12"/>
  <c r="C42" i="12"/>
  <c r="D42" i="12"/>
  <c r="C43" i="12"/>
  <c r="D43" i="12"/>
  <c r="C44" i="12"/>
  <c r="D44" i="12"/>
  <c r="C45" i="12"/>
  <c r="D45" i="12"/>
  <c r="D34" i="12"/>
  <c r="C34" i="12"/>
  <c r="B60" i="41" l="1"/>
  <c r="B61" i="41"/>
  <c r="B62" i="41"/>
  <c r="A79" i="33" l="1"/>
  <c r="A75" i="33"/>
  <c r="A76" i="33"/>
  <c r="A77" i="33"/>
  <c r="A78" i="33"/>
  <c r="A68" i="33"/>
  <c r="A69" i="33" s="1"/>
  <c r="A70" i="33" s="1"/>
  <c r="A71" i="33" s="1"/>
  <c r="A72" i="33" s="1"/>
  <c r="A73" i="33" s="1"/>
  <c r="A74" i="33" s="1"/>
  <c r="A11" i="33"/>
  <c r="A12" i="33"/>
  <c r="A13" i="33"/>
  <c r="A14" i="33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D78" i="16"/>
  <c r="B78" i="16"/>
  <c r="Q66" i="14" l="1"/>
  <c r="Q59" i="14" l="1"/>
  <c r="D21" i="2" l="1"/>
  <c r="E21" i="2"/>
  <c r="C21" i="2"/>
  <c r="D20" i="2"/>
  <c r="E20" i="2"/>
  <c r="C20" i="2"/>
  <c r="C17" i="5"/>
  <c r="BH7" i="48" l="1"/>
  <c r="BH5" i="48"/>
  <c r="B57" i="41" l="1"/>
  <c r="B58" i="41"/>
  <c r="B59" i="41"/>
  <c r="D77" i="16" l="1"/>
  <c r="B77" i="16"/>
  <c r="H23" i="6" l="1"/>
  <c r="O85" i="14" l="1"/>
  <c r="Q85" i="14"/>
  <c r="G83" i="14"/>
  <c r="G71" i="14"/>
  <c r="G64" i="14"/>
  <c r="G58" i="14"/>
  <c r="AD5" i="47" l="1"/>
  <c r="AD6" i="47"/>
  <c r="AD7" i="47"/>
  <c r="B54" i="41" l="1"/>
  <c r="B55" i="41"/>
  <c r="B56" i="41"/>
  <c r="D76" i="16"/>
  <c r="B76" i="16"/>
  <c r="K39" i="1" l="1"/>
  <c r="K40" i="1"/>
  <c r="K41" i="1"/>
  <c r="J40" i="1"/>
  <c r="J41" i="1"/>
  <c r="J39" i="1"/>
  <c r="I13" i="11" l="1"/>
  <c r="I14" i="11"/>
  <c r="I15" i="11"/>
  <c r="B51" i="41" l="1"/>
  <c r="B52" i="41"/>
  <c r="B53" i="41"/>
  <c r="D75" i="16"/>
  <c r="B75" i="16"/>
  <c r="B6" i="12" l="1"/>
  <c r="B48" i="41" l="1"/>
  <c r="B49" i="41"/>
  <c r="B50" i="41"/>
  <c r="B74" i="16" l="1"/>
  <c r="D74" i="16"/>
  <c r="BI7" i="48" l="1"/>
  <c r="B45" i="41" l="1"/>
  <c r="B46" i="41"/>
  <c r="B47" i="41"/>
  <c r="D73" i="16" l="1"/>
  <c r="B73" i="16"/>
  <c r="O51" i="14" l="1"/>
  <c r="O44" i="14"/>
  <c r="O53" i="14" s="1"/>
  <c r="O42" i="14"/>
  <c r="O50" i="14"/>
  <c r="I91" i="14" l="1"/>
  <c r="Q73" i="14" l="1"/>
  <c r="G51" i="53" l="1"/>
  <c r="G50" i="53"/>
  <c r="G49" i="53"/>
  <c r="G48" i="53"/>
  <c r="G47" i="53"/>
  <c r="G44" i="53"/>
  <c r="G43" i="53"/>
  <c r="G42" i="53"/>
  <c r="G41" i="53"/>
  <c r="A6" i="53"/>
  <c r="K55" i="3" l="1"/>
  <c r="F53" i="3" s="1"/>
  <c r="Q92" i="14" l="1"/>
  <c r="Q53" i="14"/>
  <c r="Q51" i="14"/>
  <c r="Q50" i="14"/>
  <c r="Q44" i="14"/>
  <c r="Q42" i="14"/>
  <c r="Q35" i="14"/>
  <c r="Q33" i="14"/>
  <c r="Q32" i="14"/>
  <c r="Q26" i="14"/>
  <c r="Q24" i="14"/>
  <c r="G90" i="14" l="1"/>
  <c r="B42" i="41" l="1"/>
  <c r="B43" i="41"/>
  <c r="B44" i="41"/>
  <c r="D72" i="16" l="1"/>
  <c r="B72" i="16"/>
  <c r="B39" i="41" l="1"/>
  <c r="B40" i="41"/>
  <c r="B41" i="41"/>
  <c r="D71" i="16" l="1"/>
  <c r="B71" i="16"/>
  <c r="F13" i="3" l="1"/>
  <c r="C46" i="2" l="1"/>
  <c r="D70" i="16" l="1"/>
  <c r="B70" i="16"/>
  <c r="B36" i="41" l="1"/>
  <c r="B37" i="41"/>
  <c r="B38" i="41"/>
  <c r="A9" i="2" l="1"/>
  <c r="A10" i="2" s="1"/>
  <c r="A11" i="2" s="1"/>
  <c r="I34" i="8" l="1"/>
  <c r="I33" i="8"/>
  <c r="I19" i="8"/>
  <c r="I20" i="8"/>
  <c r="AE5" i="47" l="1"/>
  <c r="AE6" i="47"/>
  <c r="AE7" i="47"/>
  <c r="B33" i="41" l="1"/>
  <c r="B34" i="41"/>
  <c r="B35" i="41"/>
  <c r="D69" i="16" l="1"/>
  <c r="B69" i="16"/>
  <c r="B4" i="12" l="1"/>
  <c r="M10" i="6" l="1"/>
  <c r="M11" i="6"/>
  <c r="M9" i="6"/>
  <c r="M13" i="6" l="1"/>
  <c r="M20" i="45"/>
  <c r="M21" i="45"/>
  <c r="M19" i="45"/>
  <c r="BI6" i="48" l="1"/>
  <c r="BI5" i="48"/>
  <c r="B30" i="41" l="1"/>
  <c r="B31" i="41"/>
  <c r="B32" i="41"/>
  <c r="D68" i="16"/>
  <c r="B68" i="16"/>
  <c r="I21" i="8" l="1"/>
  <c r="C11" i="5" l="1"/>
  <c r="B27" i="41" l="1"/>
  <c r="B28" i="41"/>
  <c r="B29" i="41"/>
  <c r="M20" i="7" l="1"/>
  <c r="M21" i="7"/>
  <c r="M19" i="7"/>
  <c r="L20" i="7"/>
  <c r="L21" i="7"/>
  <c r="L19" i="7"/>
  <c r="J20" i="7"/>
  <c r="J21" i="7"/>
  <c r="J19" i="7"/>
  <c r="I20" i="7"/>
  <c r="I21" i="7"/>
  <c r="I19" i="7"/>
  <c r="H20" i="7"/>
  <c r="H21" i="7"/>
  <c r="H19" i="7"/>
  <c r="G20" i="7"/>
  <c r="G21" i="7"/>
  <c r="G19" i="7"/>
  <c r="F20" i="7"/>
  <c r="F21" i="7"/>
  <c r="F19" i="7"/>
  <c r="K20" i="45"/>
  <c r="K21" i="45"/>
  <c r="K19" i="45"/>
  <c r="J20" i="45"/>
  <c r="J21" i="45"/>
  <c r="J19" i="45"/>
  <c r="I20" i="45"/>
  <c r="I21" i="45"/>
  <c r="I19" i="45"/>
  <c r="H20" i="45"/>
  <c r="H21" i="45"/>
  <c r="H19" i="45"/>
  <c r="G20" i="45"/>
  <c r="G21" i="45"/>
  <c r="G19" i="45"/>
  <c r="D20" i="45"/>
  <c r="D21" i="45"/>
  <c r="D19" i="45"/>
  <c r="C50" i="2" l="1"/>
  <c r="C49" i="2"/>
  <c r="C45" i="2"/>
  <c r="A13" i="2"/>
  <c r="A14" i="2" s="1"/>
  <c r="A15" i="2" s="1"/>
  <c r="A19" i="2" s="1"/>
  <c r="A20" i="2" s="1"/>
  <c r="A21" i="2" s="1"/>
  <c r="A22" i="2" s="1"/>
  <c r="A25" i="2" s="1"/>
  <c r="A26" i="2" s="1"/>
  <c r="A28" i="2" s="1"/>
  <c r="A29" i="2" s="1"/>
  <c r="A30" i="2" s="1"/>
  <c r="A32" i="2" s="1"/>
  <c r="A33" i="2" s="1"/>
  <c r="A34" i="2" s="1"/>
  <c r="A35" i="2" s="1"/>
  <c r="A36" i="2" s="1"/>
  <c r="A37" i="2" s="1"/>
  <c r="A39" i="2" s="1"/>
  <c r="A42" i="2" s="1"/>
  <c r="A43" i="2" s="1"/>
  <c r="A44" i="2" s="1"/>
  <c r="A45" i="2" s="1"/>
  <c r="A46" i="2" l="1"/>
  <c r="A47" i="2" s="1"/>
  <c r="A48" i="2" s="1"/>
  <c r="A49" i="2" s="1"/>
  <c r="A50" i="2" s="1"/>
  <c r="A51" i="2" s="1"/>
  <c r="A52" i="2" s="1"/>
  <c r="A53" i="2" s="1"/>
  <c r="A54" i="2" s="1"/>
  <c r="A56" i="2" s="1"/>
  <c r="A57" i="2" s="1"/>
  <c r="A58" i="2" s="1"/>
  <c r="A59" i="2" s="1"/>
  <c r="A60" i="2" s="1"/>
  <c r="A61" i="2" s="1"/>
  <c r="A63" i="2" s="1"/>
  <c r="A66" i="2" s="1"/>
  <c r="A67" i="2" s="1"/>
  <c r="D67" i="16"/>
  <c r="B67" i="16"/>
  <c r="A68" i="2" l="1"/>
  <c r="A69" i="2" s="1"/>
  <c r="A70" i="2" s="1"/>
  <c r="A71" i="2" s="1"/>
  <c r="A74" i="2" s="1"/>
  <c r="A77" i="2" s="1"/>
  <c r="A4" i="6"/>
  <c r="B19" i="12" l="1"/>
  <c r="D66" i="16" l="1"/>
  <c r="B66" i="16"/>
  <c r="F19" i="45" l="1"/>
  <c r="N19" i="45" s="1"/>
  <c r="E21" i="45"/>
  <c r="F21" i="45" s="1"/>
  <c r="N21" i="45" s="1"/>
  <c r="E20" i="45"/>
  <c r="F20" i="45" s="1"/>
  <c r="N20" i="45" s="1"/>
  <c r="A4" i="45"/>
  <c r="N23" i="45" l="1"/>
  <c r="D21" i="6"/>
  <c r="D19" i="6" l="1"/>
  <c r="D20" i="6"/>
  <c r="D23" i="6" l="1"/>
  <c r="F14" i="3"/>
  <c r="B23" i="41" l="1"/>
  <c r="B24" i="41"/>
  <c r="B25" i="41"/>
  <c r="B26" i="41"/>
  <c r="D65" i="16" l="1"/>
  <c r="B65" i="16"/>
  <c r="G48" i="14"/>
  <c r="G30" i="14"/>
  <c r="K26" i="14" l="1"/>
  <c r="K24" i="14"/>
  <c r="L11" i="6" l="1"/>
  <c r="L12" i="6"/>
  <c r="L10" i="6"/>
  <c r="B18" i="41" l="1"/>
  <c r="B19" i="41"/>
  <c r="B20" i="41"/>
  <c r="B21" i="41"/>
  <c r="B22" i="41"/>
  <c r="D64" i="16" l="1"/>
  <c r="B64" i="16"/>
  <c r="B17" i="41" l="1"/>
  <c r="B16" i="41" l="1"/>
  <c r="B15" i="41"/>
  <c r="D63" i="16" l="1"/>
  <c r="B63" i="16"/>
  <c r="B14" i="41" l="1"/>
  <c r="E13" i="12" l="1"/>
  <c r="B13" i="41" l="1"/>
  <c r="D62" i="16"/>
  <c r="B62" i="16"/>
  <c r="D11" i="41" l="1"/>
  <c r="C11" i="41"/>
  <c r="B12" i="41"/>
  <c r="B11" i="41" l="1"/>
  <c r="D10" i="41"/>
  <c r="B10" i="41" s="1"/>
  <c r="D9" i="41"/>
  <c r="C9" i="41"/>
  <c r="B9" i="41" l="1"/>
  <c r="D61" i="16"/>
  <c r="B61" i="16"/>
  <c r="D8" i="41" l="1"/>
  <c r="C8" i="41"/>
  <c r="D7" i="41"/>
  <c r="C7" i="41"/>
  <c r="D6" i="41"/>
  <c r="C6" i="41"/>
  <c r="B6" i="41" s="1"/>
  <c r="D60" i="16"/>
  <c r="B60" i="16"/>
  <c r="B7" i="41" l="1"/>
  <c r="B8" i="41"/>
  <c r="B6" i="39" l="1"/>
  <c r="B3" i="36"/>
  <c r="B4" i="34"/>
  <c r="B4" i="11"/>
  <c r="B8" i="37"/>
  <c r="B3" i="10"/>
  <c r="B3" i="9"/>
  <c r="B3" i="8"/>
  <c r="B4" i="7"/>
  <c r="A5" i="4"/>
  <c r="D59" i="16" l="1"/>
  <c r="B59" i="16"/>
  <c r="C32" i="2" l="1"/>
  <c r="C56" i="2" s="1"/>
  <c r="I35" i="8" l="1"/>
  <c r="C11" i="2" l="1"/>
  <c r="D11" i="2"/>
  <c r="E11" i="2"/>
  <c r="E15" i="2" s="1"/>
  <c r="I37" i="8"/>
  <c r="E19" i="2" l="1"/>
  <c r="D15" i="2"/>
  <c r="D19" i="2"/>
  <c r="C15" i="2"/>
  <c r="C19" i="2"/>
  <c r="I23" i="8"/>
  <c r="F11" i="2"/>
  <c r="D58" i="16" l="1"/>
  <c r="B58" i="16"/>
  <c r="F10" i="2" l="1"/>
  <c r="F8" i="2"/>
  <c r="K19" i="7"/>
  <c r="N19" i="7" s="1"/>
  <c r="F19" i="6" l="1"/>
  <c r="E15" i="4"/>
  <c r="D57" i="16" l="1"/>
  <c r="B57" i="16"/>
  <c r="D56" i="16"/>
  <c r="B56" i="16"/>
  <c r="E46" i="2" l="1"/>
  <c r="E47" i="2"/>
  <c r="D46" i="2"/>
  <c r="D47" i="2"/>
  <c r="C47" i="2"/>
  <c r="B28" i="40"/>
  <c r="B21" i="40"/>
  <c r="F27" i="34" l="1"/>
  <c r="B3" i="39" l="1"/>
  <c r="B75" i="2" l="1"/>
  <c r="F17" i="34" l="1"/>
  <c r="F18" i="34"/>
  <c r="F19" i="34"/>
  <c r="F20" i="34"/>
  <c r="F21" i="34"/>
  <c r="F22" i="34"/>
  <c r="F23" i="34"/>
  <c r="F24" i="34"/>
  <c r="F25" i="34"/>
  <c r="F26" i="34"/>
  <c r="F16" i="34"/>
  <c r="A6" i="15" l="1"/>
  <c r="A5" i="14"/>
  <c r="A99" i="14" s="1"/>
  <c r="O24" i="14"/>
  <c r="H18" i="36" l="1"/>
  <c r="H19" i="36"/>
  <c r="H20" i="36"/>
  <c r="H21" i="36"/>
  <c r="H22" i="36"/>
  <c r="H23" i="36"/>
  <c r="H24" i="36"/>
  <c r="H25" i="36"/>
  <c r="H26" i="36"/>
  <c r="H27" i="36"/>
  <c r="H28" i="36"/>
  <c r="I28" i="36" s="1"/>
  <c r="H17" i="36"/>
  <c r="E19" i="36"/>
  <c r="E23" i="36"/>
  <c r="E27" i="36"/>
  <c r="E18" i="36"/>
  <c r="E17" i="36" l="1"/>
  <c r="E25" i="36"/>
  <c r="E21" i="36"/>
  <c r="E28" i="36"/>
  <c r="E24" i="36"/>
  <c r="E20" i="36"/>
  <c r="E26" i="36"/>
  <c r="E22" i="36"/>
  <c r="B16" i="36" l="1"/>
  <c r="B34" i="12"/>
  <c r="B12" i="11"/>
  <c r="C12" i="11" s="1"/>
  <c r="G16" i="36" l="1"/>
  <c r="I16" i="36" s="1"/>
  <c r="D16" i="36"/>
  <c r="B17" i="36"/>
  <c r="F34" i="12"/>
  <c r="B35" i="12"/>
  <c r="F15" i="10"/>
  <c r="F16" i="10"/>
  <c r="F17" i="10"/>
  <c r="F18" i="10"/>
  <c r="F19" i="10"/>
  <c r="F20" i="10"/>
  <c r="F21" i="10"/>
  <c r="F22" i="10"/>
  <c r="F23" i="10"/>
  <c r="F24" i="10"/>
  <c r="F25" i="10"/>
  <c r="F14" i="10"/>
  <c r="C6" i="5"/>
  <c r="C8" i="5" s="1"/>
  <c r="B15" i="34" s="1"/>
  <c r="B7" i="34" s="1"/>
  <c r="E15" i="34" l="1"/>
  <c r="D15" i="34"/>
  <c r="D17" i="36"/>
  <c r="F17" i="36" s="1"/>
  <c r="G17" i="36"/>
  <c r="I17" i="36" s="1"/>
  <c r="B18" i="36"/>
  <c r="F16" i="36"/>
  <c r="F35" i="12"/>
  <c r="B36" i="12"/>
  <c r="D18" i="36" l="1"/>
  <c r="G18" i="36"/>
  <c r="I18" i="36" s="1"/>
  <c r="G15" i="34"/>
  <c r="B19" i="36"/>
  <c r="F36" i="12"/>
  <c r="B37" i="12"/>
  <c r="D19" i="36" l="1"/>
  <c r="F19" i="36" s="1"/>
  <c r="G19" i="36"/>
  <c r="I19" i="36" s="1"/>
  <c r="F18" i="36"/>
  <c r="B20" i="36"/>
  <c r="F37" i="12"/>
  <c r="B38" i="12"/>
  <c r="D20" i="36" l="1"/>
  <c r="F20" i="36" s="1"/>
  <c r="G20" i="36"/>
  <c r="I20" i="36" s="1"/>
  <c r="B21" i="36"/>
  <c r="F38" i="12"/>
  <c r="B39" i="12"/>
  <c r="D21" i="36" l="1"/>
  <c r="G21" i="36"/>
  <c r="I21" i="36" s="1"/>
  <c r="B22" i="36"/>
  <c r="F39" i="12"/>
  <c r="B40" i="12"/>
  <c r="D22" i="36" l="1"/>
  <c r="F22" i="36" s="1"/>
  <c r="G22" i="36"/>
  <c r="I22" i="36" s="1"/>
  <c r="F21" i="36"/>
  <c r="B23" i="36"/>
  <c r="F40" i="12"/>
  <c r="B41" i="12"/>
  <c r="D23" i="36" l="1"/>
  <c r="F23" i="36" s="1"/>
  <c r="G23" i="36"/>
  <c r="I23" i="36" s="1"/>
  <c r="B24" i="36"/>
  <c r="F41" i="12"/>
  <c r="B42" i="12"/>
  <c r="D24" i="36" l="1"/>
  <c r="F24" i="36" s="1"/>
  <c r="G24" i="36"/>
  <c r="I24" i="36" s="1"/>
  <c r="B25" i="36"/>
  <c r="F42" i="12"/>
  <c r="B43" i="12"/>
  <c r="D25" i="36" l="1"/>
  <c r="F25" i="36" s="1"/>
  <c r="G25" i="36"/>
  <c r="I25" i="36" s="1"/>
  <c r="B26" i="36"/>
  <c r="F43" i="12"/>
  <c r="B44" i="12"/>
  <c r="D26" i="36" l="1"/>
  <c r="F26" i="36" s="1"/>
  <c r="G26" i="36"/>
  <c r="I26" i="36" s="1"/>
  <c r="B27" i="36"/>
  <c r="F44" i="12"/>
  <c r="B45" i="12"/>
  <c r="D27" i="36" l="1"/>
  <c r="F27" i="36" s="1"/>
  <c r="G27" i="36"/>
  <c r="I27" i="36" s="1"/>
  <c r="B28" i="36"/>
  <c r="D28" i="36" s="1"/>
  <c r="F45" i="12"/>
  <c r="G29" i="36" l="1"/>
  <c r="F28" i="36"/>
  <c r="F29" i="36" s="1"/>
  <c r="D29" i="36"/>
  <c r="B15" i="1"/>
  <c r="C5" i="5"/>
  <c r="C7" i="5"/>
  <c r="D55" i="16"/>
  <c r="B55" i="16"/>
  <c r="B54" i="16"/>
  <c r="B53" i="16"/>
  <c r="B52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A6" i="16"/>
  <c r="B5" i="16"/>
  <c r="A5" i="48" l="1"/>
  <c r="A6" i="48" s="1"/>
  <c r="A7" i="48" s="1"/>
  <c r="A5" i="47"/>
  <c r="A6" i="47" s="1"/>
  <c r="A7" i="47" s="1"/>
  <c r="B20" i="37"/>
  <c r="B13" i="37" s="1"/>
  <c r="B19" i="45"/>
  <c r="B20" i="45" s="1"/>
  <c r="B21" i="45" s="1"/>
  <c r="B6" i="16"/>
  <c r="A7" i="16"/>
  <c r="D20" i="37" l="1"/>
  <c r="E20" i="37"/>
  <c r="G20" i="37" s="1"/>
  <c r="B7" i="16"/>
  <c r="A8" i="16"/>
  <c r="A9" i="16" l="1"/>
  <c r="B8" i="16"/>
  <c r="B9" i="16" l="1"/>
  <c r="A10" i="16"/>
  <c r="B10" i="16" l="1"/>
  <c r="A11" i="16"/>
  <c r="B11" i="16" l="1"/>
  <c r="A12" i="16"/>
  <c r="A13" i="16" l="1"/>
  <c r="B12" i="16"/>
  <c r="B13" i="16" l="1"/>
  <c r="A14" i="16"/>
  <c r="A15" i="16" l="1"/>
  <c r="B14" i="16"/>
  <c r="B15" i="16" l="1"/>
  <c r="A16" i="16"/>
  <c r="B16" i="16" l="1"/>
  <c r="A17" i="16"/>
  <c r="A18" i="16" l="1"/>
  <c r="B17" i="16"/>
  <c r="A19" i="16" l="1"/>
  <c r="B18" i="16"/>
  <c r="A20" i="16" l="1"/>
  <c r="B19" i="16"/>
  <c r="B20" i="16" l="1"/>
  <c r="A21" i="16"/>
  <c r="B21" i="16" l="1"/>
  <c r="A22" i="16"/>
  <c r="A23" i="16" l="1"/>
  <c r="B22" i="16"/>
  <c r="B23" i="16" l="1"/>
  <c r="A24" i="16"/>
  <c r="B24" i="16" l="1"/>
  <c r="A25" i="16"/>
  <c r="A26" i="16" l="1"/>
  <c r="B25" i="16"/>
  <c r="A27" i="16" l="1"/>
  <c r="B26" i="16"/>
  <c r="A28" i="16" l="1"/>
  <c r="B27" i="16"/>
  <c r="B28" i="16" l="1"/>
  <c r="A29" i="16"/>
  <c r="A30" i="16" l="1"/>
  <c r="B29" i="16"/>
  <c r="A31" i="16" l="1"/>
  <c r="B30" i="16"/>
  <c r="A32" i="16" l="1"/>
  <c r="B31" i="16"/>
  <c r="B32" i="16" l="1"/>
  <c r="A33" i="16"/>
  <c r="B33" i="16" l="1"/>
  <c r="A34" i="16"/>
  <c r="A35" i="16" l="1"/>
  <c r="B34" i="16"/>
  <c r="A36" i="16" l="1"/>
  <c r="B35" i="16"/>
  <c r="B36" i="16" l="1"/>
  <c r="A37" i="16"/>
  <c r="B37" i="16" l="1"/>
  <c r="A38" i="16"/>
  <c r="A39" i="16" l="1"/>
  <c r="B38" i="16"/>
  <c r="B39" i="16" l="1"/>
  <c r="A40" i="16"/>
  <c r="B40" i="16" l="1"/>
  <c r="A41" i="16"/>
  <c r="A42" i="16" l="1"/>
  <c r="B41" i="16"/>
  <c r="A43" i="16" l="1"/>
  <c r="B42" i="16"/>
  <c r="A44" i="16" l="1"/>
  <c r="B43" i="16"/>
  <c r="B44" i="16" l="1"/>
  <c r="A45" i="16"/>
  <c r="B45" i="16" l="1"/>
  <c r="A46" i="16"/>
  <c r="A47" i="16" l="1"/>
  <c r="B46" i="16"/>
  <c r="B47" i="16" l="1"/>
  <c r="A48" i="16"/>
  <c r="B48" i="16" l="1"/>
  <c r="A49" i="16"/>
  <c r="B49" i="16" l="1"/>
  <c r="A50" i="16"/>
  <c r="A51" i="16" l="1"/>
  <c r="B51" i="16" s="1"/>
  <c r="B50" i="16"/>
  <c r="B13" i="11" l="1"/>
  <c r="C13" i="11" s="1"/>
  <c r="F23" i="37"/>
  <c r="F22" i="37"/>
  <c r="F21" i="37"/>
  <c r="E21" i="7"/>
  <c r="K21" i="7" s="1"/>
  <c r="N21" i="7" s="1"/>
  <c r="E20" i="7"/>
  <c r="K20" i="7" s="1"/>
  <c r="N20" i="7" s="1"/>
  <c r="N23" i="7" l="1"/>
  <c r="B14" i="11"/>
  <c r="C14" i="11" s="1"/>
  <c r="A4" i="2"/>
  <c r="C6" i="2"/>
  <c r="F13" i="2"/>
  <c r="F14" i="2"/>
  <c r="D22" i="2" l="1"/>
  <c r="D6" i="2"/>
  <c r="E22" i="2"/>
  <c r="F15" i="2"/>
  <c r="B15" i="11"/>
  <c r="C15" i="11" s="1"/>
  <c r="C22" i="2"/>
  <c r="E6" i="2" l="1"/>
  <c r="A3" i="3" l="1"/>
  <c r="B52" i="1"/>
  <c r="A6" i="1"/>
  <c r="B21" i="37" l="1"/>
  <c r="D21" i="37" s="1"/>
  <c r="B22" i="37" l="1"/>
  <c r="D22" i="37" s="1"/>
  <c r="E21" i="37"/>
  <c r="G21" i="37" s="1"/>
  <c r="B23" i="37" l="1"/>
  <c r="E22" i="37"/>
  <c r="G22" i="37" s="1"/>
  <c r="I29" i="36"/>
  <c r="J17" i="36"/>
  <c r="J27" i="36"/>
  <c r="J28" i="36"/>
  <c r="J24" i="36"/>
  <c r="J20" i="36"/>
  <c r="J23" i="36"/>
  <c r="J19" i="36"/>
  <c r="J25" i="36"/>
  <c r="J21" i="36"/>
  <c r="J26" i="36"/>
  <c r="J22" i="36"/>
  <c r="J18" i="36"/>
  <c r="J16" i="36"/>
  <c r="E23" i="37" l="1"/>
  <c r="G23" i="37" s="1"/>
  <c r="D23" i="37"/>
  <c r="K16" i="36"/>
  <c r="K17" i="36" s="1"/>
  <c r="K18" i="36" s="1"/>
  <c r="K19" i="36" s="1"/>
  <c r="K20" i="36" s="1"/>
  <c r="K21" i="36" s="1"/>
  <c r="K22" i="36" s="1"/>
  <c r="K23" i="36" s="1"/>
  <c r="K24" i="36" s="1"/>
  <c r="K25" i="36" s="1"/>
  <c r="K26" i="36" s="1"/>
  <c r="K27" i="36" s="1"/>
  <c r="K28" i="36" s="1"/>
  <c r="J29" i="36"/>
  <c r="H15" i="34"/>
  <c r="B16" i="34"/>
  <c r="D16" i="34" l="1"/>
  <c r="E16" i="34"/>
  <c r="J31" i="36"/>
  <c r="B17" i="34"/>
  <c r="L10" i="11"/>
  <c r="B13" i="10"/>
  <c r="C5" i="10" s="1"/>
  <c r="B12" i="4"/>
  <c r="C12" i="4" s="1"/>
  <c r="B19" i="8"/>
  <c r="O10" i="11" l="1"/>
  <c r="N10" i="11"/>
  <c r="M10" i="11"/>
  <c r="D17" i="34"/>
  <c r="E17" i="34"/>
  <c r="E13" i="10"/>
  <c r="D13" i="10"/>
  <c r="G16" i="34"/>
  <c r="H16" i="34" s="1"/>
  <c r="B14" i="10"/>
  <c r="D14" i="10" s="1"/>
  <c r="B13" i="4"/>
  <c r="B14" i="4" s="1"/>
  <c r="B15" i="4" s="1"/>
  <c r="C19" i="45"/>
  <c r="L11" i="11"/>
  <c r="B18" i="34"/>
  <c r="B20" i="8"/>
  <c r="B19" i="7"/>
  <c r="M11" i="11" l="1"/>
  <c r="N11" i="11"/>
  <c r="O11" i="11"/>
  <c r="E18" i="34"/>
  <c r="D18" i="34"/>
  <c r="G13" i="10"/>
  <c r="H13" i="10" s="1"/>
  <c r="C21" i="45"/>
  <c r="C20" i="45"/>
  <c r="G17" i="34"/>
  <c r="H17" i="34" s="1"/>
  <c r="B15" i="10"/>
  <c r="D15" i="10" s="1"/>
  <c r="E14" i="10"/>
  <c r="F9" i="6"/>
  <c r="D19" i="7"/>
  <c r="L12" i="11"/>
  <c r="B19" i="34"/>
  <c r="B21" i="8"/>
  <c r="N12" i="11" l="1"/>
  <c r="O12" i="11"/>
  <c r="M12" i="11"/>
  <c r="E19" i="34"/>
  <c r="D19" i="34"/>
  <c r="G14" i="10"/>
  <c r="H14" i="10" s="1"/>
  <c r="F10" i="6"/>
  <c r="G18" i="34"/>
  <c r="H18" i="34" s="1"/>
  <c r="B16" i="10"/>
  <c r="D16" i="10" s="1"/>
  <c r="E15" i="10"/>
  <c r="F12" i="6"/>
  <c r="F11" i="6"/>
  <c r="D21" i="7"/>
  <c r="D20" i="7"/>
  <c r="L13" i="11"/>
  <c r="B20" i="34"/>
  <c r="O13" i="11" l="1"/>
  <c r="M13" i="11"/>
  <c r="N13" i="11"/>
  <c r="D20" i="34"/>
  <c r="E20" i="34"/>
  <c r="G15" i="10"/>
  <c r="H15" i="10" s="1"/>
  <c r="G19" i="34"/>
  <c r="H19" i="34" s="1"/>
  <c r="B17" i="10"/>
  <c r="D17" i="10" s="1"/>
  <c r="E16" i="10"/>
  <c r="L14" i="11"/>
  <c r="B21" i="34"/>
  <c r="M14" i="11" l="1"/>
  <c r="N14" i="11"/>
  <c r="O14" i="11"/>
  <c r="E21" i="34"/>
  <c r="D21" i="34"/>
  <c r="G16" i="10"/>
  <c r="H16" i="10" s="1"/>
  <c r="G20" i="34"/>
  <c r="H20" i="34" s="1"/>
  <c r="B18" i="10"/>
  <c r="D18" i="10" s="1"/>
  <c r="E17" i="10"/>
  <c r="L15" i="11"/>
  <c r="B22" i="34"/>
  <c r="M15" i="11" l="1"/>
  <c r="N15" i="11"/>
  <c r="O15" i="11"/>
  <c r="E22" i="34"/>
  <c r="D22" i="34"/>
  <c r="G17" i="10"/>
  <c r="H17" i="10" s="1"/>
  <c r="G21" i="34"/>
  <c r="H21" i="34" s="1"/>
  <c r="B19" i="10"/>
  <c r="D19" i="10" s="1"/>
  <c r="E18" i="10"/>
  <c r="L16" i="11"/>
  <c r="B23" i="34"/>
  <c r="B9" i="6"/>
  <c r="B19" i="6" s="1"/>
  <c r="N16" i="11" l="1"/>
  <c r="O16" i="11"/>
  <c r="M16" i="11"/>
  <c r="E23" i="34"/>
  <c r="D23" i="34"/>
  <c r="G18" i="10"/>
  <c r="H18" i="10" s="1"/>
  <c r="H9" i="6"/>
  <c r="J9" i="6"/>
  <c r="G22" i="34"/>
  <c r="H22" i="34" s="1"/>
  <c r="B20" i="10"/>
  <c r="D20" i="10" s="1"/>
  <c r="E19" i="10"/>
  <c r="L17" i="11"/>
  <c r="B24" i="34"/>
  <c r="B10" i="6"/>
  <c r="O17" i="11" l="1"/>
  <c r="M17" i="11"/>
  <c r="N17" i="11"/>
  <c r="N9" i="6"/>
  <c r="H10" i="6"/>
  <c r="J10" i="6" s="1"/>
  <c r="N10" i="6" s="1"/>
  <c r="B20" i="6"/>
  <c r="D24" i="34"/>
  <c r="E24" i="34"/>
  <c r="G19" i="10"/>
  <c r="H19" i="10" s="1"/>
  <c r="G23" i="34"/>
  <c r="H23" i="34" s="1"/>
  <c r="B21" i="10"/>
  <c r="D21" i="10" s="1"/>
  <c r="E20" i="10"/>
  <c r="L18" i="11"/>
  <c r="B25" i="34"/>
  <c r="B11" i="6"/>
  <c r="I11" i="4"/>
  <c r="M18" i="11" l="1"/>
  <c r="N18" i="11"/>
  <c r="O18" i="11"/>
  <c r="K11" i="4"/>
  <c r="J11" i="4"/>
  <c r="I12" i="4"/>
  <c r="H11" i="6"/>
  <c r="J11" i="6" s="1"/>
  <c r="N11" i="6" s="1"/>
  <c r="B21" i="6"/>
  <c r="E25" i="34"/>
  <c r="D25" i="34"/>
  <c r="G20" i="10"/>
  <c r="H20" i="10" s="1"/>
  <c r="G24" i="34"/>
  <c r="H24" i="34" s="1"/>
  <c r="B22" i="10"/>
  <c r="D22" i="10" s="1"/>
  <c r="E21" i="10"/>
  <c r="H20" i="37"/>
  <c r="L19" i="11"/>
  <c r="B26" i="34"/>
  <c r="B12" i="6"/>
  <c r="B22" i="6" s="1"/>
  <c r="M19" i="11" l="1"/>
  <c r="N19" i="11"/>
  <c r="O19" i="11"/>
  <c r="K12" i="4"/>
  <c r="J12" i="4"/>
  <c r="I13" i="4"/>
  <c r="D26" i="34"/>
  <c r="E26" i="34"/>
  <c r="G21" i="10"/>
  <c r="H21" i="10" s="1"/>
  <c r="J12" i="6"/>
  <c r="J13" i="6" s="1"/>
  <c r="H12" i="6"/>
  <c r="B27" i="34"/>
  <c r="G25" i="34"/>
  <c r="H25" i="34" s="1"/>
  <c r="B23" i="10"/>
  <c r="D23" i="10" s="1"/>
  <c r="E22" i="10"/>
  <c r="H21" i="37"/>
  <c r="L20" i="11"/>
  <c r="K13" i="4" l="1"/>
  <c r="J13" i="4"/>
  <c r="N20" i="11"/>
  <c r="O20" i="11"/>
  <c r="M20" i="11"/>
  <c r="I14" i="4"/>
  <c r="E27" i="34"/>
  <c r="D27" i="34"/>
  <c r="G22" i="10"/>
  <c r="H22" i="10" s="1"/>
  <c r="N12" i="6"/>
  <c r="N13" i="6" s="1"/>
  <c r="G26" i="34"/>
  <c r="H26" i="34" s="1"/>
  <c r="B24" i="10"/>
  <c r="D24" i="10" s="1"/>
  <c r="E23" i="10"/>
  <c r="G25" i="37"/>
  <c r="H22" i="37"/>
  <c r="L21" i="11"/>
  <c r="O21" i="11" l="1"/>
  <c r="M21" i="11"/>
  <c r="N21" i="11"/>
  <c r="K14" i="4"/>
  <c r="J14" i="4"/>
  <c r="I15" i="4"/>
  <c r="J22" i="6"/>
  <c r="D15" i="4" s="1"/>
  <c r="F15" i="4" s="1"/>
  <c r="G23" i="10"/>
  <c r="H23" i="10" s="1"/>
  <c r="G27" i="34"/>
  <c r="G29" i="34" s="1"/>
  <c r="B25" i="10"/>
  <c r="E24" i="10"/>
  <c r="H23" i="37"/>
  <c r="G27" i="37" s="1"/>
  <c r="K15" i="4" l="1"/>
  <c r="J15" i="4"/>
  <c r="I16" i="4"/>
  <c r="E25" i="10"/>
  <c r="D25" i="10"/>
  <c r="D10" i="9"/>
  <c r="G24" i="10"/>
  <c r="H24" i="10" s="1"/>
  <c r="H27" i="34"/>
  <c r="K16" i="4" l="1"/>
  <c r="J16" i="4"/>
  <c r="G31" i="34"/>
  <c r="D11" i="9" s="1"/>
  <c r="I17" i="4"/>
  <c r="G25" i="10"/>
  <c r="G27" i="10" s="1"/>
  <c r="K17" i="4" l="1"/>
  <c r="J17" i="4"/>
  <c r="I18" i="4"/>
  <c r="H25" i="10"/>
  <c r="G29" i="10" s="1"/>
  <c r="K18" i="4" l="1"/>
  <c r="J18" i="4"/>
  <c r="I19" i="4"/>
  <c r="D9" i="9"/>
  <c r="D13" i="9" s="1"/>
  <c r="K19" i="4" l="1"/>
  <c r="J19" i="4"/>
  <c r="I20" i="4"/>
  <c r="K20" i="4" l="1"/>
  <c r="J20" i="4"/>
  <c r="I21" i="4"/>
  <c r="K21" i="4" l="1"/>
  <c r="J21" i="4"/>
  <c r="I22" i="4"/>
  <c r="K22" i="4" l="1"/>
  <c r="J22" i="4"/>
  <c r="F12" i="11"/>
  <c r="F13" i="11"/>
  <c r="H13" i="11" s="1"/>
  <c r="F14" i="11"/>
  <c r="H14" i="11" s="1"/>
  <c r="F15" i="11"/>
  <c r="H15" i="11" s="1"/>
  <c r="I15" i="3"/>
  <c r="K15" i="3" l="1"/>
  <c r="J15" i="3"/>
  <c r="I16" i="3"/>
  <c r="K16" i="3" l="1"/>
  <c r="J16" i="3"/>
  <c r="I17" i="3"/>
  <c r="K17" i="3" l="1"/>
  <c r="J17" i="3"/>
  <c r="I18" i="3"/>
  <c r="K18" i="3" l="1"/>
  <c r="J18" i="3"/>
  <c r="I19" i="3"/>
  <c r="K19" i="3" l="1"/>
  <c r="J19" i="3"/>
  <c r="I20" i="3"/>
  <c r="K20" i="3" l="1"/>
  <c r="J20" i="3"/>
  <c r="I21" i="3"/>
  <c r="K21" i="3" l="1"/>
  <c r="J21" i="3"/>
  <c r="I22" i="3"/>
  <c r="A32" i="33"/>
  <c r="K22" i="3" l="1"/>
  <c r="J22" i="3"/>
  <c r="I23" i="3"/>
  <c r="A33" i="33"/>
  <c r="K23" i="3" l="1"/>
  <c r="J23" i="3"/>
  <c r="I24" i="3"/>
  <c r="A34" i="33"/>
  <c r="K24" i="3" l="1"/>
  <c r="J24" i="3"/>
  <c r="I25" i="3"/>
  <c r="A35" i="33"/>
  <c r="K25" i="3" l="1"/>
  <c r="J25" i="3"/>
  <c r="I26" i="3"/>
  <c r="A36" i="33"/>
  <c r="K26" i="3" l="1"/>
  <c r="J26" i="3"/>
  <c r="A37" i="33"/>
  <c r="A38" i="33" l="1"/>
  <c r="A39" i="33" l="1"/>
  <c r="F22" i="1"/>
  <c r="G22" i="1" s="1"/>
  <c r="A40" i="33" l="1"/>
  <c r="F23" i="1"/>
  <c r="G23" i="1" s="1"/>
  <c r="B20" i="7"/>
  <c r="B21" i="7" s="1"/>
  <c r="A41" i="33" l="1"/>
  <c r="F24" i="1"/>
  <c r="G24" i="1" s="1"/>
  <c r="A42" i="33" l="1"/>
  <c r="F25" i="1"/>
  <c r="G25" i="1" s="1"/>
  <c r="A43" i="33" l="1"/>
  <c r="E14" i="4"/>
  <c r="E13" i="4"/>
  <c r="E12" i="4"/>
  <c r="E16" i="4" l="1"/>
  <c r="A44" i="33"/>
  <c r="O92" i="14"/>
  <c r="K92" i="14"/>
  <c r="K50" i="14"/>
  <c r="K44" i="14"/>
  <c r="K42" i="14"/>
  <c r="K32" i="14"/>
  <c r="K35" i="14"/>
  <c r="K33" i="14"/>
  <c r="K51" i="14" l="1"/>
  <c r="K53" i="14"/>
  <c r="A45" i="33"/>
  <c r="F15" i="3"/>
  <c r="F17" i="3" s="1"/>
  <c r="F38" i="1"/>
  <c r="G41" i="15"/>
  <c r="G42" i="15"/>
  <c r="G43" i="15"/>
  <c r="G44" i="15"/>
  <c r="G47" i="15"/>
  <c r="G48" i="15"/>
  <c r="G49" i="15"/>
  <c r="G50" i="15"/>
  <c r="G51" i="15"/>
  <c r="O26" i="14"/>
  <c r="O32" i="14"/>
  <c r="O59" i="14" s="1"/>
  <c r="O33" i="14"/>
  <c r="O35" i="14"/>
  <c r="A98" i="14"/>
  <c r="A8" i="1"/>
  <c r="O73" i="14" l="1"/>
  <c r="O66" i="14"/>
  <c r="A46" i="33"/>
  <c r="F39" i="1"/>
  <c r="A47" i="33" l="1"/>
  <c r="A48" i="33" s="1"/>
  <c r="F25" i="3"/>
  <c r="F52" i="3"/>
  <c r="F40" i="1"/>
  <c r="A49" i="33" l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F54" i="3"/>
  <c r="F41" i="1"/>
  <c r="P12" i="4" l="1"/>
  <c r="N21" i="4"/>
  <c r="P22" i="4"/>
  <c r="N15" i="4"/>
  <c r="N12" i="4"/>
  <c r="P13" i="4"/>
  <c r="Q13" i="4" s="1"/>
  <c r="N14" i="4"/>
  <c r="O14" i="4" s="1"/>
  <c r="N16" i="4"/>
  <c r="P17" i="4"/>
  <c r="N18" i="4"/>
  <c r="N20" i="4"/>
  <c r="N19" i="4"/>
  <c r="N22" i="4"/>
  <c r="P16" i="4"/>
  <c r="P20" i="4"/>
  <c r="P19" i="4"/>
  <c r="N13" i="4"/>
  <c r="P21" i="4"/>
  <c r="P18" i="4"/>
  <c r="Q18" i="4" s="1"/>
  <c r="P14" i="4"/>
  <c r="P15" i="4"/>
  <c r="N17" i="4"/>
  <c r="O17" i="4" s="1"/>
  <c r="N11" i="4"/>
  <c r="P11" i="4"/>
  <c r="N15" i="3"/>
  <c r="P16" i="3"/>
  <c r="N16" i="3"/>
  <c r="P15" i="3"/>
  <c r="N17" i="3"/>
  <c r="N18" i="3"/>
  <c r="P18" i="3"/>
  <c r="P17" i="3"/>
  <c r="N19" i="3"/>
  <c r="N21" i="3"/>
  <c r="P19" i="3"/>
  <c r="N22" i="3"/>
  <c r="P21" i="3"/>
  <c r="P20" i="3"/>
  <c r="N20" i="3"/>
  <c r="P22" i="3"/>
  <c r="P23" i="3"/>
  <c r="P24" i="3"/>
  <c r="P25" i="3"/>
  <c r="N23" i="3"/>
  <c r="N24" i="3"/>
  <c r="N25" i="3"/>
  <c r="P26" i="3"/>
  <c r="N26" i="3"/>
  <c r="G28" i="15"/>
  <c r="G30" i="15" s="1"/>
  <c r="G28" i="53"/>
  <c r="G30" i="53" s="1"/>
  <c r="C36" i="2"/>
  <c r="E28" i="2"/>
  <c r="E25" i="2"/>
  <c r="E26" i="2" s="1"/>
  <c r="D35" i="2"/>
  <c r="D36" i="2"/>
  <c r="E29" i="2"/>
  <c r="E33" i="2" s="1"/>
  <c r="E35" i="2"/>
  <c r="C29" i="2"/>
  <c r="C33" i="2" s="1"/>
  <c r="C34" i="2" s="1"/>
  <c r="D29" i="2"/>
  <c r="D33" i="2" s="1"/>
  <c r="D25" i="2"/>
  <c r="D26" i="2" s="1"/>
  <c r="C25" i="2"/>
  <c r="C35" i="2"/>
  <c r="D28" i="2"/>
  <c r="C28" i="2"/>
  <c r="E36" i="2"/>
  <c r="O22" i="4"/>
  <c r="Q16" i="4"/>
  <c r="O13" i="4" l="1"/>
  <c r="Q15" i="4"/>
  <c r="O12" i="4"/>
  <c r="Q17" i="4"/>
  <c r="Q12" i="4"/>
  <c r="O21" i="4"/>
  <c r="P23" i="4"/>
  <c r="O18" i="4"/>
  <c r="Q21" i="4"/>
  <c r="N23" i="4"/>
  <c r="O15" i="4"/>
  <c r="Q20" i="4"/>
  <c r="O20" i="4"/>
  <c r="Q14" i="4"/>
  <c r="Q19" i="4"/>
  <c r="O19" i="4"/>
  <c r="O16" i="4"/>
  <c r="Q22" i="4"/>
  <c r="C30" i="2"/>
  <c r="C39" i="2" s="1"/>
  <c r="O24" i="3"/>
  <c r="Q24" i="3"/>
  <c r="Q25" i="3"/>
  <c r="O11" i="4"/>
  <c r="O19" i="3"/>
  <c r="O15" i="3"/>
  <c r="Q21" i="3"/>
  <c r="O17" i="3"/>
  <c r="O21" i="3"/>
  <c r="O23" i="3"/>
  <c r="Q22" i="3"/>
  <c r="Q15" i="3"/>
  <c r="O26" i="3"/>
  <c r="O22" i="3"/>
  <c r="Q11" i="4"/>
  <c r="O25" i="3"/>
  <c r="Q16" i="3"/>
  <c r="O18" i="3"/>
  <c r="Q23" i="3"/>
  <c r="Q20" i="3"/>
  <c r="Q17" i="3"/>
  <c r="Q26" i="3"/>
  <c r="O20" i="3"/>
  <c r="O16" i="3"/>
  <c r="Q19" i="3"/>
  <c r="Q18" i="3"/>
  <c r="P28" i="3"/>
  <c r="E35" i="12"/>
  <c r="E44" i="12"/>
  <c r="E34" i="12"/>
  <c r="L22" i="4"/>
  <c r="L14" i="4"/>
  <c r="L17" i="4"/>
  <c r="L18" i="4"/>
  <c r="L12" i="4"/>
  <c r="E45" i="12"/>
  <c r="L21" i="3"/>
  <c r="L26" i="3"/>
  <c r="P13" i="11"/>
  <c r="L15" i="3"/>
  <c r="E41" i="12"/>
  <c r="D30" i="2"/>
  <c r="D39" i="2" s="1"/>
  <c r="L16" i="4"/>
  <c r="L21" i="4"/>
  <c r="P11" i="11"/>
  <c r="P12" i="11"/>
  <c r="E37" i="12"/>
  <c r="E42" i="12"/>
  <c r="G47" i="12"/>
  <c r="L20" i="4"/>
  <c r="P20" i="11"/>
  <c r="L19" i="4"/>
  <c r="P21" i="11"/>
  <c r="P17" i="11"/>
  <c r="F35" i="2"/>
  <c r="L22" i="3"/>
  <c r="P10" i="11"/>
  <c r="L15" i="4"/>
  <c r="L13" i="4"/>
  <c r="P14" i="11"/>
  <c r="P16" i="11"/>
  <c r="P18" i="11"/>
  <c r="L11" i="4"/>
  <c r="P15" i="11"/>
  <c r="P19" i="11"/>
  <c r="L19" i="3"/>
  <c r="E40" i="12"/>
  <c r="C37" i="2"/>
  <c r="D32" i="2" s="1"/>
  <c r="D34" i="2" s="1"/>
  <c r="D37" i="2" s="1"/>
  <c r="E32" i="2" s="1"/>
  <c r="E34" i="2" s="1"/>
  <c r="E37" i="2" s="1"/>
  <c r="L23" i="3"/>
  <c r="L20" i="3"/>
  <c r="L16" i="3"/>
  <c r="L24" i="3"/>
  <c r="L18" i="3"/>
  <c r="E36" i="12"/>
  <c r="C26" i="2"/>
  <c r="E43" i="12"/>
  <c r="E38" i="12"/>
  <c r="F36" i="2"/>
  <c r="L25" i="3"/>
  <c r="L17" i="3"/>
  <c r="E30" i="2"/>
  <c r="E39" i="2" s="1"/>
  <c r="E39" i="12"/>
  <c r="N25" i="4" l="1"/>
  <c r="E47" i="12"/>
  <c r="L28" i="3"/>
  <c r="F26" i="3" s="1"/>
  <c r="F39" i="2"/>
  <c r="F74" i="2" s="1"/>
  <c r="P23" i="11"/>
  <c r="L25" i="4"/>
  <c r="F30" i="2"/>
  <c r="D15" i="9" l="1"/>
  <c r="D17" i="9" s="1"/>
  <c r="O25" i="4"/>
  <c r="D17" i="12"/>
  <c r="D21" i="12" s="1"/>
  <c r="C17" i="12"/>
  <c r="C21" i="12" s="1"/>
  <c r="D22" i="4"/>
  <c r="G12" i="11"/>
  <c r="H12" i="11" s="1"/>
  <c r="Q28" i="3"/>
  <c r="C23" i="12" l="1"/>
  <c r="J48" i="1"/>
  <c r="D19" i="9"/>
  <c r="K32" i="1" s="1"/>
  <c r="K56" i="1" s="1"/>
  <c r="J32" i="1"/>
  <c r="I15" i="1"/>
  <c r="J38" i="1"/>
  <c r="J42" i="1" s="1"/>
  <c r="J57" i="1" s="1"/>
  <c r="I12" i="11"/>
  <c r="K38" i="1" s="1"/>
  <c r="K42" i="1" s="1"/>
  <c r="K57" i="1" s="1"/>
  <c r="H17" i="11"/>
  <c r="F39" i="3" s="1"/>
  <c r="E21" i="12"/>
  <c r="F27" i="3"/>
  <c r="C66" i="2" s="1"/>
  <c r="F40" i="3"/>
  <c r="D23" i="12"/>
  <c r="K48" i="1" l="1"/>
  <c r="K58" i="1" s="1"/>
  <c r="E17" i="39"/>
  <c r="J58" i="1"/>
  <c r="J56" i="1"/>
  <c r="D17" i="39"/>
  <c r="F38" i="3"/>
  <c r="F41" i="3" s="1"/>
  <c r="M115" i="14" s="1"/>
  <c r="M132" i="14" s="1"/>
  <c r="C42" i="2"/>
  <c r="D66" i="2"/>
  <c r="D42" i="2" s="1"/>
  <c r="C43" i="2"/>
  <c r="E66" i="2"/>
  <c r="E42" i="2" s="1"/>
  <c r="E23" i="12"/>
  <c r="M124" i="14" l="1"/>
  <c r="M118" i="14"/>
  <c r="M126" i="14"/>
  <c r="M123" i="14"/>
  <c r="M129" i="14"/>
  <c r="E43" i="2"/>
  <c r="E44" i="2" s="1"/>
  <c r="M116" i="14"/>
  <c r="D43" i="2"/>
  <c r="D44" i="2" s="1"/>
  <c r="C44" i="2"/>
  <c r="C48" i="2" s="1"/>
  <c r="C51" i="2" s="1"/>
  <c r="C70" i="2" s="1"/>
  <c r="C52" i="2" s="1"/>
  <c r="F15" i="39"/>
  <c r="C13" i="4" l="1"/>
  <c r="C14" i="4" s="1"/>
  <c r="C25" i="10" l="1"/>
  <c r="F21" i="6" l="1"/>
  <c r="J21" i="6" s="1"/>
  <c r="D14" i="4" s="1"/>
  <c r="F20" i="6"/>
  <c r="F23" i="6" l="1"/>
  <c r="J20" i="6"/>
  <c r="D13" i="4" s="1"/>
  <c r="F13" i="4" s="1"/>
  <c r="J19" i="6"/>
  <c r="J23" i="6" l="1"/>
  <c r="D12" i="4"/>
  <c r="D16" i="4" s="1"/>
  <c r="F14" i="4"/>
  <c r="F12" i="4" l="1"/>
  <c r="F16" i="4" l="1"/>
  <c r="D18" i="4" s="1"/>
  <c r="D24" i="4" s="1"/>
  <c r="J22" i="1" l="1"/>
  <c r="J26" i="1" s="1"/>
  <c r="D25" i="4"/>
  <c r="K22" i="1" s="1"/>
  <c r="K26" i="1" s="1"/>
  <c r="K55" i="1" s="1"/>
  <c r="C53" i="2"/>
  <c r="J55" i="1" l="1"/>
  <c r="F17" i="39"/>
  <c r="C54" i="2"/>
  <c r="C57" i="2"/>
  <c r="C58" i="2" s="1"/>
  <c r="C71" i="2" s="1"/>
  <c r="C59" i="2" s="1"/>
  <c r="C60" i="2" l="1"/>
  <c r="C61" i="2" l="1"/>
  <c r="D56" i="2" s="1"/>
  <c r="C63" i="2"/>
  <c r="D49" i="2"/>
  <c r="D50" i="2"/>
  <c r="D45" i="2"/>
  <c r="D48" i="2" s="1"/>
  <c r="D51" i="2" l="1"/>
  <c r="D70" i="2" l="1"/>
  <c r="D53" i="2" l="1"/>
  <c r="D52" i="2"/>
  <c r="D54" i="2" l="1"/>
  <c r="D57" i="2"/>
  <c r="D58" i="2" s="1"/>
  <c r="D71" i="2" l="1"/>
  <c r="D60" i="2" l="1"/>
  <c r="D59" i="2"/>
  <c r="D61" i="2" l="1"/>
  <c r="E56" i="2" s="1"/>
  <c r="D63" i="2"/>
  <c r="E50" i="2"/>
  <c r="F50" i="2" s="1"/>
  <c r="E49" i="2"/>
  <c r="F49" i="2" s="1"/>
  <c r="E45" i="2"/>
  <c r="E48" i="2" s="1"/>
  <c r="F48" i="2" l="1"/>
  <c r="E51" i="2"/>
  <c r="F51" i="2" l="1"/>
  <c r="E70" i="2"/>
  <c r="E53" i="2" l="1"/>
  <c r="E52" i="2"/>
  <c r="F52" i="2" l="1"/>
  <c r="E54" i="2"/>
  <c r="E57" i="2"/>
  <c r="E58" i="2" s="1"/>
  <c r="F53" i="2"/>
  <c r="E71" i="2" l="1"/>
  <c r="F54" i="2"/>
  <c r="E59" i="2" l="1"/>
  <c r="E60" i="2"/>
  <c r="F60" i="2" s="1"/>
  <c r="F59" i="2" l="1"/>
  <c r="F63" i="2" s="1"/>
  <c r="E61" i="2"/>
  <c r="E63" i="2"/>
  <c r="F77" i="2" l="1"/>
  <c r="I14" i="1"/>
  <c r="K16" i="1" l="1"/>
  <c r="K54" i="1" s="1"/>
  <c r="K59" i="1" s="1"/>
  <c r="J16" i="1"/>
  <c r="J54" i="1" s="1"/>
  <c r="J59" i="1" s="1"/>
  <c r="M17" i="14" l="1"/>
  <c r="S17" i="14" s="1"/>
  <c r="M35" i="14" l="1"/>
  <c r="S35" i="14" s="1"/>
  <c r="M85" i="14"/>
  <c r="S85" i="14" s="1"/>
  <c r="M33" i="14"/>
  <c r="S33" i="14" s="1"/>
  <c r="M24" i="14"/>
  <c r="S24" i="14" s="1"/>
  <c r="M23" i="14"/>
  <c r="S23" i="14" s="1"/>
  <c r="M32" i="14"/>
  <c r="S32" i="14" s="1"/>
  <c r="M26" i="14"/>
  <c r="S26" i="14" s="1"/>
  <c r="M51" i="14"/>
  <c r="S51" i="14" s="1"/>
  <c r="M42" i="14"/>
  <c r="S42" i="14" s="1"/>
  <c r="M92" i="14"/>
  <c r="S92" i="14" s="1"/>
  <c r="M53" i="14"/>
  <c r="M59" i="14" s="1"/>
  <c r="S59" i="14" s="1"/>
  <c r="M41" i="14"/>
  <c r="S41" i="14" s="1"/>
  <c r="M44" i="14"/>
  <c r="S44" i="14" s="1"/>
  <c r="M50" i="14"/>
  <c r="S50" i="14" s="1"/>
  <c r="S53" i="14" l="1"/>
  <c r="M73" i="14"/>
  <c r="S73" i="14" s="1"/>
  <c r="M66" i="14"/>
  <c r="S66" i="14" s="1"/>
</calcChain>
</file>

<file path=xl/sharedStrings.xml><?xml version="1.0" encoding="utf-8"?>
<sst xmlns="http://schemas.openxmlformats.org/spreadsheetml/2006/main" count="1148" uniqueCount="628">
  <si>
    <t>Case Number</t>
  </si>
  <si>
    <t>(Case No. 2008-00430)</t>
  </si>
  <si>
    <t>(Case No. 2009-00140)</t>
  </si>
  <si>
    <t>(Case No. 2008-00564)</t>
  </si>
  <si>
    <t xml:space="preserve">          ALL CCF</t>
  </si>
  <si>
    <t>LOUISVILLE GAS AND ELECTRIC COMPANY</t>
  </si>
  <si>
    <t>Derivation of Gas Supply Component Applicable to</t>
  </si>
  <si>
    <t>Gas Supply Cost - See Exhibit A for Detail</t>
  </si>
  <si>
    <t>Unit</t>
  </si>
  <si>
    <t>Total Expected Gas Supply Cost</t>
  </si>
  <si>
    <t>$</t>
  </si>
  <si>
    <t>Mcf</t>
  </si>
  <si>
    <t>$/Mcf</t>
  </si>
  <si>
    <t>Gas Cost Actual Adjustment  (GCAA) - See Exhibit B for Detail</t>
  </si>
  <si>
    <t>Current Quarter Actual Adjustment</t>
  </si>
  <si>
    <t>Previous Quarter Actual Adjustment</t>
  </si>
  <si>
    <t>2nd Previous Qrt. Actual Adjustment</t>
  </si>
  <si>
    <t>3rd Previous Qrt. Actual Adjustment</t>
  </si>
  <si>
    <t xml:space="preserve">   Total Gas Cost Actual Adjustment  (GCAA)</t>
  </si>
  <si>
    <t>Gas Cost Balance Adjustment (GCBA) - See Exhibit C for Detail</t>
  </si>
  <si>
    <t>Refund Factors  (RF) - See Exhibit D for Detail</t>
  </si>
  <si>
    <t xml:space="preserve">   Total Refund Factors Per 100 Cubic Feet</t>
  </si>
  <si>
    <t>Performance-Based Rate Recovery Component  (PBRRC) - See Exhibit E for Detail</t>
  </si>
  <si>
    <t>Gas Supply Cost</t>
  </si>
  <si>
    <t>Gas Cost Actual Adjustment  (GCAA)</t>
  </si>
  <si>
    <t>Gas Cost Balance Adjustment  (GCBA)</t>
  </si>
  <si>
    <t>Refund Factors  (RF)</t>
  </si>
  <si>
    <t>Perfomance-Based Rate Recovery Component (PBRRC)</t>
  </si>
  <si>
    <t xml:space="preserve">   Total Gas Supply Cost Component  (GSCC)</t>
  </si>
  <si>
    <t>LOUISVILLE  GAS  AND  ELECTRIC  COMPANY</t>
  </si>
  <si>
    <t>Total</t>
  </si>
  <si>
    <t>MMBtu</t>
  </si>
  <si>
    <t>Total MMBtu Purchased</t>
  </si>
  <si>
    <t xml:space="preserve">    Plus:  Withdrawals from Texas Gas' NNS Storage Service</t>
  </si>
  <si>
    <t xml:space="preserve">    Less:  Injections into Texas Gas' NNS Storage Service</t>
  </si>
  <si>
    <t>Expected Monthly Deliveries from TGT/TGPL to LG&amp;E</t>
  </si>
  <si>
    <t xml:space="preserve"> Mcf </t>
  </si>
  <si>
    <t>Total Purchases in Mcf</t>
  </si>
  <si>
    <t>(Case No. 2007-00559)</t>
  </si>
  <si>
    <t xml:space="preserve">     Plus:  Withdrawals from Texas Gas' NNS Storage Service</t>
  </si>
  <si>
    <t xml:space="preserve">     Less:  Injections Texas Gas' NNS Storage Service</t>
  </si>
  <si>
    <t xml:space="preserve">    Less:  Purchases for Depts. Other Than Gas Dept.</t>
  </si>
  <si>
    <t xml:space="preserve">    Less:  Purchases Injected into LG&amp;E's Underground Storage</t>
  </si>
  <si>
    <t>LG&amp;E's Storage Inventory - Beginning of Month</t>
  </si>
  <si>
    <t>LG&amp;E's Storage Inventory - Including Injections</t>
  </si>
  <si>
    <t xml:space="preserve">    Less:  Storage Withdrawals from LG&amp;E's Underground Storage</t>
  </si>
  <si>
    <t xml:space="preserve">    Less:  Storage Losses</t>
  </si>
  <si>
    <t>LG&amp;E's Storage Inventory - End of Month</t>
  </si>
  <si>
    <t xml:space="preserve"> Cost </t>
  </si>
  <si>
    <t>Total Purchased Gas Cost</t>
  </si>
  <si>
    <t>Total Cost of Gas Delivered to LG&amp;E</t>
  </si>
  <si>
    <t>Pipeline Deliveries Expensed During Month</t>
  </si>
  <si>
    <t xml:space="preserve">Unit Cost </t>
  </si>
  <si>
    <t>12-Month Average Demand Cost - per Mcf  (see Page 2)</t>
  </si>
  <si>
    <t xml:space="preserve">Gas Supply Cost </t>
  </si>
  <si>
    <t>Total Expected Mcf Deliveries (Sales) to Customers</t>
  </si>
  <si>
    <t xml:space="preserve"> Mcf</t>
  </si>
  <si>
    <t>/ Mcf</t>
  </si>
  <si>
    <t>Long-Term Firm Contracts with Suppliers  (Annualized)</t>
  </si>
  <si>
    <t>Pipeline Supplier's Demand Component Applicable to Billings</t>
  </si>
  <si>
    <t>(1)</t>
  </si>
  <si>
    <t>(2)</t>
  </si>
  <si>
    <t>(3)</t>
  </si>
  <si>
    <t>(4)</t>
  </si>
  <si>
    <t>(5)</t>
  </si>
  <si>
    <t>(6)</t>
  </si>
  <si>
    <t>(7)</t>
  </si>
  <si>
    <t>Gas Supply</t>
  </si>
  <si>
    <t>Monthly $'s</t>
  </si>
  <si>
    <t>UCDI</t>
  </si>
  <si>
    <t>Recovered</t>
  </si>
  <si>
    <t>(Case No. 2008-00246)</t>
  </si>
  <si>
    <t>Case</t>
  </si>
  <si>
    <t>Demand</t>
  </si>
  <si>
    <t>Cash-Out</t>
  </si>
  <si>
    <t>MMBTU</t>
  </si>
  <si>
    <t>UCDI $</t>
  </si>
  <si>
    <t>OFO $</t>
  </si>
  <si>
    <t>Month</t>
  </si>
  <si>
    <t>Number</t>
  </si>
  <si>
    <t>Chrg / Mcf</t>
  </si>
  <si>
    <t>Sales (Mcf)</t>
  </si>
  <si>
    <t>Sales ($)</t>
  </si>
  <si>
    <t>Adjust. (Mcf)</t>
  </si>
  <si>
    <t>Adjust. ($)</t>
  </si>
  <si>
    <t>2000-080-A</t>
  </si>
  <si>
    <t xml:space="preserve">Note:   Should a Customer served under Rate FT under-nominate its monthly gas supply needs, a Cash-Out Sale is made to the Customer.  </t>
  </si>
  <si>
    <t>This sale, which is based upon the cash-out price established in Rate FT, is also flowed through the GCAA as revenue.</t>
  </si>
  <si>
    <t>Note:   Changes in billings of the Cash-out Provision caused by variations in the MMBTU content of the gas are corrected on the following month's bill.</t>
  </si>
  <si>
    <t>Should such change occur as a charge to the customer, such revenue is flowed through the GCAA.</t>
  </si>
  <si>
    <t>MCF</t>
  </si>
  <si>
    <t>DOLLARS</t>
  </si>
  <si>
    <t>Less:</t>
  </si>
  <si>
    <t>Plus:</t>
  </si>
  <si>
    <t>Purchases</t>
  </si>
  <si>
    <t>Cost of Gas</t>
  </si>
  <si>
    <t>for Depts.</t>
  </si>
  <si>
    <t>Injected</t>
  </si>
  <si>
    <t>Withdrawn</t>
  </si>
  <si>
    <t>Purchased</t>
  </si>
  <si>
    <t>other Than</t>
  </si>
  <si>
    <t>Into</t>
  </si>
  <si>
    <t>From</t>
  </si>
  <si>
    <t>Storage</t>
  </si>
  <si>
    <t>Sendout</t>
  </si>
  <si>
    <t>Gas Costs</t>
  </si>
  <si>
    <t>for Non-Gas</t>
  </si>
  <si>
    <t>for OSS</t>
  </si>
  <si>
    <t>Gas Dept.</t>
  </si>
  <si>
    <t>Losses</t>
  </si>
  <si>
    <t>Cost</t>
  </si>
  <si>
    <t>(8)</t>
  </si>
  <si>
    <t>(9)</t>
  </si>
  <si>
    <t>(10)</t>
  </si>
  <si>
    <t>PBRRC</t>
  </si>
  <si>
    <t>See Exhibit C-1, page 2.</t>
  </si>
  <si>
    <t>Case No.</t>
  </si>
  <si>
    <t>Calculation of Refund Factor</t>
  </si>
  <si>
    <t>Commodity</t>
  </si>
  <si>
    <t>Expected Mcf Sales for the</t>
  </si>
  <si>
    <t>12 month period beginning</t>
  </si>
  <si>
    <t>PBRRC factor per Mcf</t>
  </si>
  <si>
    <t>PBRRC factor per Ccf</t>
  </si>
  <si>
    <t>Shareholder Portion of PBR Savings</t>
  </si>
  <si>
    <t>Split between Demand (Fixed) and Commodity (Volumetric) Components</t>
  </si>
  <si>
    <t>Company Share of</t>
  </si>
  <si>
    <t>(CSPBR)</t>
  </si>
  <si>
    <t>Case Reference</t>
  </si>
  <si>
    <t>RATE PER 100 CUBIC FEET</t>
  </si>
  <si>
    <t>DISTRIBUTION</t>
  </si>
  <si>
    <t>GAS SUPPLY</t>
  </si>
  <si>
    <t>DSM COST</t>
  </si>
  <si>
    <t>CHARGE</t>
  </si>
  <si>
    <t>COST</t>
  </si>
  <si>
    <t>COST COMPONENT</t>
  </si>
  <si>
    <t>RECOVERY</t>
  </si>
  <si>
    <t>(PER MONTH)</t>
  </si>
  <si>
    <t xml:space="preserve"> COMPONENT</t>
  </si>
  <si>
    <t>(GSCC)</t>
  </si>
  <si>
    <t>COMPONENT</t>
  </si>
  <si>
    <t>TOTAL</t>
  </si>
  <si>
    <t>RATE RGS - RESIDENTIAL</t>
  </si>
  <si>
    <t>ALL CCF</t>
  </si>
  <si>
    <t>RATE CGS - COMMERCIAL</t>
  </si>
  <si>
    <t>(meter capacity&lt; 5000 CF/HR)</t>
  </si>
  <si>
    <t xml:space="preserve">   APRIL THRU OCTOBER</t>
  </si>
  <si>
    <t>FIRST 1000 CCF/MONTH</t>
  </si>
  <si>
    <t>OVER 1000 CCF/MONTH</t>
  </si>
  <si>
    <t xml:space="preserve">   NOVEMBER THRU MARCH</t>
  </si>
  <si>
    <t>(meter capacity&gt;= 5000 CF/HR)</t>
  </si>
  <si>
    <t>RATE IGS - INDUSTRIAL</t>
  </si>
  <si>
    <t>(meter capacity &lt; 5000 CF/HR)</t>
  </si>
  <si>
    <t>(meter capacity &gt;= 5000 CF/HR)</t>
  </si>
  <si>
    <t>Rate AAGS</t>
  </si>
  <si>
    <t>RATE PER MCF</t>
  </si>
  <si>
    <t>PIPELINE</t>
  </si>
  <si>
    <t>ADMIN.</t>
  </si>
  <si>
    <t>SUPPLIER'S</t>
  </si>
  <si>
    <t>DEMAND</t>
  </si>
  <si>
    <t>FIRST 100 MCF/MONTH</t>
  </si>
  <si>
    <t>OVER 100 MCF/MONTH</t>
  </si>
  <si>
    <t>ALL MCF</t>
  </si>
  <si>
    <t>L G &amp; E</t>
  </si>
  <si>
    <t>Transportation Service:</t>
  </si>
  <si>
    <t xml:space="preserve">  Monthly Transportation Administrative Charge</t>
  </si>
  <si>
    <t xml:space="preserve">  Distribution Charge / Mcf Delivered</t>
  </si>
  <si>
    <t>Ancillary Services:</t>
  </si>
  <si>
    <t xml:space="preserve">  Daily Demand Charge</t>
  </si>
  <si>
    <t xml:space="preserve">  Daily Storage Charge</t>
  </si>
  <si>
    <t xml:space="preserve">  Utilization Charge per Mcf for Daily Balancing</t>
  </si>
  <si>
    <t>Cash-Out Provision for  Monthly Imbalances</t>
  </si>
  <si>
    <t>Percentage to be</t>
  </si>
  <si>
    <t>Mulitplied by</t>
  </si>
  <si>
    <t>Cash-Out Provision for Monthly Imbalances:</t>
  </si>
  <si>
    <t>Where Usage is Greater than Transported Volume - Billing:</t>
  </si>
  <si>
    <t>First 5% or less</t>
  </si>
  <si>
    <t>next 5%</t>
  </si>
  <si>
    <t>&gt; than 20%</t>
  </si>
  <si>
    <t>Where Transported Volume is Greater than Usage - Purchase:</t>
  </si>
  <si>
    <t>(Case No. 2002-00261)</t>
  </si>
  <si>
    <t>(Case No. 2002-00368)</t>
  </si>
  <si>
    <t>(Case No. 2003-00004)</t>
  </si>
  <si>
    <t>(Case No. 2003-00121)</t>
  </si>
  <si>
    <t>(Case No. 2003-00260)</t>
  </si>
  <si>
    <t>(Case No. 2003-00385)</t>
  </si>
  <si>
    <t>(Case No. 2004-00506)</t>
  </si>
  <si>
    <t>(Case No. 2004-00117)</t>
  </si>
  <si>
    <t>(Case No. 2004-00271)</t>
  </si>
  <si>
    <t>(Case No. 2004-00390)</t>
  </si>
  <si>
    <t>(Case No. 2004-00526)</t>
  </si>
  <si>
    <t>(Case No. 2005-00143)</t>
  </si>
  <si>
    <t>(Case No. 2005-00401)</t>
  </si>
  <si>
    <t>(Case No. 2006-00005)</t>
  </si>
  <si>
    <t>(Case No. 2006-00138)</t>
  </si>
  <si>
    <t>(Case No. 2006-00335)</t>
  </si>
  <si>
    <t>Start Date</t>
  </si>
  <si>
    <t>(Case No. 2005-00274)</t>
  </si>
  <si>
    <t>Eff.</t>
  </si>
  <si>
    <t>(Case No. 2000-080-B)</t>
  </si>
  <si>
    <t>(Case No. 2000-080-D)</t>
  </si>
  <si>
    <t>(Case No. 2000-080-G)</t>
  </si>
  <si>
    <t>(Case No. 2000-080-H)</t>
  </si>
  <si>
    <t>(Case No. 2000-080-I)</t>
  </si>
  <si>
    <t>(Case No. 2002-00110)</t>
  </si>
  <si>
    <t>RENDERED FROM</t>
  </si>
  <si>
    <t>PBR Year</t>
  </si>
  <si>
    <t>PBR Effective Date</t>
  </si>
  <si>
    <t>(Case No. 2006-00431)</t>
  </si>
  <si>
    <t>(Case No. 2007-00001)</t>
  </si>
  <si>
    <t>(Case No. 2007-00141)</t>
  </si>
  <si>
    <t>(Case No. 2007-00267)</t>
  </si>
  <si>
    <t>(Case No. 2007-00428)</t>
  </si>
  <si>
    <t>Commodity = Gas Sales Compostion "Sales"</t>
  </si>
  <si>
    <t>Forecast</t>
  </si>
  <si>
    <t>Demand = TS portion of Gas Purchases and End-User transport throughput</t>
  </si>
  <si>
    <t>Gas Supply Clause</t>
  </si>
  <si>
    <t>(Case No. 2008-00117)</t>
  </si>
  <si>
    <t>¢</t>
  </si>
  <si>
    <t>Total Cash Refund Related to Demand</t>
  </si>
  <si>
    <t>Plus Interest on Refundable Amount</t>
  </si>
  <si>
    <t>Expected Refund Obligation Including Interest</t>
  </si>
  <si>
    <t>Expected Mcf Sales for the 12-month Period</t>
  </si>
  <si>
    <t>Check</t>
  </si>
  <si>
    <t>Current Quarter Refund Factor</t>
  </si>
  <si>
    <t>1st Previous Quarter Refund Factor</t>
  </si>
  <si>
    <t>Calculation of Gas Supply Costs</t>
  </si>
  <si>
    <t xml:space="preserve">RATE DGGS - COMMERCIAL &amp; INDUSTRIAL </t>
  </si>
  <si>
    <t>(meter capacity &lt;5000 CF/HR)</t>
  </si>
  <si>
    <t>BASIC SERVICE CHARGE</t>
  </si>
  <si>
    <t>BASIC SERVICE</t>
  </si>
  <si>
    <t>2nd Previous Quarter Refund Factor</t>
  </si>
  <si>
    <t>Back-up Information - Not Included in Filings (Updated Mcfs for filing effective Feb only)</t>
  </si>
  <si>
    <t>3rd Previous Quarter Refund Factor</t>
  </si>
  <si>
    <t>Refund Factor per Mcf ($/Mcf)</t>
  </si>
  <si>
    <t>Customer Delivery Sales Cane Run &amp; Mill Creek</t>
  </si>
  <si>
    <t>Total Customer Delivery Sales</t>
  </si>
  <si>
    <t>2011-00523</t>
  </si>
  <si>
    <t>Rate TS Transport</t>
  </si>
  <si>
    <t>Storage Injections</t>
  </si>
  <si>
    <t>Storage Withdrawals</t>
  </si>
  <si>
    <t>Storage Losses</t>
  </si>
  <si>
    <t>Gas Purchases and End-User Transportation Throughput (Mcf)</t>
  </si>
  <si>
    <t>MTP Gas Supply Composition Forecast (Mcf)</t>
  </si>
  <si>
    <t>Other Depts</t>
  </si>
  <si>
    <t>FORECASTED PURCHASES AND THROUGHPUT</t>
  </si>
  <si>
    <t>Customer Deliveries Sales</t>
  </si>
  <si>
    <t>Customer Deliveries Sales:  Cane Run &amp; Mill Creek</t>
  </si>
  <si>
    <t>Electric Generation: Zorn</t>
  </si>
  <si>
    <t>DO NOT PRINT</t>
  </si>
  <si>
    <t>GCAA Beginning Month</t>
  </si>
  <si>
    <t>Line No.</t>
  </si>
  <si>
    <t>1</t>
  </si>
  <si>
    <t>Annual Demand Costs</t>
  </si>
  <si>
    <t>Average Demand Cost per Mcf</t>
  </si>
  <si>
    <t>Monthly Demand Charge</t>
  </si>
  <si>
    <t xml:space="preserve">No. of Months </t>
  </si>
  <si>
    <t>Texas Gas No-Notice Service (Rate NNS)</t>
  </si>
  <si>
    <t>Pipeline and Rate</t>
  </si>
  <si>
    <t>Design Day Requirements in Mcf (determined in last rate case)</t>
  </si>
  <si>
    <t>Total Annual Demand Costs</t>
  </si>
  <si>
    <t>Daily Demand Charge Component of Utilization Charge</t>
  </si>
  <si>
    <t>PSDC Charge per Mcf</t>
  </si>
  <si>
    <t>First date will pull from input tab, rest are date forumulas</t>
  </si>
  <si>
    <t>PBR Savings or (Expenses)</t>
  </si>
  <si>
    <t>SubTotal</t>
  </si>
  <si>
    <t>Calculation Of Various Demand Charges Applicable</t>
  </si>
  <si>
    <t>2012-00125</t>
  </si>
  <si>
    <t>Period</t>
  </si>
  <si>
    <t>Dollars Recovered Under GSC</t>
  </si>
  <si>
    <t>$ from OSS</t>
  </si>
  <si>
    <t xml:space="preserve">Total $ Recovered </t>
  </si>
  <si>
    <t>(Note 3)</t>
  </si>
  <si>
    <t>Gas Supply Cost per Mcf</t>
  </si>
  <si>
    <t>GCBA Beginning Month</t>
  </si>
  <si>
    <t>Beginning Balance</t>
  </si>
  <si>
    <t>Balance Remaining</t>
  </si>
  <si>
    <t>GCAA/Mcf Factor</t>
  </si>
  <si>
    <t>Sales Applicable to GCAA Recovery</t>
  </si>
  <si>
    <t>(6)=(Beg Bal)+(5)</t>
  </si>
  <si>
    <t>First date will pull from input tab, rest are date formulas</t>
  </si>
  <si>
    <t>RA True Up Beginning Month</t>
  </si>
  <si>
    <t>RA/Mcf Factor</t>
  </si>
  <si>
    <t>TS Transport</t>
  </si>
  <si>
    <t>(Refund)</t>
  </si>
  <si>
    <t>MCF Sales per 4022 Billed Revenue - Gas</t>
  </si>
  <si>
    <t xml:space="preserve">     Gas Sales report volume, minus FT volumes for "MCF Sales"</t>
  </si>
  <si>
    <t xml:space="preserve">     Schedule Transport Customers Rate TS for "MCF TS Transport"</t>
  </si>
  <si>
    <t xml:space="preserve">     Be careful on split months - Be sure to split volumes correctly</t>
  </si>
  <si>
    <t>GSC Rates per Exhibit E</t>
  </si>
  <si>
    <t xml:space="preserve">Factor </t>
  </si>
  <si>
    <t>(Returned)</t>
  </si>
  <si>
    <t>Total Collected/</t>
  </si>
  <si>
    <t>Performance Based Ratemaking Mechanism</t>
  </si>
  <si>
    <t>Transporation Rider TS</t>
  </si>
  <si>
    <t>2011-00402</t>
  </si>
  <si>
    <t>2011-00228</t>
  </si>
  <si>
    <t>2011-00119</t>
  </si>
  <si>
    <t xml:space="preserve">Calculation of Gas Costs Recovered </t>
  </si>
  <si>
    <t xml:space="preserve">Under Company's Gas Supply Clause </t>
  </si>
  <si>
    <t>Calculation of Gas Cost Actual Adjustment</t>
  </si>
  <si>
    <t>Recoveries of Gas Supply Costs</t>
  </si>
  <si>
    <t>Summary of Gas Costs Recovered</t>
  </si>
  <si>
    <t>Under Provisions of Rate FT</t>
  </si>
  <si>
    <t>Sales Applicable to GCBA Recovery</t>
  </si>
  <si>
    <t>GCBA/Mcf Factor</t>
  </si>
  <si>
    <t>Amount Refunded per Month</t>
  </si>
  <si>
    <t>Balance</t>
  </si>
  <si>
    <t>Remaining Balance to Transfer to Exhibit C-1, Page 1 of 3</t>
  </si>
  <si>
    <t>See Exhibit C-1, page 3.</t>
  </si>
  <si>
    <t>Calculation of Quarterly Gas Cost Balance Adjustment</t>
  </si>
  <si>
    <t>Total Remaining (Over)/Under Recovery</t>
  </si>
  <si>
    <t>GCBA Factor Per Mcf</t>
  </si>
  <si>
    <t>GCBA Factor Per Ccf</t>
  </si>
  <si>
    <t>(Over)/Under Recovery</t>
  </si>
  <si>
    <t>Comments</t>
  </si>
  <si>
    <t>Total Gas Supply Cost Per Books</t>
  </si>
  <si>
    <t>Revenue Collected Under the GCBA Factor</t>
  </si>
  <si>
    <t>Calculation of Revenue Collected Under PBR Factor</t>
  </si>
  <si>
    <t>Total Refund Factor</t>
  </si>
  <si>
    <t>(7)=(3)+(6)</t>
  </si>
  <si>
    <t>(8)=(Bal)-(7)</t>
  </si>
  <si>
    <t>GCAA Factor per Mcf</t>
  </si>
  <si>
    <t>Expected Mcf Sales for</t>
  </si>
  <si>
    <t>12-Month Period from Date Implemented</t>
  </si>
  <si>
    <t>GCAA Factor per Ccf</t>
  </si>
  <si>
    <t>Line</t>
  </si>
  <si>
    <t>No.</t>
  </si>
  <si>
    <t>Factor</t>
  </si>
  <si>
    <t>FORECAST DATA</t>
  </si>
  <si>
    <t>2012-00286</t>
  </si>
  <si>
    <t>Mcf Sales for Sales Customers</t>
  </si>
  <si>
    <t>Mcf Sales for TS Customers</t>
  </si>
  <si>
    <t>(7)=(Bal)-(6)</t>
  </si>
  <si>
    <t>Gas Cost True-Up Charge Applicable to Customers</t>
  </si>
  <si>
    <t>Served Under Rate FT and Rider TS-2</t>
  </si>
  <si>
    <t>With Service Elected Effective</t>
  </si>
  <si>
    <t>PBRRC/Mcf</t>
  </si>
  <si>
    <t>Total/Mcf</t>
  </si>
  <si>
    <t>End Date</t>
  </si>
  <si>
    <t>GCAA Case Reference</t>
  </si>
  <si>
    <t>(Case No. 2009-00248)</t>
  </si>
  <si>
    <t>(Case No. 2009-00395)</t>
  </si>
  <si>
    <t>(Case No. 2009-00457)</t>
  </si>
  <si>
    <t>(Case No. 2010-00140)</t>
  </si>
  <si>
    <t>(Case No. 2010-00263)</t>
  </si>
  <si>
    <t>(Case No. 2010-00387)</t>
  </si>
  <si>
    <t>(Case No. 2010-00525)</t>
  </si>
  <si>
    <t>Recovery/</t>
  </si>
  <si>
    <t>Which Compensates for Over- or Under-</t>
  </si>
  <si>
    <t>GSC Effective Date</t>
  </si>
  <si>
    <t>End of 3-Month Period</t>
  </si>
  <si>
    <t>Blue Cells are Inputs</t>
  </si>
  <si>
    <t>Storage Inventory WACOG</t>
  </si>
  <si>
    <t>Recovery Period</t>
  </si>
  <si>
    <t>2012-00446</t>
  </si>
  <si>
    <t>2012-00591</t>
  </si>
  <si>
    <t>PBR True Up Beginning Month</t>
  </si>
  <si>
    <t>From Case No.</t>
  </si>
  <si>
    <t>Recovery/(Refund) per Month</t>
  </si>
  <si>
    <t>Source Information - Not Included in Filings</t>
  </si>
  <si>
    <t>Gas Commodity</t>
  </si>
  <si>
    <t>Portion of Bad</t>
  </si>
  <si>
    <t>Debt Expense</t>
  </si>
  <si>
    <t xml:space="preserve">Supporting Calculations For The </t>
  </si>
  <si>
    <t xml:space="preserve">For the Period </t>
  </si>
  <si>
    <t>2013-00126</t>
  </si>
  <si>
    <t>Mcf Sales Applicable to GCAA Period</t>
  </si>
  <si>
    <t>Amount Refunded</t>
  </si>
  <si>
    <t>Rate TS-2 Transport</t>
  </si>
  <si>
    <t>Prorated</t>
  </si>
  <si>
    <t>(12)</t>
  </si>
  <si>
    <t>Numerical Date</t>
  </si>
  <si>
    <t>Text Date</t>
  </si>
  <si>
    <t>2013-00253</t>
  </si>
  <si>
    <t>Total Mcf Sales for Month</t>
  </si>
  <si>
    <t>(13)</t>
  </si>
  <si>
    <t>Effective Date</t>
  </si>
  <si>
    <t>Recovery</t>
  </si>
  <si>
    <t>Mcf Sales Applicable</t>
  </si>
  <si>
    <t>to PBR Recovery</t>
  </si>
  <si>
    <t>(11)</t>
  </si>
  <si>
    <t>(14)</t>
  </si>
  <si>
    <t>(15)</t>
  </si>
  <si>
    <t>Refund Returned Under RA Factor</t>
  </si>
  <si>
    <t>Tenn. Gas Firm Transportation (Rate FT-A)</t>
  </si>
  <si>
    <t>Total Amount to Transfer to Exhibit B-1, Page 2</t>
  </si>
  <si>
    <t>2013-00361</t>
  </si>
  <si>
    <t>GSC Volumes</t>
  </si>
  <si>
    <t>TS Volumes</t>
  </si>
  <si>
    <t>FT Volumes</t>
  </si>
  <si>
    <t>N/A</t>
  </si>
  <si>
    <t xml:space="preserve"> </t>
  </si>
  <si>
    <t>Prorated GSC Volumes</t>
  </si>
  <si>
    <t>First Half of Month</t>
  </si>
  <si>
    <t>Second Half of Month</t>
  </si>
  <si>
    <t>Prorated TS Volumes</t>
  </si>
  <si>
    <t>Storage Inventory Volume</t>
  </si>
  <si>
    <r>
      <t xml:space="preserve">Total Dollars of Gas Cost Recovered </t>
    </r>
    <r>
      <rPr>
        <vertAlign val="superscript"/>
        <sz val="12"/>
        <rFont val="Times New Roman"/>
        <family val="1"/>
      </rPr>
      <t>1</t>
    </r>
  </si>
  <si>
    <r>
      <t xml:space="preserve">Gas Supply Cost Per Books </t>
    </r>
    <r>
      <rPr>
        <vertAlign val="superscript"/>
        <sz val="12"/>
        <rFont val="Times New Roman"/>
        <family val="1"/>
      </rPr>
      <t>2</t>
    </r>
  </si>
  <si>
    <r>
      <t>1</t>
    </r>
    <r>
      <rPr>
        <sz val="12"/>
        <rFont val="Times New Roman"/>
        <family val="1"/>
      </rPr>
      <t xml:space="preserve"> See Page 2 of this Exhibit.</t>
    </r>
  </si>
  <si>
    <t>Total MCF</t>
  </si>
  <si>
    <t>For Daily Imbalance under Rate FT and Rider PS-FT</t>
  </si>
  <si>
    <t>DSM</t>
  </si>
  <si>
    <t>GLT</t>
  </si>
  <si>
    <t>2013-00486</t>
  </si>
  <si>
    <t>Remaining</t>
  </si>
  <si>
    <t>Calculation of Revenue Collected or Refunded Under GCAA Factor</t>
  </si>
  <si>
    <t>2014-00115</t>
  </si>
  <si>
    <t>See Exhibit A, page 1.</t>
  </si>
  <si>
    <r>
      <t xml:space="preserve">Remaining (Over)/Under Recovery From GCAA </t>
    </r>
    <r>
      <rPr>
        <vertAlign val="superscript"/>
        <sz val="12"/>
        <rFont val="Times New Roman"/>
        <family val="1"/>
      </rPr>
      <t>1</t>
    </r>
  </si>
  <si>
    <r>
      <t xml:space="preserve">Remaining (Over)/Under Recovery From GCBA </t>
    </r>
    <r>
      <rPr>
        <vertAlign val="superscript"/>
        <sz val="12"/>
        <rFont val="Times New Roman"/>
        <family val="1"/>
      </rPr>
      <t>2</t>
    </r>
  </si>
  <si>
    <r>
      <t xml:space="preserve">Remaining (Under)/Over Refund From RA </t>
    </r>
    <r>
      <rPr>
        <vertAlign val="superscript"/>
        <sz val="12"/>
        <rFont val="Times New Roman"/>
        <family val="1"/>
      </rPr>
      <t>3</t>
    </r>
  </si>
  <si>
    <r>
      <t xml:space="preserve">Remaining (Over)/Under Recovery From PBRRC </t>
    </r>
    <r>
      <rPr>
        <vertAlign val="superscript"/>
        <sz val="12"/>
        <rFont val="Times New Roman"/>
        <family val="1"/>
      </rPr>
      <t>4</t>
    </r>
  </si>
  <si>
    <r>
      <t xml:space="preserve">Expected Mcf Sales for 3 Month Period </t>
    </r>
    <r>
      <rPr>
        <vertAlign val="superscript"/>
        <sz val="12"/>
        <rFont val="Times New Roman"/>
        <family val="1"/>
      </rPr>
      <t>5</t>
    </r>
  </si>
  <si>
    <t>2014-00217</t>
  </si>
  <si>
    <t>missing data found and reported in later revised</t>
  </si>
  <si>
    <t>Change in February Filing</t>
  </si>
  <si>
    <t>Update every filing</t>
  </si>
  <si>
    <t xml:space="preserve">report. </t>
  </si>
  <si>
    <t>2014-00348</t>
  </si>
  <si>
    <t>2014-00475</t>
  </si>
  <si>
    <t>Rate FT Gas True-Up</t>
  </si>
  <si>
    <t>Charge Revenue</t>
  </si>
  <si>
    <t>2015-00105</t>
  </si>
  <si>
    <t>(8)=(2)+(3)+(4)+(5)+(6)+(7)</t>
  </si>
  <si>
    <t>(16)=(9)+(10)+(11)+(12)+(13)+(14)+(15)</t>
  </si>
  <si>
    <t>AAGS Interruption Penalty</t>
  </si>
  <si>
    <t>Balance to be transferred to Exhibit C-1, Page 1 of 3</t>
  </si>
  <si>
    <t>Expected  Annual  Deliveries from Pipeline Transporters in Mcf (incl Rider TS-2)</t>
  </si>
  <si>
    <t>Under LG&amp;E's Gas Transportation Service/Standby - Rider TS-2</t>
  </si>
  <si>
    <t xml:space="preserve">    (excluding transportation volumes under LG&amp;E Rider TS-2)</t>
  </si>
  <si>
    <t xml:space="preserve">     Plus:  Customer Transportation Volumes under Rider TS-2</t>
  </si>
  <si>
    <t>Demand Cost - Net of Demand Costs Recovered thru LG&amp;E Rider TS-2</t>
  </si>
  <si>
    <t>RGS Demands</t>
  </si>
  <si>
    <t>CGS Demands</t>
  </si>
  <si>
    <t>IGS Demands</t>
  </si>
  <si>
    <t>GAS LINE TRACKER</t>
  </si>
  <si>
    <t>2015-00218</t>
  </si>
  <si>
    <t>See Exhibit E-1, page 2.  Only done for August filing.</t>
  </si>
  <si>
    <t>Under Provisions of Rider TS-2</t>
  </si>
  <si>
    <t>Rider TS-2 Gas True-Up Charge Revenue</t>
  </si>
  <si>
    <t>MMBtu Adjust. ($)</t>
  </si>
  <si>
    <t>Action Alert $</t>
  </si>
  <si>
    <t>Monthly $'s Recovered Under Rider TS-2</t>
  </si>
  <si>
    <t>PSDC Revenue Collected from TS-2 Customers</t>
  </si>
  <si>
    <t>$ Recovered Under Rate FT</t>
  </si>
  <si>
    <t>[(5)+(7)+(9)+(10)+(11)]</t>
  </si>
  <si>
    <t>AAGS TS-2 Interruption Penalty</t>
  </si>
  <si>
    <t>Mcf  Transported Under Rider TS-2</t>
  </si>
  <si>
    <t>PSDC Per Mcf</t>
  </si>
  <si>
    <r>
      <t>2</t>
    </r>
    <r>
      <rPr>
        <sz val="12"/>
        <rFont val="Times New Roman"/>
        <family val="1"/>
      </rPr>
      <t xml:space="preserve"> See Page 5 of this Exhibit.</t>
    </r>
  </si>
  <si>
    <t>$ Recovered Under Rider TS-2</t>
  </si>
  <si>
    <t>MMBtu Adjust. (Mcf)</t>
  </si>
  <si>
    <t>Cash-Out Sales ($)</t>
  </si>
  <si>
    <t>(13)=(5)+(6)+(8)+(10)+(11)+(12)</t>
  </si>
  <si>
    <t>GCAA/Mcf</t>
  </si>
  <si>
    <t>GCBA/Mcf</t>
  </si>
  <si>
    <t xml:space="preserve">Applicable Components of </t>
  </si>
  <si>
    <t>Refund Factor for Demand Portion of Texas Gas Refund (see Exhibit D-1)</t>
  </si>
  <si>
    <t>Performance Based Rate Recovery Demand Component (see Exhibit E-1)</t>
  </si>
  <si>
    <t>2015-00329</t>
  </si>
  <si>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Current sales included in meter readings for prior month.</t>
    </r>
  </si>
  <si>
    <t>(13)=(9)+(10)+(11)+(12)</t>
  </si>
  <si>
    <t>For information purposes only, volumes will be prorated.</t>
  </si>
  <si>
    <t>Portion of month billed at rate effective this quarter.</t>
  </si>
  <si>
    <t>See Page 3 of this Exhibit.</t>
  </si>
  <si>
    <t>See Page 4 of this Exhibit.</t>
  </si>
  <si>
    <t>Depts.</t>
  </si>
  <si>
    <t>(Gas Dept.)</t>
  </si>
  <si>
    <t xml:space="preserve">Note:   Should a Customer served under Rider TS-2 under-nominate its monthly gas supply needs, a Cash-Out Sale is made to the Customer.  </t>
  </si>
  <si>
    <t>This sale, which is based upon the cash-out price established in Rider TS-2, is also flowed through the GCAA as revenue.</t>
  </si>
  <si>
    <t>(5)=(3)x(4)</t>
  </si>
  <si>
    <t>[(3)x(8)]</t>
  </si>
  <si>
    <t>(6)=(4)x(5)</t>
  </si>
  <si>
    <t>(7) = (5)/(6)</t>
  </si>
  <si>
    <t>(6)=(3+4)x(5)</t>
  </si>
  <si>
    <t>(3)=(1)x(2)</t>
  </si>
  <si>
    <t>(5)=(2)+(3)+(4)</t>
  </si>
  <si>
    <t>(5)=(3)+(4)</t>
  </si>
  <si>
    <t>(9)=[(6)x(7)]+(8)</t>
  </si>
  <si>
    <t>(6)=(5)-(4)</t>
  </si>
  <si>
    <t>Cash-Out Sales (Mcf)</t>
  </si>
  <si>
    <t>2015-00429</t>
  </si>
  <si>
    <t>EFFECTIVE RATES FOR RIDER TS-2 TRANSPORTATION SERVICE</t>
  </si>
  <si>
    <t xml:space="preserve">          ALL MCF</t>
  </si>
  <si>
    <t>RATE PER 1000 CUBIC FEET</t>
  </si>
  <si>
    <t>Rider TS-2</t>
  </si>
  <si>
    <t>Charges in addition to Customer's Retail Rate</t>
  </si>
  <si>
    <t>Transport</t>
  </si>
  <si>
    <t>Min. Annual</t>
  </si>
  <si>
    <t>Pipeline Supplier</t>
  </si>
  <si>
    <t>Gas Cost</t>
  </si>
  <si>
    <t>Action</t>
  </si>
  <si>
    <t xml:space="preserve">Add'l </t>
  </si>
  <si>
    <t>MMBtu Negative</t>
  </si>
  <si>
    <t>MMBtu Positive</t>
  </si>
  <si>
    <t>Cashout Negative</t>
  </si>
  <si>
    <t>Cashout Positive</t>
  </si>
  <si>
    <t>Distribution</t>
  </si>
  <si>
    <t>Gas Line</t>
  </si>
  <si>
    <t>Customer</t>
  </si>
  <si>
    <t>Franchise</t>
  </si>
  <si>
    <t>Admin Chg</t>
  </si>
  <si>
    <t>Distribution Chg</t>
  </si>
  <si>
    <t>Thrshld</t>
  </si>
  <si>
    <t>Demand Comp.</t>
  </si>
  <si>
    <t>True-up</t>
  </si>
  <si>
    <t>Alert</t>
  </si>
  <si>
    <t>Telemetry</t>
  </si>
  <si>
    <t>Trip Chg</t>
  </si>
  <si>
    <t>Amount</t>
  </si>
  <si>
    <t>Charge</t>
  </si>
  <si>
    <t>Tracker</t>
  </si>
  <si>
    <t>Fee</t>
  </si>
  <si>
    <t>Taxes</t>
  </si>
  <si>
    <t>Demand Chrg</t>
  </si>
  <si>
    <t>Storage Chrg</t>
  </si>
  <si>
    <t>MMBTU Adjust</t>
  </si>
  <si>
    <t>MMBTU Negative</t>
  </si>
  <si>
    <t>MMBTU Positive</t>
  </si>
  <si>
    <t>OFO</t>
  </si>
  <si>
    <t>Min Daily</t>
  </si>
  <si>
    <t>ADM</t>
  </si>
  <si>
    <t>True-Up</t>
  </si>
  <si>
    <t>Thrshld MCF</t>
  </si>
  <si>
    <t>Thrshld Amt</t>
  </si>
  <si>
    <t>School Tax</t>
  </si>
  <si>
    <t>State Tax</t>
  </si>
  <si>
    <t>*Cashout</t>
  </si>
  <si>
    <t>NO REFUNDS CURRENTLY</t>
  </si>
  <si>
    <t>Total Amount Recovered/(Refunded) During Period</t>
  </si>
  <si>
    <t xml:space="preserve">Check </t>
  </si>
  <si>
    <t>Expected Gas Supply Transported Under Texas' No-Notice Service (South-to-North)</t>
  </si>
  <si>
    <t>Commodity Cost (per MMBtu) under Texas Gas's No-Notice Service (South-to-North)</t>
  </si>
  <si>
    <t>Expected Gas Supply Transported Under Texas' Rate FT (North-to-South)</t>
  </si>
  <si>
    <t>Commodity Cost (per MMBtu) under Texas Gas's Rate FT (North-to-South)</t>
  </si>
  <si>
    <t>PBR Case Reference</t>
  </si>
  <si>
    <t>2016-00225</t>
  </si>
  <si>
    <t>check calc on forecast</t>
  </si>
  <si>
    <t>Check calc for forecast</t>
  </si>
  <si>
    <t>Expected Gas Supply Transported Under Tenn.'s Rate FT-A (Zone 0-2)</t>
  </si>
  <si>
    <t>Mcf of Gas Supply Expensed during Month  (Line 16 + Line 20 + Line 21)</t>
  </si>
  <si>
    <t>Total Demand Cost - Including Transportation  (Line 13 x Line 44)</t>
  </si>
  <si>
    <t xml:space="preserve">    Less:  Demand Cost Recovered thru Rate TS-2  (Line 12 x Line 44)</t>
  </si>
  <si>
    <t>Commodity Costs - Gas Supply Under NNS (South-to-North) (Line 1 x Line 45)</t>
  </si>
  <si>
    <t xml:space="preserve">    Plus:  Withdrawals from NNS Storage  (Line 5 x Line 45)</t>
  </si>
  <si>
    <t xml:space="preserve">    Less:  Purchases Injected into NNS Storage  (Line 6 x Line 45)</t>
  </si>
  <si>
    <t xml:space="preserve">    Plus:  LG&amp;E Storage Injections  (Line 35 above)</t>
  </si>
  <si>
    <t>Gas Supply Expenses  (Line 36 + Line 40 + Line 41)</t>
  </si>
  <si>
    <t>Average Cost of Deliveries  (Line 33 / Line 11)</t>
  </si>
  <si>
    <t>Average Cost of Inventory - Including Injections (Line 39 / Line 19)</t>
  </si>
  <si>
    <t>Current Gas Supply Cost (Line 43 / Line 50)</t>
  </si>
  <si>
    <t>Texas Gas Firm Transportation (Rate FT)</t>
  </si>
  <si>
    <t>Cash-Out Price as Decribed in Rate FT</t>
  </si>
  <si>
    <t>2016-00353</t>
  </si>
  <si>
    <t>2016-00137</t>
  </si>
  <si>
    <t>2016-00428</t>
  </si>
  <si>
    <t>As Determined in LG&amp;E's Annual PBR Filing</t>
  </si>
  <si>
    <t>Total Expected Monthly Deliveries from TGT/TGPL to LG&amp;E  (Line 11 + Line 12)</t>
  </si>
  <si>
    <t>Mcf Purchases Expensed during Month  (Line 11 - Line 14 - Line 15)</t>
  </si>
  <si>
    <t xml:space="preserve">    Plus:  Storage Injections into LG&amp;E's Underground Storage  (Line 15)</t>
  </si>
  <si>
    <t>Commodity Costs - Gas Supply Under Rate FT (North-to-South) (Line 2 x Line 46)</t>
  </si>
  <si>
    <t xml:space="preserve">    Less:  Purchases for Depts. Other Than Gas Dept.(Line 14 x Line 48)</t>
  </si>
  <si>
    <t xml:space="preserve">    Less:  Purchases Injected into LG&amp;E's Storage  (Line 15 x Line 48)</t>
  </si>
  <si>
    <t xml:space="preserve">    Less:  LG&amp;E Storage Withdrawals  (Line 20 x Line 49)</t>
  </si>
  <si>
    <t xml:space="preserve">    Less:  LG&amp;E Storage Losses  (Line 21 x Line 49)</t>
  </si>
  <si>
    <t>Total Annual Demand Costs (Line 5)</t>
  </si>
  <si>
    <t>Average Demand Cost (Line 8)</t>
  </si>
  <si>
    <t>Commodity Cost (per MMBtu) under Tenn. Gas's Rate FT-A (Zone 0-2)</t>
  </si>
  <si>
    <t>Commodity Costs - Gas Supply Under Rate FT-A (Zone 0-2) (Line 3 x Line 47)</t>
  </si>
  <si>
    <t>Average Demand Cost per Mcf (Line 6 / Line 7)</t>
  </si>
  <si>
    <t>UCDI Charge (Line 13/Line 14/365 days)</t>
  </si>
  <si>
    <t>2017-00131</t>
  </si>
  <si>
    <t>CHANGES EVERY YEAR - USUALLY IN JULY OR AUGUST - ASK GAS SUPPLY FOR SEGMENT IN EXCEL</t>
  </si>
  <si>
    <t>2017-00235</t>
  </si>
  <si>
    <t>Intra Company</t>
  </si>
  <si>
    <t>PROJECTS</t>
  </si>
  <si>
    <t>TRANSMISSION</t>
  </si>
  <si>
    <t xml:space="preserve">  Gas Line Tracker Transmission Projects / Mcf Delivered</t>
  </si>
  <si>
    <t>Rate DGGS</t>
  </si>
  <si>
    <t>Delivery Service</t>
  </si>
  <si>
    <t xml:space="preserve">  Basic Service Charge</t>
  </si>
  <si>
    <t>Cash-Out Price as Decribed in Rate LGDS</t>
  </si>
  <si>
    <t xml:space="preserve">  Demand Charge / Mcf Delivered</t>
  </si>
  <si>
    <t xml:space="preserve">          MONTHLY BILLING DEMAND</t>
  </si>
  <si>
    <t>RATE SGSS - COMMERCIAL</t>
  </si>
  <si>
    <t>RATE SGSS - INDUSTRIAL</t>
  </si>
  <si>
    <t>Where Usage is Greater than Delivered Volume - Billing:</t>
  </si>
  <si>
    <t>Where Delivered Volume is Greater than Usage - Purchase:</t>
  </si>
  <si>
    <t>2017-00364</t>
  </si>
  <si>
    <t>XM Charge</t>
  </si>
  <si>
    <t>February 1, 2018</t>
  </si>
  <si>
    <t>2017-00457</t>
  </si>
  <si>
    <t>2018-00088</t>
  </si>
  <si>
    <r>
      <t>GAS SERVICE RATES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EFFECTIVE WITH SERVICE</t>
    </r>
  </si>
  <si>
    <t>_____________________________________________________________________________________</t>
  </si>
  <si>
    <t>$/Ccf</t>
  </si>
  <si>
    <t xml:space="preserve">   Gas Supply Cost</t>
  </si>
  <si>
    <t xml:space="preserve">   Gas Cost Balance Adjustment  (GCBA)</t>
  </si>
  <si>
    <t>Refund Factor per Ccf ($/Ccf)</t>
  </si>
  <si>
    <t xml:space="preserve">   Description</t>
  </si>
  <si>
    <t xml:space="preserve">   Performance-Based Rate Recovery Component  (PBRRC) </t>
  </si>
  <si>
    <t>2018-00182</t>
  </si>
  <si>
    <t>TCJA</t>
  </si>
  <si>
    <t>Surcredit</t>
  </si>
  <si>
    <t>Trans Chrg</t>
  </si>
  <si>
    <t>Charges for Gas Delivery Services Provided Under Rate LGDS</t>
  </si>
  <si>
    <t>Charges for Gas Transportation Services Provided Under Rate FT</t>
  </si>
  <si>
    <t>2018-00302</t>
  </si>
  <si>
    <t>Source: Natural Gas Forecast Forecast</t>
  </si>
  <si>
    <t>BTU Adjustment from forecast</t>
  </si>
  <si>
    <t>Updated in November filing</t>
  </si>
  <si>
    <t>Updated in November filing (new forecast)</t>
  </si>
  <si>
    <t>LAUFG Adjustment</t>
  </si>
  <si>
    <t>See Exhibit D.  LG&amp;E is not receiving any pipeline refunds at this time.</t>
  </si>
  <si>
    <t>Change in February effective filing</t>
  </si>
  <si>
    <t>Prepare Exhibit E in August effective filing</t>
  </si>
  <si>
    <t>February 1, 2019</t>
  </si>
  <si>
    <t>Source: August 2018 Forecast</t>
  </si>
  <si>
    <t>2018-00403</t>
  </si>
  <si>
    <t>2019-00078</t>
  </si>
  <si>
    <t>August 1, 2019</t>
  </si>
  <si>
    <t>October 31, 2019</t>
  </si>
  <si>
    <t>(PER DAY)</t>
  </si>
  <si>
    <t>2018 Rate Case</t>
  </si>
  <si>
    <t>2019-00179</t>
  </si>
  <si>
    <t>PDF OF REDACTED SUPPLIER DATA</t>
  </si>
  <si>
    <t>GAS SERVICE RATES EFFECTIVE WITH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</si>
</sst>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_)"/>
    <numFmt numFmtId="165" formatCode="#,##0.000_);\(#,##0.000\)"/>
    <numFmt numFmtId="166" formatCode="#,##0.0000_);\(#,##0.0000\)"/>
    <numFmt numFmtId="167" formatCode="General_)"/>
    <numFmt numFmtId="168" formatCode="#,##0.00000_);\(#,##0.00000\)"/>
    <numFmt numFmtId="169" formatCode="0.00000"/>
    <numFmt numFmtId="170" formatCode="0.000_);\(0.000\)"/>
    <numFmt numFmtId="171" formatCode="0.0000_);\(0.0000\)"/>
    <numFmt numFmtId="172" formatCode="_(* #,##0.000_);_(* \(#,##0.000\);_(* &quot;-&quot;??_);_(@_)"/>
    <numFmt numFmtId="173" formatCode="&quot;$&quot;#,##0.0000_);\(&quot;$&quot;#,##0.0000\)"/>
    <numFmt numFmtId="174" formatCode="&quot;$&quot;#,##0.00"/>
    <numFmt numFmtId="175" formatCode="&quot;$&quot;#,##0.00000_);\(&quot;$&quot;#,##0.00000\)"/>
    <numFmt numFmtId="176" formatCode="_(* #,##0.0_);_(* \(#,##0.0\);_(* &quot;-&quot;??_);_(@_)"/>
    <numFmt numFmtId="177" formatCode="_(* #,##0_);_(* \(#,##0\);_(* &quot;-&quot;??_);_(@_)"/>
    <numFmt numFmtId="178" formatCode="&quot;$&quot;#,##0.0000"/>
    <numFmt numFmtId="179" formatCode="_(&quot;$&quot;* #,##0.0000_);_(&quot;$&quot;* \(#,##0.0000\);_(&quot;$&quot;* &quot;-&quot;??_);_(@_)"/>
    <numFmt numFmtId="180" formatCode="0_);\(0\)"/>
    <numFmt numFmtId="181" formatCode="[$-409]mmmm\ d\,\ yyyy;@"/>
    <numFmt numFmtId="182" formatCode="mmmm\ d\,\ yyyy"/>
    <numFmt numFmtId="183" formatCode="#,##0.0_);\(#,##0.0\)"/>
    <numFmt numFmtId="184" formatCode="&quot;$&quot;#,##0.00000"/>
    <numFmt numFmtId="185" formatCode="mmm\-yyyy"/>
    <numFmt numFmtId="186" formatCode="m/d/yy;@"/>
    <numFmt numFmtId="187" formatCode="[$-409]mmm\-yy;@"/>
    <numFmt numFmtId="188" formatCode="_(&quot;$&quot;* #,##0.00000_);_(&quot;$&quot;* \(#,##0.00000\);_(&quot;$&quot;* &quot;-&quot;??_);_(@_)"/>
    <numFmt numFmtId="189" formatCode="0.0000"/>
    <numFmt numFmtId="190" formatCode="_(* #,##0.000000_);_(* \(#,##0.000000\);_(* &quot;-&quot;??_);_(@_)"/>
    <numFmt numFmtId="191" formatCode="_(* #,##0.00000_);_(* \(#,##0.00000\);_(* &quot;-&quot;??_);_(@_)"/>
    <numFmt numFmtId="192" formatCode="[$-409]mmmm\-yy;@"/>
    <numFmt numFmtId="193" formatCode="&quot;$&quot;#,##0.0000_);[Red]\(&quot;$&quot;#,##0.0000\)"/>
    <numFmt numFmtId="194" formatCode="mmm\-yy_)"/>
    <numFmt numFmtId="195" formatCode="_(* #,##0.0_);_(* \(#,##0.0\);_(* &quot;-&quot;?_);_(@_)"/>
    <numFmt numFmtId="196" formatCode="#,##0.0"/>
    <numFmt numFmtId="197" formatCode="&quot;$&quot;#,##0"/>
    <numFmt numFmtId="198" formatCode="#,##0.000000_);\(#,##0.000000\)"/>
    <numFmt numFmtId="199" formatCode="_(* #,##0.0_);_(* \(#,##0.0\);_(* &quot;0&quot;_);_(@_)"/>
    <numFmt numFmtId="200" formatCode="0.00000_)"/>
    <numFmt numFmtId="201" formatCode="_(* #,##0.0000_);_(* \(#,##0.0000\);_(* &quot;-&quot;??_);_(@_)"/>
    <numFmt numFmtId="202" formatCode="0.00000_);\(0.00000\)"/>
  </numFmts>
  <fonts count="35" x14ac:knownFonts="1">
    <font>
      <sz val="12"/>
      <name val="Helv"/>
    </font>
    <font>
      <sz val="10"/>
      <name val="Arial"/>
      <family val="2"/>
    </font>
    <font>
      <sz val="8"/>
      <name val="Helv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sz val="12"/>
      <name val="Helv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u/>
      <sz val="1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rgb="FF002060"/>
      <name val="Times New Roman"/>
      <family val="1"/>
    </font>
    <font>
      <sz val="12"/>
      <color rgb="FF002060"/>
      <name val="Times New Roman"/>
      <family val="1"/>
    </font>
    <font>
      <sz val="11"/>
      <color theme="0"/>
      <name val="Calibri"/>
      <family val="2"/>
      <scheme val="minor"/>
    </font>
    <font>
      <b/>
      <u/>
      <sz val="14"/>
      <name val="Times New Roman"/>
      <family val="1"/>
    </font>
    <font>
      <u/>
      <sz val="14"/>
      <name val="Times New Roman"/>
      <family val="1"/>
    </font>
    <font>
      <b/>
      <u/>
      <sz val="11"/>
      <name val="Times New Roman"/>
      <family val="1"/>
    </font>
    <font>
      <vertAlign val="superscript"/>
      <sz val="12"/>
      <name val="Times New Roman"/>
      <family val="1"/>
    </font>
    <font>
      <sz val="10"/>
      <color indexed="12"/>
      <name val="Times New Roman"/>
      <family val="1"/>
    </font>
    <font>
      <b/>
      <sz val="18"/>
      <name val="Times New Roman"/>
      <family val="1"/>
    </font>
    <font>
      <u val="double"/>
      <sz val="12"/>
      <name val="Times New Roman"/>
      <family val="1"/>
    </font>
    <font>
      <i/>
      <sz val="12"/>
      <name val="Times New Roman"/>
      <family val="1"/>
    </font>
    <font>
      <b/>
      <sz val="20"/>
      <name val="Times New Roman"/>
      <family val="1"/>
    </font>
    <font>
      <b/>
      <u val="double"/>
      <sz val="14"/>
      <name val="Times New Roman"/>
      <family val="1"/>
    </font>
    <font>
      <b/>
      <vertAlign val="superscript"/>
      <sz val="12"/>
      <name val="Times New Roman"/>
      <family val="1"/>
    </font>
    <font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7">
    <xf numFmtId="167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2" fillId="2" borderId="0" applyNumberFormat="0" applyBorder="0" applyAlignment="0" applyProtection="0"/>
  </cellStyleXfs>
  <cellXfs count="626">
    <xf numFmtId="167" fontId="0" fillId="0" borderId="0" xfId="0"/>
    <xf numFmtId="167" fontId="3" fillId="0" borderId="0" xfId="0" applyFont="1" applyFill="1"/>
    <xf numFmtId="167" fontId="4" fillId="0" borderId="0" xfId="0" applyFont="1" applyFill="1"/>
    <xf numFmtId="167" fontId="5" fillId="0" borderId="0" xfId="0" applyFont="1" applyFill="1"/>
    <xf numFmtId="0" fontId="5" fillId="0" borderId="0" xfId="3" applyFont="1" applyFill="1"/>
    <xf numFmtId="37" fontId="5" fillId="0" borderId="0" xfId="4" applyNumberFormat="1" applyFont="1" applyFill="1" applyAlignment="1"/>
    <xf numFmtId="167" fontId="5" fillId="0" borderId="0" xfId="0" applyFont="1"/>
    <xf numFmtId="186" fontId="5" fillId="0" borderId="0" xfId="0" applyNumberFormat="1" applyFont="1"/>
    <xf numFmtId="0" fontId="4" fillId="0" borderId="0" xfId="3" applyFont="1" applyFill="1"/>
    <xf numFmtId="0" fontId="10" fillId="0" borderId="0" xfId="3" applyFont="1" applyFill="1"/>
    <xf numFmtId="0" fontId="13" fillId="0" borderId="0" xfId="3" applyFont="1" applyFill="1"/>
    <xf numFmtId="167" fontId="5" fillId="0" borderId="0" xfId="0" quotePrefix="1" applyFont="1" applyFill="1" applyAlignment="1">
      <alignment horizontal="left"/>
    </xf>
    <xf numFmtId="167" fontId="10" fillId="0" borderId="0" xfId="0" applyFont="1" applyFill="1" applyProtection="1">
      <protection locked="0"/>
    </xf>
    <xf numFmtId="167" fontId="5" fillId="0" borderId="0" xfId="0" applyFont="1" applyFill="1" applyAlignment="1">
      <alignment horizontal="left"/>
    </xf>
    <xf numFmtId="169" fontId="5" fillId="0" borderId="0" xfId="0" applyNumberFormat="1" applyFont="1" applyFill="1"/>
    <xf numFmtId="167" fontId="7" fillId="0" borderId="0" xfId="0" applyFont="1" applyFill="1"/>
    <xf numFmtId="0" fontId="9" fillId="0" borderId="0" xfId="3" applyFont="1" applyFill="1" applyAlignment="1">
      <alignment horizontal="centerContinuous"/>
    </xf>
    <xf numFmtId="7" fontId="5" fillId="0" borderId="0" xfId="3" applyNumberFormat="1" applyFont="1" applyFill="1" applyBorder="1" applyProtection="1"/>
    <xf numFmtId="44" fontId="5" fillId="0" borderId="0" xfId="2" applyFont="1" applyFill="1"/>
    <xf numFmtId="174" fontId="7" fillId="0" borderId="0" xfId="1" applyNumberFormat="1" applyFont="1" applyFill="1" applyBorder="1" applyProtection="1"/>
    <xf numFmtId="168" fontId="4" fillId="0" borderId="0" xfId="3" applyNumberFormat="1" applyFont="1" applyFill="1" applyProtection="1"/>
    <xf numFmtId="44" fontId="4" fillId="0" borderId="0" xfId="2" applyFont="1" applyFill="1"/>
    <xf numFmtId="44" fontId="4" fillId="0" borderId="0" xfId="3" applyNumberFormat="1" applyFont="1" applyFill="1"/>
    <xf numFmtId="177" fontId="3" fillId="0" borderId="0" xfId="1" applyNumberFormat="1" applyFont="1" applyFill="1"/>
    <xf numFmtId="37" fontId="7" fillId="0" borderId="0" xfId="4" applyNumberFormat="1" applyFont="1" applyFill="1" applyAlignment="1"/>
    <xf numFmtId="167" fontId="17" fillId="0" borderId="0" xfId="0" applyFont="1"/>
    <xf numFmtId="167" fontId="19" fillId="0" borderId="0" xfId="0" applyFont="1"/>
    <xf numFmtId="167" fontId="17" fillId="0" borderId="0" xfId="0" applyFont="1" applyAlignment="1">
      <alignment horizontal="left"/>
    </xf>
    <xf numFmtId="167" fontId="17" fillId="0" borderId="0" xfId="0" applyFont="1" applyAlignment="1">
      <alignment horizontal="center"/>
    </xf>
    <xf numFmtId="167" fontId="5" fillId="0" borderId="7" xfId="0" applyFont="1" applyFill="1" applyBorder="1"/>
    <xf numFmtId="167" fontId="5" fillId="0" borderId="0" xfId="0" applyFont="1" applyFill="1" applyBorder="1"/>
    <xf numFmtId="0" fontId="20" fillId="0" borderId="0" xfId="5" applyFont="1" applyFill="1"/>
    <xf numFmtId="165" fontId="11" fillId="0" borderId="0" xfId="0" applyNumberFormat="1" applyFont="1" applyFill="1" applyBorder="1" applyProtection="1"/>
    <xf numFmtId="0" fontId="5" fillId="0" borderId="0" xfId="5" applyFont="1" applyFill="1"/>
    <xf numFmtId="0" fontId="5" fillId="0" borderId="0" xfId="5" applyFont="1" applyFill="1" applyAlignment="1">
      <alignment horizontal="right"/>
    </xf>
    <xf numFmtId="0" fontId="3" fillId="0" borderId="0" xfId="5" applyFont="1" applyFill="1"/>
    <xf numFmtId="0" fontId="3" fillId="0" borderId="0" xfId="5" applyFont="1" applyFill="1" applyBorder="1"/>
    <xf numFmtId="177" fontId="3" fillId="0" borderId="0" xfId="5" applyNumberFormat="1" applyFont="1" applyFill="1"/>
    <xf numFmtId="177" fontId="21" fillId="0" borderId="0" xfId="1" applyNumberFormat="1" applyFont="1" applyFill="1" applyBorder="1"/>
    <xf numFmtId="0" fontId="21" fillId="0" borderId="0" xfId="5" applyFont="1" applyFill="1" applyBorder="1"/>
    <xf numFmtId="7" fontId="5" fillId="0" borderId="0" xfId="3" applyNumberFormat="1" applyFont="1" applyFill="1" applyBorder="1"/>
    <xf numFmtId="167" fontId="5" fillId="0" borderId="12" xfId="0" applyFont="1" applyBorder="1" applyAlignment="1">
      <alignment horizontal="center" wrapText="1"/>
    </xf>
    <xf numFmtId="167" fontId="5" fillId="0" borderId="12" xfId="0" applyFont="1" applyFill="1" applyBorder="1" applyAlignment="1">
      <alignment horizontal="center" wrapText="1"/>
    </xf>
    <xf numFmtId="187" fontId="5" fillId="0" borderId="0" xfId="0" applyNumberFormat="1" applyFont="1"/>
    <xf numFmtId="167" fontId="5" fillId="0" borderId="12" xfId="0" applyFont="1" applyBorder="1" applyAlignment="1">
      <alignment horizontal="center"/>
    </xf>
    <xf numFmtId="167" fontId="5" fillId="0" borderId="0" xfId="0" quotePrefix="1" applyFont="1" applyBorder="1" applyAlignment="1">
      <alignment horizontal="center"/>
    </xf>
    <xf numFmtId="167" fontId="5" fillId="0" borderId="0" xfId="0" quotePrefix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right"/>
    </xf>
    <xf numFmtId="167" fontId="5" fillId="0" borderId="0" xfId="0" applyFont="1" applyFill="1" applyBorder="1" applyAlignment="1">
      <alignment horizontal="center"/>
    </xf>
    <xf numFmtId="37" fontId="10" fillId="0" borderId="0" xfId="0" applyNumberFormat="1" applyFont="1" applyFill="1" applyProtection="1"/>
    <xf numFmtId="49" fontId="5" fillId="0" borderId="0" xfId="0" applyNumberFormat="1" applyFont="1" applyFill="1" applyAlignment="1">
      <alignment horizontal="centerContinuous" vertical="center"/>
    </xf>
    <xf numFmtId="167" fontId="7" fillId="0" borderId="0" xfId="0" applyFont="1" applyFill="1" applyAlignment="1">
      <alignment horizontal="centerContinuous"/>
    </xf>
    <xf numFmtId="167" fontId="5" fillId="0" borderId="23" xfId="0" applyFont="1" applyFill="1" applyBorder="1"/>
    <xf numFmtId="167" fontId="7" fillId="0" borderId="0" xfId="0" applyFont="1" applyFill="1" applyAlignment="1">
      <alignment horizontal="left"/>
    </xf>
    <xf numFmtId="167" fontId="5" fillId="0" borderId="0" xfId="0" applyFont="1" applyFill="1" applyAlignment="1">
      <alignment horizontal="right"/>
    </xf>
    <xf numFmtId="37" fontId="5" fillId="0" borderId="0" xfId="0" applyNumberFormat="1" applyFont="1" applyFill="1" applyProtection="1"/>
    <xf numFmtId="191" fontId="5" fillId="0" borderId="0" xfId="1" applyNumberFormat="1" applyFont="1" applyFill="1"/>
    <xf numFmtId="167" fontId="16" fillId="0" borderId="0" xfId="0" applyFont="1" applyFill="1" applyAlignment="1">
      <alignment horizontal="left"/>
    </xf>
    <xf numFmtId="174" fontId="7" fillId="0" borderId="0" xfId="0" applyNumberFormat="1" applyFont="1" applyFill="1" applyBorder="1"/>
    <xf numFmtId="178" fontId="7" fillId="0" borderId="0" xfId="0" applyNumberFormat="1" applyFont="1" applyFill="1" applyBorder="1"/>
    <xf numFmtId="167" fontId="5" fillId="0" borderId="7" xfId="0" applyFont="1" applyFill="1" applyBorder="1" applyAlignment="1">
      <alignment horizontal="left"/>
    </xf>
    <xf numFmtId="49" fontId="5" fillId="0" borderId="0" xfId="0" applyNumberFormat="1" applyFont="1" applyFill="1" applyAlignment="1">
      <alignment horizontal="center" vertical="center"/>
    </xf>
    <xf numFmtId="167" fontId="7" fillId="0" borderId="0" xfId="0" applyFont="1" applyFill="1" applyAlignment="1">
      <alignment horizontal="right"/>
    </xf>
    <xf numFmtId="49" fontId="9" fillId="0" borderId="0" xfId="0" applyNumberFormat="1" applyFont="1" applyFill="1" applyAlignment="1">
      <alignment vertical="center"/>
    </xf>
    <xf numFmtId="167" fontId="7" fillId="0" borderId="0" xfId="0" applyFont="1" applyFill="1" applyAlignment="1"/>
    <xf numFmtId="6" fontId="5" fillId="0" borderId="0" xfId="0" applyNumberFormat="1" applyFont="1" applyFill="1" applyBorder="1"/>
    <xf numFmtId="167" fontId="5" fillId="0" borderId="8" xfId="0" applyFont="1" applyFill="1" applyBorder="1" applyAlignment="1">
      <alignment horizontal="center"/>
    </xf>
    <xf numFmtId="167" fontId="5" fillId="0" borderId="8" xfId="0" applyFont="1" applyFill="1" applyBorder="1" applyAlignment="1">
      <alignment horizontal="center" wrapText="1"/>
    </xf>
    <xf numFmtId="0" fontId="5" fillId="0" borderId="0" xfId="5" quotePrefix="1" applyFont="1" applyFill="1" applyAlignment="1">
      <alignment horizontal="right"/>
    </xf>
    <xf numFmtId="181" fontId="5" fillId="0" borderId="0" xfId="5" applyNumberFormat="1" applyFont="1" applyFill="1"/>
    <xf numFmtId="167" fontId="5" fillId="0" borderId="22" xfId="0" applyFont="1" applyFill="1" applyBorder="1"/>
    <xf numFmtId="167" fontId="5" fillId="0" borderId="26" xfId="0" applyFont="1" applyFill="1" applyBorder="1" applyAlignment="1">
      <alignment horizontal="center"/>
    </xf>
    <xf numFmtId="167" fontId="5" fillId="0" borderId="27" xfId="0" applyFont="1" applyFill="1" applyBorder="1" applyAlignment="1">
      <alignment horizontal="center"/>
    </xf>
    <xf numFmtId="167" fontId="5" fillId="0" borderId="22" xfId="0" quotePrefix="1" applyFont="1" applyFill="1" applyBorder="1" applyAlignment="1">
      <alignment horizontal="left"/>
    </xf>
    <xf numFmtId="5" fontId="5" fillId="0" borderId="0" xfId="4" applyNumberFormat="1" applyFont="1" applyFill="1" applyAlignment="1"/>
    <xf numFmtId="167" fontId="13" fillId="0" borderId="0" xfId="0" applyFont="1" applyFill="1"/>
    <xf numFmtId="0" fontId="3" fillId="0" borderId="20" xfId="5" applyFont="1" applyFill="1" applyBorder="1"/>
    <xf numFmtId="0" fontId="3" fillId="0" borderId="12" xfId="5" applyFont="1" applyFill="1" applyBorder="1"/>
    <xf numFmtId="167" fontId="5" fillId="0" borderId="7" xfId="0" applyFont="1" applyBorder="1" applyAlignment="1">
      <alignment horizontal="center"/>
    </xf>
    <xf numFmtId="180" fontId="5" fillId="0" borderId="0" xfId="0" applyNumberFormat="1" applyFont="1" applyFill="1"/>
    <xf numFmtId="186" fontId="5" fillId="0" borderId="0" xfId="0" applyNumberFormat="1" applyFont="1" applyFill="1"/>
    <xf numFmtId="187" fontId="5" fillId="0" borderId="22" xfId="0" applyNumberFormat="1" applyFont="1" applyFill="1" applyBorder="1" applyAlignment="1">
      <alignment horizontal="center"/>
    </xf>
    <xf numFmtId="177" fontId="5" fillId="0" borderId="0" xfId="1" applyNumberFormat="1" applyFont="1" applyFill="1" applyBorder="1" applyAlignment="1">
      <alignment horizontal="center"/>
    </xf>
    <xf numFmtId="177" fontId="5" fillId="0" borderId="23" xfId="1" applyNumberFormat="1" applyFont="1" applyFill="1" applyBorder="1" applyAlignment="1">
      <alignment horizontal="center"/>
    </xf>
    <xf numFmtId="0" fontId="3" fillId="0" borderId="28" xfId="5" applyFont="1" applyFill="1" applyBorder="1"/>
    <xf numFmtId="5" fontId="5" fillId="0" borderId="0" xfId="0" applyNumberFormat="1" applyFont="1" applyFill="1"/>
    <xf numFmtId="181" fontId="17" fillId="0" borderId="0" xfId="0" applyNumberFormat="1" applyFont="1"/>
    <xf numFmtId="0" fontId="15" fillId="0" borderId="0" xfId="5" applyFont="1" applyFill="1"/>
    <xf numFmtId="181" fontId="5" fillId="0" borderId="0" xfId="0" applyNumberFormat="1" applyFont="1" applyFill="1" applyAlignment="1"/>
    <xf numFmtId="167" fontId="10" fillId="0" borderId="0" xfId="0" applyFont="1" applyFill="1" applyAlignment="1">
      <alignment horizontal="centerContinuous"/>
    </xf>
    <xf numFmtId="167" fontId="18" fillId="0" borderId="12" xfId="0" applyFont="1" applyBorder="1" applyAlignment="1">
      <alignment horizontal="left"/>
    </xf>
    <xf numFmtId="165" fontId="4" fillId="0" borderId="0" xfId="0" applyNumberFormat="1" applyFont="1" applyFill="1" applyProtection="1"/>
    <xf numFmtId="5" fontId="5" fillId="0" borderId="0" xfId="0" applyNumberFormat="1" applyFont="1" applyFill="1" applyProtection="1"/>
    <xf numFmtId="167" fontId="5" fillId="0" borderId="12" xfId="0" applyFont="1" applyFill="1" applyBorder="1" applyAlignment="1">
      <alignment horizontal="center"/>
    </xf>
    <xf numFmtId="6" fontId="5" fillId="0" borderId="0" xfId="0" applyNumberFormat="1" applyFont="1" applyFill="1"/>
    <xf numFmtId="167" fontId="5" fillId="0" borderId="24" xfId="0" applyFont="1" applyFill="1" applyBorder="1"/>
    <xf numFmtId="167" fontId="5" fillId="0" borderId="8" xfId="0" applyFont="1" applyFill="1" applyBorder="1"/>
    <xf numFmtId="177" fontId="7" fillId="0" borderId="25" xfId="1" applyNumberFormat="1" applyFont="1" applyFill="1" applyBorder="1"/>
    <xf numFmtId="37" fontId="5" fillId="0" borderId="7" xfId="0" applyNumberFormat="1" applyFont="1" applyFill="1" applyBorder="1" applyProtection="1"/>
    <xf numFmtId="193" fontId="7" fillId="0" borderId="0" xfId="0" applyNumberFormat="1" applyFont="1" applyFill="1" applyBorder="1"/>
    <xf numFmtId="173" fontId="5" fillId="0" borderId="0" xfId="0" applyNumberFormat="1" applyFont="1" applyFill="1" applyProtection="1"/>
    <xf numFmtId="193" fontId="7" fillId="0" borderId="14" xfId="0" applyNumberFormat="1" applyFont="1" applyFill="1" applyBorder="1"/>
    <xf numFmtId="7" fontId="5" fillId="0" borderId="0" xfId="3" applyNumberFormat="1" applyFont="1" applyFill="1" applyBorder="1" applyAlignment="1">
      <alignment horizontal="center"/>
    </xf>
    <xf numFmtId="177" fontId="5" fillId="0" borderId="0" xfId="1" applyNumberFormat="1" applyFont="1" applyFill="1"/>
    <xf numFmtId="177" fontId="10" fillId="0" borderId="0" xfId="1" applyNumberFormat="1" applyFont="1" applyFill="1" applyAlignment="1">
      <alignment horizontal="centerContinuous"/>
    </xf>
    <xf numFmtId="167" fontId="10" fillId="0" borderId="0" xfId="0" applyFont="1" applyFill="1" applyAlignment="1"/>
    <xf numFmtId="177" fontId="10" fillId="0" borderId="0" xfId="1" applyNumberFormat="1" applyFont="1" applyFill="1" applyAlignment="1"/>
    <xf numFmtId="167" fontId="5" fillId="0" borderId="0" xfId="0" quotePrefix="1" applyFont="1" applyFill="1" applyAlignment="1">
      <alignment horizontal="center" wrapText="1"/>
    </xf>
    <xf numFmtId="167" fontId="5" fillId="0" borderId="0" xfId="0" quotePrefix="1" applyFont="1" applyFill="1"/>
    <xf numFmtId="167" fontId="5" fillId="0" borderId="0" xfId="0" applyFont="1" applyFill="1" applyAlignment="1">
      <alignment horizontal="center" wrapText="1"/>
    </xf>
    <xf numFmtId="177" fontId="5" fillId="0" borderId="0" xfId="1" applyNumberFormat="1" applyFont="1" applyFill="1" applyAlignment="1">
      <alignment horizontal="center" wrapText="1"/>
    </xf>
    <xf numFmtId="177" fontId="5" fillId="0" borderId="7" xfId="1" applyNumberFormat="1" applyFont="1" applyFill="1" applyBorder="1" applyAlignment="1">
      <alignment horizontal="center" wrapText="1"/>
    </xf>
    <xf numFmtId="177" fontId="5" fillId="0" borderId="0" xfId="1" quotePrefix="1" applyNumberFormat="1" applyFont="1" applyFill="1" applyAlignment="1">
      <alignment horizontal="center" wrapText="1"/>
    </xf>
    <xf numFmtId="185" fontId="5" fillId="0" borderId="0" xfId="0" quotePrefix="1" applyNumberFormat="1" applyFont="1" applyFill="1" applyAlignment="1">
      <alignment horizontal="center"/>
    </xf>
    <xf numFmtId="179" fontId="5" fillId="0" borderId="0" xfId="2" applyNumberFormat="1" applyFont="1" applyFill="1"/>
    <xf numFmtId="179" fontId="5" fillId="0" borderId="7" xfId="2" applyNumberFormat="1" applyFont="1" applyFill="1" applyBorder="1"/>
    <xf numFmtId="185" fontId="5" fillId="0" borderId="0" xfId="0" quotePrefix="1" applyNumberFormat="1" applyFont="1" applyFill="1"/>
    <xf numFmtId="167" fontId="15" fillId="0" borderId="0" xfId="0" applyFont="1" applyFill="1" applyAlignment="1">
      <alignment horizontal="center"/>
    </xf>
    <xf numFmtId="187" fontId="5" fillId="0" borderId="5" xfId="5" applyNumberFormat="1" applyFont="1" applyFill="1" applyBorder="1" applyAlignment="1">
      <alignment horizontal="center"/>
    </xf>
    <xf numFmtId="167" fontId="9" fillId="0" borderId="0" xfId="0" applyFont="1"/>
    <xf numFmtId="187" fontId="5" fillId="0" borderId="0" xfId="0" applyNumberFormat="1" applyFont="1" applyFill="1"/>
    <xf numFmtId="167" fontId="8" fillId="0" borderId="0" xfId="0" applyFont="1" applyFill="1"/>
    <xf numFmtId="167" fontId="5" fillId="0" borderId="30" xfId="0" applyFont="1" applyBorder="1" applyAlignment="1">
      <alignment horizontal="center"/>
    </xf>
    <xf numFmtId="167" fontId="5" fillId="0" borderId="31" xfId="0" applyFont="1" applyBorder="1" applyAlignment="1">
      <alignment horizontal="center"/>
    </xf>
    <xf numFmtId="167" fontId="5" fillId="0" borderId="0" xfId="0" quotePrefix="1" applyFont="1" applyAlignment="1">
      <alignment horizontal="center"/>
    </xf>
    <xf numFmtId="192" fontId="5" fillId="0" borderId="0" xfId="0" applyNumberFormat="1" applyFont="1"/>
    <xf numFmtId="176" fontId="5" fillId="0" borderId="0" xfId="1" applyNumberFormat="1" applyFont="1" applyAlignment="1">
      <alignment horizontal="right"/>
    </xf>
    <xf numFmtId="176" fontId="5" fillId="0" borderId="0" xfId="0" applyNumberFormat="1" applyFont="1"/>
    <xf numFmtId="176" fontId="5" fillId="4" borderId="0" xfId="0" applyNumberFormat="1" applyFont="1" applyFill="1"/>
    <xf numFmtId="177" fontId="5" fillId="0" borderId="0" xfId="5" applyNumberFormat="1" applyFont="1" applyFill="1" applyBorder="1"/>
    <xf numFmtId="167" fontId="5" fillId="3" borderId="0" xfId="0" applyFont="1" applyFill="1"/>
    <xf numFmtId="167" fontId="25" fillId="0" borderId="0" xfId="0" applyFont="1" applyFill="1" applyAlignment="1">
      <alignment horizontal="centerContinuous"/>
    </xf>
    <xf numFmtId="167" fontId="4" fillId="0" borderId="0" xfId="0" applyFont="1" applyFill="1" applyAlignment="1">
      <alignment horizontal="centerContinuous"/>
    </xf>
    <xf numFmtId="167" fontId="4" fillId="0" borderId="1" xfId="0" applyFont="1" applyFill="1" applyBorder="1"/>
    <xf numFmtId="167" fontId="4" fillId="0" borderId="1" xfId="0" applyFont="1" applyFill="1" applyBorder="1" applyAlignment="1">
      <alignment horizontal="left"/>
    </xf>
    <xf numFmtId="167" fontId="4" fillId="0" borderId="1" xfId="0" applyFont="1" applyFill="1" applyBorder="1" applyAlignment="1">
      <alignment horizontal="center"/>
    </xf>
    <xf numFmtId="167" fontId="4" fillId="0" borderId="0" xfId="0" applyFont="1" applyFill="1" applyAlignment="1">
      <alignment horizontal="left"/>
    </xf>
    <xf numFmtId="167" fontId="4" fillId="0" borderId="7" xfId="0" applyFont="1" applyFill="1" applyBorder="1" applyAlignment="1">
      <alignment horizontal="center"/>
    </xf>
    <xf numFmtId="172" fontId="4" fillId="0" borderId="0" xfId="1" applyNumberFormat="1" applyFont="1" applyFill="1"/>
    <xf numFmtId="167" fontId="4" fillId="0" borderId="0" xfId="0" applyFont="1" applyFill="1" applyBorder="1"/>
    <xf numFmtId="167" fontId="4" fillId="0" borderId="0" xfId="0" applyFont="1" applyFill="1" applyBorder="1" applyAlignment="1">
      <alignment horizontal="center"/>
    </xf>
    <xf numFmtId="181" fontId="5" fillId="0" borderId="0" xfId="0" applyNumberFormat="1" applyFont="1" applyAlignment="1">
      <alignment horizontal="left"/>
    </xf>
    <xf numFmtId="167" fontId="5" fillId="0" borderId="0" xfId="0" applyFont="1" applyAlignment="1">
      <alignment horizontal="left"/>
    </xf>
    <xf numFmtId="167" fontId="5" fillId="0" borderId="1" xfId="0" applyFont="1" applyFill="1" applyBorder="1" applyAlignment="1">
      <alignment horizontal="center" wrapText="1"/>
    </xf>
    <xf numFmtId="167" fontId="5" fillId="0" borderId="0" xfId="0" applyFont="1" applyFill="1" applyBorder="1" applyAlignment="1">
      <alignment horizontal="center" wrapText="1"/>
    </xf>
    <xf numFmtId="185" fontId="5" fillId="0" borderId="0" xfId="5" applyNumberFormat="1" applyFont="1" applyFill="1" applyBorder="1" applyAlignment="1">
      <alignment horizontal="center"/>
    </xf>
    <xf numFmtId="37" fontId="3" fillId="0" borderId="0" xfId="0" applyNumberFormat="1" applyFont="1" applyFill="1" applyProtection="1"/>
    <xf numFmtId="185" fontId="5" fillId="0" borderId="0" xfId="0" applyNumberFormat="1" applyFont="1" applyFill="1" applyAlignment="1">
      <alignment horizontal="center"/>
    </xf>
    <xf numFmtId="5" fontId="5" fillId="0" borderId="0" xfId="0" applyNumberFormat="1" applyFont="1" applyFill="1" applyBorder="1"/>
    <xf numFmtId="3" fontId="27" fillId="0" borderId="0" xfId="0" applyNumberFormat="1" applyFont="1" applyFill="1" applyAlignment="1">
      <alignment horizontal="center"/>
    </xf>
    <xf numFmtId="5" fontId="5" fillId="0" borderId="7" xfId="0" applyNumberFormat="1" applyFont="1" applyFill="1" applyBorder="1"/>
    <xf numFmtId="187" fontId="5" fillId="0" borderId="0" xfId="5" applyNumberFormat="1" applyFont="1" applyFill="1" applyBorder="1" applyAlignment="1">
      <alignment horizontal="center"/>
    </xf>
    <xf numFmtId="185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Protection="1"/>
    <xf numFmtId="0" fontId="5" fillId="0" borderId="0" xfId="0" applyNumberFormat="1" applyFont="1" applyFill="1" applyAlignment="1">
      <alignment horizontal="left"/>
    </xf>
    <xf numFmtId="175" fontId="5" fillId="0" borderId="0" xfId="0" applyNumberFormat="1" applyFont="1" applyFill="1" applyProtection="1"/>
    <xf numFmtId="167" fontId="26" fillId="0" borderId="0" xfId="0" applyFont="1" applyFill="1" applyAlignment="1">
      <alignment horizontal="left"/>
    </xf>
    <xf numFmtId="5" fontId="5" fillId="0" borderId="0" xfId="0" applyNumberFormat="1" applyFont="1" applyFill="1" applyAlignment="1">
      <alignment horizontal="right"/>
    </xf>
    <xf numFmtId="7" fontId="5" fillId="0" borderId="0" xfId="0" applyNumberFormat="1" applyFont="1" applyFill="1" applyAlignment="1">
      <alignment horizontal="right"/>
    </xf>
    <xf numFmtId="173" fontId="5" fillId="0" borderId="0" xfId="0" applyNumberFormat="1" applyFont="1" applyFill="1" applyAlignment="1">
      <alignment horizontal="center"/>
    </xf>
    <xf numFmtId="5" fontId="5" fillId="0" borderId="0" xfId="0" applyNumberFormat="1" applyFont="1" applyFill="1" applyAlignment="1">
      <alignment horizontal="center"/>
    </xf>
    <xf numFmtId="0" fontId="5" fillId="0" borderId="1" xfId="3" applyFont="1" applyFill="1" applyBorder="1" applyAlignment="1">
      <alignment horizontal="center"/>
    </xf>
    <xf numFmtId="37" fontId="5" fillId="0" borderId="0" xfId="3" applyNumberFormat="1" applyFont="1" applyFill="1" applyAlignment="1" applyProtection="1">
      <alignment horizontal="center"/>
    </xf>
    <xf numFmtId="0" fontId="5" fillId="0" borderId="0" xfId="3" applyFont="1" applyFill="1" applyBorder="1" applyAlignment="1">
      <alignment horizontal="right"/>
    </xf>
    <xf numFmtId="189" fontId="5" fillId="0" borderId="0" xfId="3" applyNumberFormat="1" applyFont="1" applyFill="1"/>
    <xf numFmtId="176" fontId="5" fillId="0" borderId="0" xfId="1" applyNumberFormat="1" applyFont="1" applyFill="1" applyProtection="1"/>
    <xf numFmtId="7" fontId="5" fillId="0" borderId="0" xfId="2" applyNumberFormat="1" applyFont="1" applyFill="1" applyProtection="1"/>
    <xf numFmtId="44" fontId="5" fillId="0" borderId="0" xfId="2" applyFont="1" applyFill="1" applyProtection="1"/>
    <xf numFmtId="187" fontId="5" fillId="0" borderId="0" xfId="3" applyNumberFormat="1" applyFont="1" applyFill="1"/>
    <xf numFmtId="0" fontId="5" fillId="0" borderId="0" xfId="3" applyFont="1" applyFill="1" applyAlignment="1">
      <alignment horizontal="left"/>
    </xf>
    <xf numFmtId="168" fontId="5" fillId="0" borderId="0" xfId="3" applyNumberFormat="1" applyFont="1" applyFill="1" applyProtection="1"/>
    <xf numFmtId="37" fontId="4" fillId="0" borderId="0" xfId="4" applyNumberFormat="1" applyFont="1" applyFill="1" applyAlignment="1"/>
    <xf numFmtId="37" fontId="4" fillId="0" borderId="0" xfId="4" applyNumberFormat="1" applyFont="1" applyFill="1" applyBorder="1" applyAlignment="1"/>
    <xf numFmtId="37" fontId="4" fillId="0" borderId="0" xfId="4" applyNumberFormat="1" applyFont="1" applyFill="1" applyAlignment="1">
      <alignment horizontal="center"/>
    </xf>
    <xf numFmtId="37" fontId="4" fillId="0" borderId="0" xfId="4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37" fontId="5" fillId="0" borderId="0" xfId="1" applyNumberFormat="1" applyFont="1" applyFill="1" applyBorder="1" applyAlignment="1"/>
    <xf numFmtId="167" fontId="10" fillId="0" borderId="0" xfId="0" applyFont="1" applyFill="1"/>
    <xf numFmtId="167" fontId="9" fillId="0" borderId="0" xfId="0" applyFont="1" applyFill="1" applyAlignment="1"/>
    <xf numFmtId="167" fontId="10" fillId="0" borderId="0" xfId="0" applyFont="1" applyFill="1" applyAlignment="1">
      <alignment horizontal="right"/>
    </xf>
    <xf numFmtId="37" fontId="10" fillId="0" borderId="0" xfId="0" applyNumberFormat="1" applyFont="1" applyFill="1"/>
    <xf numFmtId="167" fontId="10" fillId="0" borderId="0" xfId="0" applyFont="1" applyFill="1" applyBorder="1"/>
    <xf numFmtId="167" fontId="9" fillId="0" borderId="0" xfId="0" applyFont="1" applyFill="1" applyAlignment="1">
      <alignment horizontal="left" vertical="top" textRotation="180"/>
    </xf>
    <xf numFmtId="167" fontId="9" fillId="0" borderId="0" xfId="0" applyFont="1" applyFill="1"/>
    <xf numFmtId="187" fontId="5" fillId="0" borderId="7" xfId="0" applyNumberFormat="1" applyFont="1" applyFill="1" applyBorder="1" applyAlignment="1">
      <alignment horizontal="center"/>
    </xf>
    <xf numFmtId="7" fontId="5" fillId="0" borderId="7" xfId="0" applyNumberFormat="1" applyFont="1" applyFill="1" applyBorder="1" applyAlignment="1">
      <alignment horizontal="center" wrapText="1"/>
    </xf>
    <xf numFmtId="49" fontId="5" fillId="0" borderId="0" xfId="0" applyNumberFormat="1" applyFont="1" applyFill="1"/>
    <xf numFmtId="43" fontId="5" fillId="0" borderId="0" xfId="1" applyFont="1" applyFill="1"/>
    <xf numFmtId="187" fontId="5" fillId="0" borderId="0" xfId="0" quotePrefix="1" applyNumberFormat="1" applyFont="1" applyFill="1" applyBorder="1" applyAlignment="1">
      <alignment horizontal="center"/>
    </xf>
    <xf numFmtId="7" fontId="5" fillId="0" borderId="0" xfId="0" applyNumberFormat="1" applyFont="1" applyFill="1"/>
    <xf numFmtId="187" fontId="5" fillId="0" borderId="0" xfId="0" applyNumberFormat="1" applyFont="1" applyFill="1" applyAlignment="1">
      <alignment horizontal="center"/>
    </xf>
    <xf numFmtId="173" fontId="5" fillId="0" borderId="0" xfId="0" applyNumberFormat="1" applyFont="1" applyFill="1"/>
    <xf numFmtId="177" fontId="5" fillId="0" borderId="0" xfId="1" applyNumberFormat="1" applyFont="1" applyFill="1" applyAlignment="1">
      <alignment horizontal="right"/>
    </xf>
    <xf numFmtId="177" fontId="5" fillId="0" borderId="0" xfId="1" applyNumberFormat="1" applyFont="1" applyFill="1" applyBorder="1"/>
    <xf numFmtId="167" fontId="5" fillId="0" borderId="0" xfId="0" applyFont="1" applyFill="1" applyAlignment="1">
      <alignment horizontal="left" vertical="top"/>
    </xf>
    <xf numFmtId="49" fontId="5" fillId="0" borderId="0" xfId="0" applyNumberFormat="1" applyFont="1" applyFill="1" applyAlignment="1">
      <alignment horizontal="right" vertical="top"/>
    </xf>
    <xf numFmtId="7" fontId="5" fillId="0" borderId="0" xfId="0" applyNumberFormat="1" applyFont="1" applyFill="1" applyAlignment="1">
      <alignment horizontal="center"/>
    </xf>
    <xf numFmtId="187" fontId="5" fillId="0" borderId="0" xfId="0" quotePrefix="1" applyNumberFormat="1" applyFont="1" applyFill="1" applyAlignment="1">
      <alignment horizontal="center"/>
    </xf>
    <xf numFmtId="177" fontId="5" fillId="0" borderId="0" xfId="0" applyNumberFormat="1" applyFont="1" applyFill="1"/>
    <xf numFmtId="187" fontId="5" fillId="0" borderId="0" xfId="0" applyNumberFormat="1" applyFont="1" applyFill="1" applyAlignment="1">
      <alignment horizontal="right"/>
    </xf>
    <xf numFmtId="177" fontId="5" fillId="0" borderId="0" xfId="0" applyNumberFormat="1" applyFont="1" applyFill="1" applyAlignment="1">
      <alignment horizontal="right"/>
    </xf>
    <xf numFmtId="167" fontId="10" fillId="0" borderId="0" xfId="0" applyFont="1" applyFill="1" applyBorder="1" applyAlignment="1">
      <alignment horizontal="center"/>
    </xf>
    <xf numFmtId="0" fontId="16" fillId="0" borderId="0" xfId="5" applyFont="1" applyFill="1" applyAlignment="1"/>
    <xf numFmtId="37" fontId="5" fillId="0" borderId="0" xfId="0" applyNumberFormat="1" applyFont="1" applyFill="1"/>
    <xf numFmtId="43" fontId="5" fillId="0" borderId="0" xfId="0" applyNumberFormat="1" applyFont="1" applyFill="1"/>
    <xf numFmtId="167" fontId="28" fillId="0" borderId="0" xfId="0" applyFont="1" applyFill="1"/>
    <xf numFmtId="167" fontId="5" fillId="0" borderId="0" xfId="0" applyNumberFormat="1" applyFont="1" applyFill="1"/>
    <xf numFmtId="167" fontId="5" fillId="0" borderId="0" xfId="0" applyNumberFormat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center"/>
    </xf>
    <xf numFmtId="167" fontId="5" fillId="0" borderId="7" xfId="0" applyNumberFormat="1" applyFont="1" applyFill="1" applyBorder="1"/>
    <xf numFmtId="167" fontId="5" fillId="0" borderId="7" xfId="0" applyNumberFormat="1" applyFont="1" applyFill="1" applyBorder="1" applyAlignment="1">
      <alignment horizontal="center"/>
    </xf>
    <xf numFmtId="43" fontId="5" fillId="0" borderId="7" xfId="0" applyNumberFormat="1" applyFont="1" applyFill="1" applyBorder="1" applyAlignment="1">
      <alignment horizontal="center"/>
    </xf>
    <xf numFmtId="167" fontId="5" fillId="0" borderId="0" xfId="0" quotePrefix="1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43" fontId="5" fillId="0" borderId="0" xfId="0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right"/>
    </xf>
    <xf numFmtId="8" fontId="5" fillId="0" borderId="0" xfId="0" applyNumberFormat="1" applyFont="1" applyFill="1" applyAlignment="1">
      <alignment horizontal="right"/>
    </xf>
    <xf numFmtId="194" fontId="5" fillId="0" borderId="0" xfId="0" applyNumberFormat="1" applyFont="1" applyFill="1"/>
    <xf numFmtId="183" fontId="5" fillId="0" borderId="0" xfId="0" applyNumberFormat="1" applyFont="1" applyFill="1" applyProtection="1"/>
    <xf numFmtId="193" fontId="5" fillId="0" borderId="0" xfId="0" applyNumberFormat="1" applyFont="1" applyFill="1" applyAlignment="1">
      <alignment horizontal="center"/>
    </xf>
    <xf numFmtId="8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83" fontId="5" fillId="0" borderId="29" xfId="0" applyNumberFormat="1" applyFont="1" applyFill="1" applyBorder="1" applyAlignment="1">
      <alignment horizontal="right"/>
    </xf>
    <xf numFmtId="166" fontId="5" fillId="0" borderId="29" xfId="0" applyNumberFormat="1" applyFont="1" applyFill="1" applyBorder="1" applyAlignment="1">
      <alignment horizontal="center"/>
    </xf>
    <xf numFmtId="183" fontId="5" fillId="0" borderId="29" xfId="0" applyNumberFormat="1" applyFont="1" applyFill="1" applyBorder="1" applyAlignment="1">
      <alignment horizontal="center"/>
    </xf>
    <xf numFmtId="167" fontId="16" fillId="0" borderId="0" xfId="0" applyFont="1" applyFill="1" applyAlignment="1">
      <alignment horizontal="centerContinuous"/>
    </xf>
    <xf numFmtId="167" fontId="5" fillId="0" borderId="0" xfId="0" applyFont="1" applyFill="1" applyAlignment="1">
      <alignment horizontal="centerContinuous"/>
    </xf>
    <xf numFmtId="167" fontId="4" fillId="0" borderId="0" xfId="0" applyFont="1" applyFill="1" applyBorder="1" applyAlignment="1">
      <alignment horizontal="centerContinuous"/>
    </xf>
    <xf numFmtId="175" fontId="4" fillId="0" borderId="0" xfId="0" applyNumberFormat="1" applyFont="1" applyFill="1" applyProtection="1"/>
    <xf numFmtId="7" fontId="4" fillId="0" borderId="0" xfId="0" applyNumberFormat="1" applyFont="1" applyFill="1" applyProtection="1"/>
    <xf numFmtId="169" fontId="4" fillId="0" borderId="0" xfId="0" applyNumberFormat="1" applyFont="1" applyFill="1" applyProtection="1"/>
    <xf numFmtId="169" fontId="4" fillId="0" borderId="0" xfId="0" applyNumberFormat="1" applyFont="1" applyFill="1"/>
    <xf numFmtId="188" fontId="4" fillId="0" borderId="0" xfId="2" applyNumberFormat="1" applyFont="1" applyFill="1"/>
    <xf numFmtId="169" fontId="4" fillId="0" borderId="0" xfId="0" applyNumberFormat="1" applyFont="1" applyFill="1" applyAlignment="1">
      <alignment horizontal="centerContinuous"/>
    </xf>
    <xf numFmtId="167" fontId="25" fillId="0" borderId="0" xfId="0" applyFont="1" applyFill="1"/>
    <xf numFmtId="169" fontId="4" fillId="0" borderId="0" xfId="0" applyNumberFormat="1" applyFont="1" applyFill="1" applyBorder="1" applyAlignment="1">
      <alignment horizontal="centerContinuous"/>
    </xf>
    <xf numFmtId="169" fontId="4" fillId="0" borderId="0" xfId="0" applyNumberFormat="1" applyFont="1" applyFill="1" applyAlignment="1">
      <alignment horizontal="center"/>
    </xf>
    <xf numFmtId="167" fontId="14" fillId="0" borderId="0" xfId="0" applyFont="1" applyFill="1" applyAlignment="1">
      <alignment horizontal="center"/>
    </xf>
    <xf numFmtId="169" fontId="14" fillId="0" borderId="0" xfId="0" applyNumberFormat="1" applyFont="1" applyFill="1" applyAlignment="1"/>
    <xf numFmtId="173" fontId="4" fillId="0" borderId="0" xfId="0" applyNumberFormat="1" applyFont="1" applyFill="1" applyProtection="1"/>
    <xf numFmtId="169" fontId="4" fillId="0" borderId="0" xfId="0" applyNumberFormat="1" applyFont="1" applyFill="1" applyBorder="1"/>
    <xf numFmtId="167" fontId="5" fillId="0" borderId="1" xfId="0" applyFont="1" applyFill="1" applyBorder="1"/>
    <xf numFmtId="167" fontId="29" fillId="0" borderId="0" xfId="0" applyFont="1" applyFill="1"/>
    <xf numFmtId="167" fontId="15" fillId="0" borderId="0" xfId="0" applyFont="1" applyFill="1"/>
    <xf numFmtId="167" fontId="15" fillId="0" borderId="0" xfId="0" applyFont="1" applyFill="1" applyAlignment="1">
      <alignment horizontal="left"/>
    </xf>
    <xf numFmtId="167" fontId="29" fillId="0" borderId="0" xfId="0" applyFont="1" applyFill="1" applyAlignment="1">
      <alignment horizontal="left"/>
    </xf>
    <xf numFmtId="167" fontId="30" fillId="0" borderId="0" xfId="0" applyFont="1" applyFill="1"/>
    <xf numFmtId="9" fontId="5" fillId="0" borderId="0" xfId="0" applyNumberFormat="1" applyFont="1" applyFill="1" applyProtection="1"/>
    <xf numFmtId="167" fontId="5" fillId="0" borderId="0" xfId="0" quotePrefix="1" applyFont="1" applyFill="1" applyBorder="1"/>
    <xf numFmtId="167" fontId="5" fillId="0" borderId="7" xfId="0" quotePrefix="1" applyFont="1" applyFill="1" applyBorder="1"/>
    <xf numFmtId="177" fontId="5" fillId="3" borderId="0" xfId="0" applyNumberFormat="1" applyFont="1" applyFill="1"/>
    <xf numFmtId="165" fontId="4" fillId="0" borderId="0" xfId="0" applyNumberFormat="1" applyFont="1" applyFill="1" applyBorder="1" applyProtection="1"/>
    <xf numFmtId="166" fontId="5" fillId="0" borderId="0" xfId="0" applyNumberFormat="1" applyFont="1" applyFill="1" applyBorder="1" applyProtection="1"/>
    <xf numFmtId="7" fontId="13" fillId="0" borderId="0" xfId="0" applyNumberFormat="1" applyFont="1" applyFill="1"/>
    <xf numFmtId="173" fontId="5" fillId="0" borderId="0" xfId="0" applyNumberFormat="1" applyFont="1" applyFill="1" applyAlignment="1" applyProtection="1"/>
    <xf numFmtId="173" fontId="7" fillId="0" borderId="0" xfId="0" applyNumberFormat="1" applyFont="1" applyFill="1" applyAlignment="1" applyProtection="1"/>
    <xf numFmtId="197" fontId="5" fillId="0" borderId="0" xfId="1" applyNumberFormat="1" applyFont="1" applyFill="1" applyBorder="1" applyAlignment="1" applyProtection="1">
      <alignment horizontal="center"/>
    </xf>
    <xf numFmtId="6" fontId="5" fillId="0" borderId="0" xfId="0" applyNumberFormat="1" applyFont="1" applyFill="1" applyAlignment="1">
      <alignment horizontal="right"/>
    </xf>
    <xf numFmtId="6" fontId="5" fillId="0" borderId="0" xfId="0" applyNumberFormat="1" applyFont="1" applyFill="1" applyBorder="1" applyAlignment="1">
      <alignment horizontal="right"/>
    </xf>
    <xf numFmtId="6" fontId="5" fillId="0" borderId="29" xfId="0" applyNumberFormat="1" applyFont="1" applyFill="1" applyBorder="1" applyAlignment="1">
      <alignment horizontal="right"/>
    </xf>
    <xf numFmtId="167" fontId="0" fillId="0" borderId="0" xfId="0" applyFont="1" applyFill="1"/>
    <xf numFmtId="167" fontId="5" fillId="0" borderId="0" xfId="0" applyFont="1" applyFill="1" applyAlignment="1"/>
    <xf numFmtId="0" fontId="5" fillId="0" borderId="0" xfId="3" applyFont="1" applyFill="1" applyAlignment="1"/>
    <xf numFmtId="49" fontId="7" fillId="0" borderId="0" xfId="0" applyNumberFormat="1" applyFont="1" applyFill="1" applyAlignment="1">
      <alignment horizontal="centerContinuous" vertical="center"/>
    </xf>
    <xf numFmtId="166" fontId="5" fillId="0" borderId="0" xfId="0" applyNumberFormat="1" applyFont="1" applyFill="1" applyAlignment="1" applyProtection="1"/>
    <xf numFmtId="171" fontId="5" fillId="0" borderId="7" xfId="0" applyNumberFormat="1" applyFont="1" applyFill="1" applyBorder="1" applyAlignment="1"/>
    <xf numFmtId="0" fontId="7" fillId="0" borderId="0" xfId="5" applyFont="1" applyFill="1"/>
    <xf numFmtId="0" fontId="7" fillId="0" borderId="28" xfId="5" applyFont="1" applyFill="1" applyBorder="1" applyAlignment="1">
      <alignment horizontal="center" wrapText="1"/>
    </xf>
    <xf numFmtId="0" fontId="11" fillId="0" borderId="0" xfId="5" applyFont="1" applyFill="1" applyBorder="1"/>
    <xf numFmtId="177" fontId="3" fillId="0" borderId="0" xfId="1" applyNumberFormat="1" applyFont="1" applyFill="1" applyBorder="1"/>
    <xf numFmtId="177" fontId="11" fillId="0" borderId="0" xfId="5" applyNumberFormat="1" applyFont="1" applyFill="1" applyBorder="1"/>
    <xf numFmtId="43" fontId="5" fillId="0" borderId="0" xfId="0" applyNumberFormat="1" applyFont="1" applyFill="1" applyAlignment="1">
      <alignment horizontal="right"/>
    </xf>
    <xf numFmtId="192" fontId="5" fillId="0" borderId="0" xfId="0" quotePrefix="1" applyNumberFormat="1" applyFont="1"/>
    <xf numFmtId="5" fontId="5" fillId="0" borderId="0" xfId="0" applyNumberFormat="1" applyFont="1" applyFill="1" applyAlignment="1" applyProtection="1">
      <alignment horizontal="right"/>
    </xf>
    <xf numFmtId="175" fontId="5" fillId="0" borderId="0" xfId="0" applyNumberFormat="1" applyFont="1" applyFill="1"/>
    <xf numFmtId="181" fontId="5" fillId="0" borderId="0" xfId="0" applyNumberFormat="1" applyFont="1" applyFill="1"/>
    <xf numFmtId="0" fontId="26" fillId="0" borderId="0" xfId="0" applyNumberFormat="1" applyFont="1" applyFill="1"/>
    <xf numFmtId="198" fontId="3" fillId="0" borderId="0" xfId="0" applyNumberFormat="1" applyFont="1" applyFill="1" applyBorder="1" applyProtection="1"/>
    <xf numFmtId="185" fontId="5" fillId="0" borderId="0" xfId="3" applyNumberFormat="1" applyFont="1" applyFill="1" applyAlignment="1">
      <alignment horizontal="center"/>
    </xf>
    <xf numFmtId="166" fontId="3" fillId="0" borderId="0" xfId="0" applyNumberFormat="1" applyFont="1" applyFill="1" applyBorder="1" applyProtection="1"/>
    <xf numFmtId="0" fontId="7" fillId="0" borderId="0" xfId="3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67" fontId="5" fillId="0" borderId="0" xfId="0" applyFont="1" applyFill="1" applyAlignment="1">
      <alignment wrapText="1"/>
    </xf>
    <xf numFmtId="187" fontId="5" fillId="0" borderId="2" xfId="5" applyNumberFormat="1" applyFont="1" applyFill="1" applyBorder="1" applyAlignment="1">
      <alignment horizontal="center"/>
    </xf>
    <xf numFmtId="177" fontId="5" fillId="0" borderId="4" xfId="5" applyNumberFormat="1" applyFont="1" applyFill="1" applyBorder="1" applyAlignment="1">
      <alignment horizontal="center"/>
    </xf>
    <xf numFmtId="177" fontId="5" fillId="0" borderId="6" xfId="5" applyNumberFormat="1" applyFont="1" applyFill="1" applyBorder="1" applyAlignment="1">
      <alignment horizontal="center"/>
    </xf>
    <xf numFmtId="0" fontId="5" fillId="0" borderId="5" xfId="5" applyFont="1" applyFill="1" applyBorder="1"/>
    <xf numFmtId="0" fontId="5" fillId="0" borderId="0" xfId="5" applyFont="1" applyFill="1" applyBorder="1" applyAlignment="1">
      <alignment horizontal="center"/>
    </xf>
    <xf numFmtId="0" fontId="5" fillId="0" borderId="6" xfId="5" applyFont="1" applyFill="1" applyBorder="1" applyAlignment="1">
      <alignment horizontal="center"/>
    </xf>
    <xf numFmtId="0" fontId="11" fillId="0" borderId="10" xfId="5" applyFont="1" applyFill="1" applyBorder="1"/>
    <xf numFmtId="177" fontId="7" fillId="0" borderId="7" xfId="5" applyNumberFormat="1" applyFont="1" applyFill="1" applyBorder="1" applyAlignment="1">
      <alignment horizontal="center"/>
    </xf>
    <xf numFmtId="177" fontId="7" fillId="0" borderId="25" xfId="5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 wrapText="1"/>
    </xf>
    <xf numFmtId="5" fontId="5" fillId="0" borderId="0" xfId="0" applyNumberFormat="1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5" fontId="5" fillId="0" borderId="3" xfId="0" applyNumberFormat="1" applyFont="1" applyFill="1" applyBorder="1" applyAlignment="1" applyProtection="1">
      <alignment horizontal="right"/>
    </xf>
    <xf numFmtId="169" fontId="4" fillId="0" borderId="0" xfId="0" applyNumberFormat="1" applyFont="1" applyFill="1" applyAlignment="1" applyProtection="1">
      <alignment horizontal="center"/>
    </xf>
    <xf numFmtId="0" fontId="7" fillId="0" borderId="12" xfId="5" applyFont="1" applyFill="1" applyBorder="1" applyAlignment="1">
      <alignment horizontal="center" wrapText="1"/>
    </xf>
    <xf numFmtId="0" fontId="7" fillId="0" borderId="12" xfId="5" quotePrefix="1" applyFont="1" applyFill="1" applyBorder="1" applyAlignment="1">
      <alignment horizontal="center" wrapText="1"/>
    </xf>
    <xf numFmtId="0" fontId="5" fillId="0" borderId="7" xfId="3" applyFont="1" applyFill="1" applyBorder="1" applyAlignment="1">
      <alignment horizontal="center" wrapText="1"/>
    </xf>
    <xf numFmtId="167" fontId="5" fillId="0" borderId="1" xfId="3" applyNumberFormat="1" applyFont="1" applyFill="1" applyBorder="1" applyAlignment="1">
      <alignment horizontal="center" wrapText="1"/>
    </xf>
    <xf numFmtId="0" fontId="7" fillId="0" borderId="0" xfId="3" applyFont="1" applyFill="1" applyAlignment="1"/>
    <xf numFmtId="167" fontId="5" fillId="0" borderId="0" xfId="0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7" fillId="0" borderId="0" xfId="3" applyFont="1" applyFill="1" applyAlignment="1">
      <alignment horizontal="center"/>
    </xf>
    <xf numFmtId="37" fontId="7" fillId="0" borderId="0" xfId="4" applyNumberFormat="1" applyFont="1" applyFill="1" applyAlignment="1">
      <alignment horizontal="center"/>
    </xf>
    <xf numFmtId="167" fontId="5" fillId="0" borderId="7" xfId="0" applyFont="1" applyFill="1" applyBorder="1" applyAlignment="1">
      <alignment horizontal="center"/>
    </xf>
    <xf numFmtId="167" fontId="5" fillId="0" borderId="7" xfId="0" applyFont="1" applyFill="1" applyBorder="1" applyAlignment="1">
      <alignment horizontal="center" wrapText="1"/>
    </xf>
    <xf numFmtId="37" fontId="5" fillId="0" borderId="0" xfId="0" applyNumberFormat="1" applyFont="1" applyFill="1" applyAlignment="1" applyProtection="1">
      <alignment horizontal="right"/>
    </xf>
    <xf numFmtId="167" fontId="4" fillId="0" borderId="0" xfId="0" applyFont="1" applyFill="1" applyAlignment="1">
      <alignment horizontal="center"/>
    </xf>
    <xf numFmtId="0" fontId="5" fillId="0" borderId="0" xfId="5" applyFont="1" applyFill="1" applyAlignment="1">
      <alignment horizontal="center"/>
    </xf>
    <xf numFmtId="178" fontId="5" fillId="0" borderId="0" xfId="5" applyNumberFormat="1" applyFont="1" applyFill="1" applyAlignment="1">
      <alignment horizontal="center"/>
    </xf>
    <xf numFmtId="184" fontId="5" fillId="0" borderId="0" xfId="5" applyNumberFormat="1" applyFont="1" applyFill="1" applyAlignment="1">
      <alignment horizontal="center"/>
    </xf>
    <xf numFmtId="5" fontId="5" fillId="0" borderId="0" xfId="5" applyNumberFormat="1" applyFont="1" applyFill="1" applyAlignment="1">
      <alignment horizontal="center"/>
    </xf>
    <xf numFmtId="167" fontId="23" fillId="0" borderId="0" xfId="0" applyFont="1" applyFill="1" applyAlignment="1">
      <alignment horizontal="centerContinuous"/>
    </xf>
    <xf numFmtId="0" fontId="5" fillId="0" borderId="0" xfId="0" applyNumberFormat="1" applyFont="1"/>
    <xf numFmtId="43" fontId="5" fillId="0" borderId="0" xfId="0" applyNumberFormat="1" applyFont="1"/>
    <xf numFmtId="0" fontId="5" fillId="0" borderId="0" xfId="0" applyNumberFormat="1" applyFont="1" applyAlignment="1">
      <alignment horizontal="center"/>
    </xf>
    <xf numFmtId="196" fontId="5" fillId="0" borderId="0" xfId="0" applyNumberFormat="1" applyFont="1"/>
    <xf numFmtId="196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0" fontId="5" fillId="0" borderId="7" xfId="0" applyNumberFormat="1" applyFont="1" applyBorder="1" applyAlignment="1">
      <alignment horizontal="center"/>
    </xf>
    <xf numFmtId="174" fontId="5" fillId="0" borderId="7" xfId="0" applyNumberFormat="1" applyFont="1" applyBorder="1" applyAlignment="1">
      <alignment horizontal="center"/>
    </xf>
    <xf numFmtId="43" fontId="5" fillId="0" borderId="7" xfId="0" applyNumberFormat="1" applyFont="1" applyBorder="1" applyAlignment="1">
      <alignment horizontal="center"/>
    </xf>
    <xf numFmtId="174" fontId="5" fillId="0" borderId="0" xfId="0" applyNumberFormat="1" applyFont="1" applyAlignment="1">
      <alignment horizontal="center"/>
    </xf>
    <xf numFmtId="3" fontId="5" fillId="0" borderId="0" xfId="0" applyNumberFormat="1" applyFont="1"/>
    <xf numFmtId="176" fontId="5" fillId="0" borderId="0" xfId="0" applyNumberFormat="1" applyFont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43" fontId="5" fillId="0" borderId="0" xfId="0" applyNumberFormat="1" applyFont="1" applyBorder="1" applyAlignment="1">
      <alignment horizontal="center"/>
    </xf>
    <xf numFmtId="167" fontId="10" fillId="0" borderId="0" xfId="0" applyFont="1" applyFill="1" applyAlignment="1" applyProtection="1">
      <alignment horizontal="center"/>
      <protection locked="0"/>
    </xf>
    <xf numFmtId="182" fontId="5" fillId="0" borderId="0" xfId="5" quotePrefix="1" applyNumberFormat="1" applyFont="1" applyFill="1"/>
    <xf numFmtId="176" fontId="5" fillId="0" borderId="0" xfId="1" applyNumberFormat="1" applyFont="1" applyFill="1"/>
    <xf numFmtId="0" fontId="5" fillId="0" borderId="0" xfId="3" quotePrefix="1" applyFont="1" applyFill="1" applyAlignment="1">
      <alignment horizontal="center"/>
    </xf>
    <xf numFmtId="5" fontId="5" fillId="0" borderId="0" xfId="1" applyNumberFormat="1" applyFont="1" applyFill="1" applyAlignment="1" applyProtection="1">
      <alignment horizontal="center"/>
    </xf>
    <xf numFmtId="5" fontId="5" fillId="0" borderId="7" xfId="1" applyNumberFormat="1" applyFont="1" applyFill="1" applyBorder="1" applyAlignment="1" applyProtection="1">
      <alignment horizontal="center"/>
    </xf>
    <xf numFmtId="167" fontId="12" fillId="0" borderId="0" xfId="0" applyFont="1" applyFill="1" applyAlignment="1">
      <alignment horizontal="center"/>
    </xf>
    <xf numFmtId="187" fontId="5" fillId="0" borderId="0" xfId="0" applyNumberFormat="1" applyFont="1" applyAlignment="1">
      <alignment horizontal="center"/>
    </xf>
    <xf numFmtId="167" fontId="5" fillId="0" borderId="5" xfId="0" applyFont="1" applyFill="1" applyBorder="1"/>
    <xf numFmtId="185" fontId="5" fillId="0" borderId="7" xfId="3" applyNumberFormat="1" applyFont="1" applyFill="1" applyBorder="1" applyAlignment="1">
      <alignment horizontal="center"/>
    </xf>
    <xf numFmtId="167" fontId="5" fillId="4" borderId="0" xfId="0" applyFont="1" applyFill="1" applyAlignment="1">
      <alignment horizontal="center"/>
    </xf>
    <xf numFmtId="167" fontId="5" fillId="4" borderId="7" xfId="0" applyFont="1" applyFill="1" applyBorder="1" applyAlignment="1">
      <alignment horizontal="center"/>
    </xf>
    <xf numFmtId="43" fontId="5" fillId="4" borderId="0" xfId="0" applyNumberFormat="1" applyFont="1" applyFill="1" applyBorder="1" applyAlignment="1">
      <alignment horizontal="center"/>
    </xf>
    <xf numFmtId="192" fontId="5" fillId="0" borderId="0" xfId="0" applyNumberFormat="1" applyFont="1" applyFill="1"/>
    <xf numFmtId="49" fontId="10" fillId="0" borderId="0" xfId="0" applyNumberFormat="1" applyFont="1" applyFill="1" applyProtection="1">
      <protection locked="0"/>
    </xf>
    <xf numFmtId="167" fontId="5" fillId="0" borderId="0" xfId="0" applyFont="1" applyFill="1" applyProtection="1">
      <protection locked="0"/>
    </xf>
    <xf numFmtId="49" fontId="9" fillId="0" borderId="0" xfId="0" applyNumberFormat="1" applyFont="1" applyFill="1" applyAlignment="1" applyProtection="1">
      <alignment horizontal="centerContinuous"/>
      <protection locked="0"/>
    </xf>
    <xf numFmtId="167" fontId="10" fillId="0" borderId="0" xfId="0" applyFont="1" applyFill="1" applyAlignment="1" applyProtection="1">
      <alignment horizontal="centerContinuous"/>
      <protection locked="0"/>
    </xf>
    <xf numFmtId="167" fontId="5" fillId="0" borderId="0" xfId="0" applyFont="1" applyFill="1" applyAlignment="1" applyProtection="1">
      <alignment horizontal="centerContinuous"/>
      <protection locked="0"/>
    </xf>
    <xf numFmtId="49" fontId="10" fillId="0" borderId="0" xfId="0" applyNumberFormat="1" applyFont="1" applyFill="1" applyAlignment="1" applyProtection="1">
      <alignment horizontal="centerContinuous"/>
      <protection locked="0"/>
    </xf>
    <xf numFmtId="167" fontId="9" fillId="0" borderId="0" xfId="0" applyFont="1" applyFill="1" applyAlignment="1" applyProtection="1">
      <alignment horizontal="centerContinuous"/>
      <protection locked="0"/>
    </xf>
    <xf numFmtId="167" fontId="23" fillId="0" borderId="0" xfId="0" applyFont="1" applyFill="1" applyAlignment="1" applyProtection="1">
      <alignment horizontal="left"/>
      <protection locked="0"/>
    </xf>
    <xf numFmtId="185" fontId="9" fillId="0" borderId="1" xfId="0" applyNumberFormat="1" applyFont="1" applyFill="1" applyBorder="1" applyAlignment="1" applyProtection="1">
      <alignment horizontal="center"/>
      <protection locked="0"/>
    </xf>
    <xf numFmtId="167" fontId="9" fillId="0" borderId="1" xfId="0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Alignment="1" applyProtection="1">
      <alignment horizontal="center"/>
      <protection locked="0"/>
    </xf>
    <xf numFmtId="167" fontId="10" fillId="0" borderId="0" xfId="0" applyFont="1" applyFill="1" applyAlignment="1" applyProtection="1">
      <alignment horizontal="left"/>
      <protection locked="0"/>
    </xf>
    <xf numFmtId="37" fontId="10" fillId="0" borderId="0" xfId="0" applyNumberFormat="1" applyFont="1" applyFill="1" applyProtection="1">
      <protection locked="0"/>
    </xf>
    <xf numFmtId="167" fontId="7" fillId="0" borderId="0" xfId="0" applyFont="1" applyFill="1" applyProtection="1">
      <protection locked="0"/>
    </xf>
    <xf numFmtId="37" fontId="10" fillId="0" borderId="7" xfId="0" applyNumberFormat="1" applyFont="1" applyFill="1" applyBorder="1" applyProtection="1"/>
    <xf numFmtId="37" fontId="10" fillId="0" borderId="1" xfId="0" applyNumberFormat="1" applyFont="1" applyFill="1" applyBorder="1" applyProtection="1">
      <protection locked="0"/>
    </xf>
    <xf numFmtId="37" fontId="10" fillId="0" borderId="1" xfId="0" applyNumberFormat="1" applyFont="1" applyFill="1" applyBorder="1" applyProtection="1"/>
    <xf numFmtId="37" fontId="24" fillId="0" borderId="0" xfId="0" applyNumberFormat="1" applyFont="1" applyFill="1" applyProtection="1">
      <protection locked="0"/>
    </xf>
    <xf numFmtId="5" fontId="10" fillId="0" borderId="0" xfId="0" applyNumberFormat="1" applyFont="1" applyFill="1" applyProtection="1"/>
    <xf numFmtId="5" fontId="10" fillId="0" borderId="0" xfId="0" applyNumberFormat="1" applyFont="1" applyFill="1" applyProtection="1">
      <protection locked="0"/>
    </xf>
    <xf numFmtId="5" fontId="9" fillId="0" borderId="0" xfId="0" applyNumberFormat="1" applyFont="1" applyFill="1" applyProtection="1"/>
    <xf numFmtId="173" fontId="10" fillId="0" borderId="0" xfId="0" applyNumberFormat="1" applyFont="1" applyFill="1" applyProtection="1">
      <protection locked="0"/>
    </xf>
    <xf numFmtId="173" fontId="10" fillId="0" borderId="0" xfId="0" applyNumberFormat="1" applyFont="1" applyFill="1" applyProtection="1"/>
    <xf numFmtId="166" fontId="10" fillId="0" borderId="0" xfId="0" applyNumberFormat="1" applyFont="1" applyFill="1" applyProtection="1">
      <protection locked="0"/>
    </xf>
    <xf numFmtId="190" fontId="5" fillId="0" borderId="0" xfId="1" applyNumberFormat="1" applyFont="1" applyFill="1" applyProtection="1">
      <protection locked="0"/>
    </xf>
    <xf numFmtId="39" fontId="10" fillId="0" borderId="0" xfId="0" applyNumberFormat="1" applyFont="1" applyFill="1" applyProtection="1">
      <protection locked="0"/>
    </xf>
    <xf numFmtId="37" fontId="9" fillId="0" borderId="0" xfId="0" applyNumberFormat="1" applyFont="1" applyFill="1" applyProtection="1"/>
    <xf numFmtId="167" fontId="10" fillId="0" borderId="0" xfId="0" quotePrefix="1" applyFont="1" applyFill="1" applyAlignment="1" applyProtection="1">
      <alignment horizontal="left"/>
      <protection locked="0"/>
    </xf>
    <xf numFmtId="173" fontId="32" fillId="0" borderId="0" xfId="0" applyNumberFormat="1" applyFont="1" applyFill="1" applyProtection="1"/>
    <xf numFmtId="49" fontId="5" fillId="0" borderId="0" xfId="0" applyNumberFormat="1" applyFont="1" applyFill="1" applyProtection="1">
      <protection locked="0"/>
    </xf>
    <xf numFmtId="167" fontId="5" fillId="0" borderId="0" xfId="0" applyFont="1" applyFill="1" applyAlignment="1">
      <alignment horizontal="center"/>
    </xf>
    <xf numFmtId="167" fontId="4" fillId="0" borderId="7" xfId="0" applyFont="1" applyFill="1" applyBorder="1" applyAlignment="1">
      <alignment horizontal="center" wrapText="1"/>
    </xf>
    <xf numFmtId="167" fontId="5" fillId="0" borderId="0" xfId="0" quotePrefix="1" applyFont="1" applyFill="1" applyAlignment="1">
      <alignment horizontal="center"/>
    </xf>
    <xf numFmtId="167" fontId="4" fillId="0" borderId="0" xfId="0" quotePrefix="1" applyFont="1" applyFill="1" applyAlignment="1">
      <alignment horizontal="center"/>
    </xf>
    <xf numFmtId="185" fontId="3" fillId="0" borderId="0" xfId="0" applyNumberFormat="1" applyFont="1" applyFill="1" applyAlignment="1">
      <alignment horizontal="right"/>
    </xf>
    <xf numFmtId="176" fontId="5" fillId="0" borderId="0" xfId="1" applyNumberFormat="1" applyFont="1" applyFill="1" applyAlignment="1">
      <alignment horizontal="center"/>
    </xf>
    <xf numFmtId="167" fontId="26" fillId="0" borderId="0" xfId="0" applyFont="1" applyFill="1" applyAlignment="1">
      <alignment horizontal="left" vertical="top"/>
    </xf>
    <xf numFmtId="176" fontId="5" fillId="0" borderId="0" xfId="0" applyNumberFormat="1" applyFont="1" applyFill="1" applyAlignment="1">
      <alignment horizontal="right"/>
    </xf>
    <xf numFmtId="173" fontId="5" fillId="0" borderId="0" xfId="6" applyNumberFormat="1" applyFont="1" applyFill="1" applyAlignment="1">
      <alignment horizontal="center"/>
    </xf>
    <xf numFmtId="177" fontId="26" fillId="0" borderId="0" xfId="0" applyNumberFormat="1" applyFont="1" applyFill="1" applyAlignment="1">
      <alignment horizontal="left"/>
    </xf>
    <xf numFmtId="176" fontId="5" fillId="0" borderId="7" xfId="0" applyNumberFormat="1" applyFont="1" applyFill="1" applyBorder="1" applyAlignment="1">
      <alignment horizontal="right"/>
    </xf>
    <xf numFmtId="6" fontId="4" fillId="0" borderId="7" xfId="0" applyNumberFormat="1" applyFont="1" applyFill="1" applyBorder="1"/>
    <xf numFmtId="5" fontId="5" fillId="0" borderId="7" xfId="0" applyNumberFormat="1" applyFont="1" applyFill="1" applyBorder="1" applyAlignment="1">
      <alignment horizontal="right"/>
    </xf>
    <xf numFmtId="183" fontId="5" fillId="0" borderId="0" xfId="0" applyNumberFormat="1" applyFont="1" applyFill="1" applyAlignment="1">
      <alignment horizontal="right"/>
    </xf>
    <xf numFmtId="167" fontId="3" fillId="0" borderId="0" xfId="0" applyFont="1" applyFill="1" applyAlignment="1">
      <alignment horizontal="right"/>
    </xf>
    <xf numFmtId="0" fontId="5" fillId="0" borderId="0" xfId="3" quotePrefix="1" applyFont="1" applyFill="1" applyBorder="1" applyAlignment="1">
      <alignment horizontal="center" wrapText="1"/>
    </xf>
    <xf numFmtId="196" fontId="5" fillId="0" borderId="0" xfId="0" applyNumberFormat="1" applyFont="1" applyFill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196" fontId="5" fillId="0" borderId="0" xfId="0" applyNumberFormat="1" applyFont="1" applyFill="1" applyBorder="1" applyAlignment="1">
      <alignment horizontal="right"/>
    </xf>
    <xf numFmtId="5" fontId="5" fillId="0" borderId="7" xfId="6" applyNumberFormat="1" applyFont="1" applyFill="1" applyBorder="1" applyAlignment="1">
      <alignment horizontal="right"/>
    </xf>
    <xf numFmtId="5" fontId="5" fillId="0" borderId="0" xfId="6" applyNumberFormat="1" applyFont="1" applyFill="1" applyBorder="1" applyAlignment="1">
      <alignment horizontal="right"/>
    </xf>
    <xf numFmtId="7" fontId="5" fillId="0" borderId="7" xfId="6" applyNumberFormat="1" applyFont="1" applyFill="1" applyBorder="1" applyAlignment="1">
      <alignment horizontal="right"/>
    </xf>
    <xf numFmtId="5" fontId="4" fillId="0" borderId="0" xfId="0" applyNumberFormat="1" applyFont="1" applyFill="1"/>
    <xf numFmtId="3" fontId="5" fillId="0" borderId="0" xfId="0" applyNumberFormat="1" applyFont="1" applyFill="1" applyAlignment="1">
      <alignment horizontal="center"/>
    </xf>
    <xf numFmtId="167" fontId="26" fillId="0" borderId="0" xfId="0" applyFont="1" applyFill="1" applyAlignment="1">
      <alignment horizontal="right"/>
    </xf>
    <xf numFmtId="180" fontId="5" fillId="0" borderId="0" xfId="3" applyNumberFormat="1" applyFont="1" applyFill="1" applyAlignment="1">
      <alignment horizontal="center"/>
    </xf>
    <xf numFmtId="180" fontId="5" fillId="0" borderId="0" xfId="3" quotePrefix="1" applyNumberFormat="1" applyFont="1" applyFill="1" applyAlignment="1">
      <alignment horizontal="center"/>
    </xf>
    <xf numFmtId="180" fontId="5" fillId="0" borderId="0" xfId="3" applyNumberFormat="1" applyFont="1" applyFill="1" applyAlignment="1">
      <alignment horizontal="center" wrapText="1"/>
    </xf>
    <xf numFmtId="183" fontId="5" fillId="0" borderId="0" xfId="3" applyNumberFormat="1" applyFont="1" applyFill="1" applyProtection="1"/>
    <xf numFmtId="7" fontId="5" fillId="0" borderId="0" xfId="3" applyNumberFormat="1" applyFont="1" applyFill="1" applyProtection="1"/>
    <xf numFmtId="196" fontId="5" fillId="0" borderId="0" xfId="2" applyNumberFormat="1" applyFont="1" applyFill="1" applyAlignment="1" applyProtection="1">
      <alignment horizontal="center"/>
    </xf>
    <xf numFmtId="6" fontId="5" fillId="0" borderId="0" xfId="1" applyNumberFormat="1" applyFont="1" applyFill="1" applyAlignment="1" applyProtection="1">
      <alignment horizontal="center"/>
    </xf>
    <xf numFmtId="5" fontId="5" fillId="0" borderId="0" xfId="2" applyNumberFormat="1" applyFont="1" applyFill="1" applyAlignment="1" applyProtection="1">
      <alignment horizontal="right"/>
    </xf>
    <xf numFmtId="176" fontId="5" fillId="0" borderId="0" xfId="1" applyNumberFormat="1" applyFont="1" applyFill="1" applyAlignment="1" applyProtection="1">
      <alignment horizontal="right"/>
    </xf>
    <xf numFmtId="5" fontId="5" fillId="0" borderId="0" xfId="3" applyNumberFormat="1" applyFont="1" applyFill="1" applyBorder="1" applyAlignment="1">
      <alignment horizontal="right"/>
    </xf>
    <xf numFmtId="193" fontId="5" fillId="0" borderId="0" xfId="1" applyNumberFormat="1" applyFont="1" applyFill="1" applyAlignment="1" applyProtection="1">
      <alignment horizontal="center" vertical="center"/>
    </xf>
    <xf numFmtId="196" fontId="5" fillId="0" borderId="7" xfId="2" applyNumberFormat="1" applyFont="1" applyFill="1" applyBorder="1" applyAlignment="1" applyProtection="1">
      <alignment horizontal="center"/>
    </xf>
    <xf numFmtId="193" fontId="5" fillId="0" borderId="7" xfId="1" applyNumberFormat="1" applyFont="1" applyFill="1" applyBorder="1" applyAlignment="1" applyProtection="1">
      <alignment horizontal="center"/>
    </xf>
    <xf numFmtId="6" fontId="5" fillId="0" borderId="7" xfId="1" applyNumberFormat="1" applyFont="1" applyFill="1" applyBorder="1" applyAlignment="1" applyProtection="1">
      <alignment horizontal="center"/>
    </xf>
    <xf numFmtId="183" fontId="5" fillId="0" borderId="7" xfId="0" applyNumberFormat="1" applyFont="1" applyFill="1" applyBorder="1" applyAlignment="1">
      <alignment horizontal="right"/>
    </xf>
    <xf numFmtId="5" fontId="5" fillId="0" borderId="7" xfId="2" applyNumberFormat="1" applyFont="1" applyFill="1" applyBorder="1" applyAlignment="1" applyProtection="1">
      <alignment horizontal="right"/>
    </xf>
    <xf numFmtId="176" fontId="5" fillId="0" borderId="7" xfId="1" applyNumberFormat="1" applyFont="1" applyFill="1" applyBorder="1" applyAlignment="1" applyProtection="1">
      <alignment horizontal="right"/>
    </xf>
    <xf numFmtId="5" fontId="5" fillId="0" borderId="7" xfId="3" applyNumberFormat="1" applyFont="1" applyFill="1" applyBorder="1" applyAlignment="1">
      <alignment horizontal="right"/>
    </xf>
    <xf numFmtId="197" fontId="5" fillId="0" borderId="7" xfId="1" applyNumberFormat="1" applyFont="1" applyFill="1" applyBorder="1" applyAlignment="1" applyProtection="1">
      <alignment horizontal="center"/>
    </xf>
    <xf numFmtId="176" fontId="5" fillId="0" borderId="0" xfId="1" applyNumberFormat="1" applyFont="1" applyFill="1" applyAlignment="1" applyProtection="1">
      <alignment horizontal="center"/>
    </xf>
    <xf numFmtId="7" fontId="5" fillId="0" borderId="0" xfId="2" applyNumberFormat="1" applyFont="1" applyFill="1" applyAlignment="1" applyProtection="1">
      <alignment horizontal="center"/>
    </xf>
    <xf numFmtId="44" fontId="5" fillId="0" borderId="0" xfId="2" applyFont="1" applyFill="1" applyAlignment="1" applyProtection="1">
      <alignment horizontal="center"/>
    </xf>
    <xf numFmtId="173" fontId="5" fillId="0" borderId="0" xfId="2" applyNumberFormat="1" applyFont="1" applyFill="1" applyAlignment="1" applyProtection="1">
      <alignment horizontal="center"/>
    </xf>
    <xf numFmtId="173" fontId="5" fillId="0" borderId="7" xfId="2" applyNumberFormat="1" applyFont="1" applyFill="1" applyBorder="1" applyAlignment="1" applyProtection="1">
      <alignment horizontal="center"/>
    </xf>
    <xf numFmtId="176" fontId="5" fillId="0" borderId="7" xfId="1" applyNumberFormat="1" applyFont="1" applyFill="1" applyBorder="1" applyAlignment="1" applyProtection="1">
      <alignment horizontal="center"/>
    </xf>
    <xf numFmtId="167" fontId="8" fillId="0" borderId="0" xfId="0" applyFont="1"/>
    <xf numFmtId="37" fontId="4" fillId="0" borderId="7" xfId="4" applyNumberFormat="1" applyFont="1" applyFill="1" applyBorder="1" applyAlignment="1">
      <alignment horizontal="center"/>
    </xf>
    <xf numFmtId="37" fontId="4" fillId="0" borderId="1" xfId="4" applyNumberFormat="1" applyFont="1" applyFill="1" applyBorder="1" applyAlignment="1">
      <alignment horizontal="center"/>
    </xf>
    <xf numFmtId="37" fontId="4" fillId="0" borderId="0" xfId="4" quotePrefix="1" applyNumberFormat="1" applyFont="1" applyFill="1" applyBorder="1" applyAlignment="1">
      <alignment horizontal="center"/>
    </xf>
    <xf numFmtId="37" fontId="4" fillId="0" borderId="0" xfId="4" quotePrefix="1" applyNumberFormat="1" applyFont="1" applyFill="1" applyBorder="1" applyAlignment="1">
      <alignment horizontal="center" wrapText="1"/>
    </xf>
    <xf numFmtId="185" fontId="5" fillId="0" borderId="0" xfId="4" applyNumberFormat="1" applyFont="1" applyFill="1" applyAlignment="1"/>
    <xf numFmtId="37" fontId="5" fillId="0" borderId="7" xfId="1" applyNumberFormat="1" applyFont="1" applyFill="1" applyBorder="1" applyAlignment="1"/>
    <xf numFmtId="5" fontId="5" fillId="0" borderId="0" xfId="4" applyNumberFormat="1" applyFont="1" applyFill="1" applyBorder="1" applyAlignment="1"/>
    <xf numFmtId="5" fontId="5" fillId="0" borderId="7" xfId="4" applyNumberFormat="1" applyFont="1" applyFill="1" applyBorder="1" applyAlignment="1"/>
    <xf numFmtId="5" fontId="5" fillId="0" borderId="0" xfId="4" applyNumberFormat="1" applyFont="1" applyFill="1" applyAlignment="1">
      <alignment horizontal="right"/>
    </xf>
    <xf numFmtId="187" fontId="5" fillId="0" borderId="7" xfId="0" applyNumberFormat="1" applyFont="1" applyFill="1" applyBorder="1" applyAlignment="1">
      <alignment horizontal="center" wrapText="1"/>
    </xf>
    <xf numFmtId="167" fontId="0" fillId="0" borderId="0" xfId="0" applyFont="1"/>
    <xf numFmtId="3" fontId="5" fillId="0" borderId="0" xfId="5" applyNumberFormat="1" applyFont="1" applyFill="1" applyAlignment="1">
      <alignment horizontal="center"/>
    </xf>
    <xf numFmtId="37" fontId="10" fillId="0" borderId="0" xfId="0" applyNumberFormat="1" applyFont="1" applyFill="1" applyBorder="1" applyProtection="1">
      <protection locked="0"/>
    </xf>
    <xf numFmtId="37" fontId="10" fillId="0" borderId="7" xfId="0" applyNumberFormat="1" applyFont="1" applyFill="1" applyBorder="1" applyProtection="1">
      <protection locked="0"/>
    </xf>
    <xf numFmtId="167" fontId="5" fillId="4" borderId="0" xfId="0" applyFont="1" applyFill="1"/>
    <xf numFmtId="0" fontId="7" fillId="0" borderId="9" xfId="5" applyFont="1" applyFill="1" applyBorder="1" applyAlignment="1">
      <alignment horizontal="center" wrapText="1"/>
    </xf>
    <xf numFmtId="0" fontId="7" fillId="0" borderId="9" xfId="5" quotePrefix="1" applyFont="1" applyFill="1" applyBorder="1" applyAlignment="1">
      <alignment horizontal="center" wrapText="1"/>
    </xf>
    <xf numFmtId="0" fontId="7" fillId="0" borderId="21" xfId="5" applyFont="1" applyFill="1" applyBorder="1" applyAlignment="1">
      <alignment horizontal="center" wrapText="1"/>
    </xf>
    <xf numFmtId="187" fontId="5" fillId="0" borderId="22" xfId="5" applyNumberFormat="1" applyFont="1" applyFill="1" applyBorder="1" applyAlignment="1">
      <alignment horizontal="center"/>
    </xf>
    <xf numFmtId="177" fontId="5" fillId="0" borderId="23" xfId="5" applyNumberFormat="1" applyFont="1" applyFill="1" applyBorder="1"/>
    <xf numFmtId="0" fontId="5" fillId="0" borderId="22" xfId="5" applyFont="1" applyFill="1" applyBorder="1"/>
    <xf numFmtId="0" fontId="5" fillId="0" borderId="0" xfId="5" applyFont="1" applyFill="1" applyBorder="1"/>
    <xf numFmtId="0" fontId="5" fillId="0" borderId="23" xfId="5" applyFont="1" applyFill="1" applyBorder="1"/>
    <xf numFmtId="0" fontId="11" fillId="0" borderId="24" xfId="5" applyFont="1" applyFill="1" applyBorder="1"/>
    <xf numFmtId="0" fontId="3" fillId="0" borderId="8" xfId="5" applyFont="1" applyFill="1" applyBorder="1"/>
    <xf numFmtId="177" fontId="7" fillId="0" borderId="8" xfId="5" applyNumberFormat="1" applyFont="1" applyFill="1" applyBorder="1"/>
    <xf numFmtId="177" fontId="7" fillId="0" borderId="25" xfId="5" applyNumberFormat="1" applyFont="1" applyFill="1" applyBorder="1"/>
    <xf numFmtId="199" fontId="5" fillId="0" borderId="0" xfId="1" applyNumberFormat="1" applyFont="1" applyFill="1" applyAlignment="1" applyProtection="1">
      <alignment horizontal="right"/>
    </xf>
    <xf numFmtId="199" fontId="5" fillId="0" borderId="7" xfId="1" applyNumberFormat="1" applyFont="1" applyFill="1" applyBorder="1" applyAlignment="1" applyProtection="1">
      <alignment horizontal="right"/>
    </xf>
    <xf numFmtId="176" fontId="5" fillId="0" borderId="0" xfId="1" applyNumberFormat="1" applyFont="1" applyFill="1" applyAlignment="1">
      <alignment horizontal="right"/>
    </xf>
    <xf numFmtId="176" fontId="5" fillId="0" borderId="0" xfId="0" applyNumberFormat="1" applyFont="1" applyFill="1"/>
    <xf numFmtId="167" fontId="5" fillId="0" borderId="6" xfId="0" applyFont="1" applyFill="1" applyBorder="1"/>
    <xf numFmtId="167" fontId="4" fillId="0" borderId="7" xfId="0" applyFont="1" applyFill="1" applyBorder="1" applyAlignment="1">
      <alignment horizontal="centerContinuous"/>
    </xf>
    <xf numFmtId="167" fontId="4" fillId="0" borderId="1" xfId="0" applyFont="1" applyFill="1" applyBorder="1" applyAlignment="1"/>
    <xf numFmtId="169" fontId="4" fillId="0" borderId="0" xfId="0" applyNumberFormat="1" applyFont="1" applyFill="1" applyBorder="1" applyAlignment="1"/>
    <xf numFmtId="187" fontId="5" fillId="5" borderId="0" xfId="0" applyNumberFormat="1" applyFont="1" applyFill="1"/>
    <xf numFmtId="3" fontId="5" fillId="5" borderId="0" xfId="0" applyNumberFormat="1" applyFont="1" applyFill="1" applyAlignment="1">
      <alignment horizontal="right"/>
    </xf>
    <xf numFmtId="167" fontId="5" fillId="0" borderId="16" xfId="0" applyFont="1" applyFill="1" applyBorder="1"/>
    <xf numFmtId="167" fontId="5" fillId="0" borderId="17" xfId="0" applyFont="1" applyFill="1" applyBorder="1"/>
    <xf numFmtId="177" fontId="7" fillId="0" borderId="12" xfId="5" applyNumberFormat="1" applyFont="1" applyFill="1" applyBorder="1"/>
    <xf numFmtId="0" fontId="5" fillId="0" borderId="10" xfId="5" applyFont="1" applyFill="1" applyBorder="1"/>
    <xf numFmtId="177" fontId="7" fillId="0" borderId="12" xfId="5" applyNumberFormat="1" applyFont="1" applyFill="1" applyBorder="1" applyAlignment="1">
      <alignment horizontal="center"/>
    </xf>
    <xf numFmtId="0" fontId="11" fillId="0" borderId="0" xfId="5" applyFont="1" applyFill="1"/>
    <xf numFmtId="167" fontId="4" fillId="0" borderId="7" xfId="0" applyFont="1" applyFill="1" applyBorder="1" applyAlignment="1">
      <alignment horizontal="left"/>
    </xf>
    <xf numFmtId="167" fontId="4" fillId="0" borderId="7" xfId="0" applyFont="1" applyFill="1" applyBorder="1"/>
    <xf numFmtId="167" fontId="5" fillId="0" borderId="0" xfId="0" applyFont="1" applyFill="1" applyAlignment="1">
      <alignment horizontal="center"/>
    </xf>
    <xf numFmtId="167" fontId="12" fillId="0" borderId="2" xfId="0" applyFont="1" applyFill="1" applyBorder="1" applyAlignment="1">
      <alignment horizontal="centerContinuous"/>
    </xf>
    <xf numFmtId="167" fontId="4" fillId="0" borderId="3" xfId="0" applyFont="1" applyFill="1" applyBorder="1" applyAlignment="1">
      <alignment horizontal="centerContinuous"/>
    </xf>
    <xf numFmtId="167" fontId="5" fillId="0" borderId="4" xfId="0" applyFont="1" applyFill="1" applyBorder="1" applyAlignment="1">
      <alignment horizontal="centerContinuous"/>
    </xf>
    <xf numFmtId="167" fontId="4" fillId="0" borderId="10" xfId="0" applyFont="1" applyFill="1" applyBorder="1" applyAlignment="1">
      <alignment horizontal="left"/>
    </xf>
    <xf numFmtId="167" fontId="4" fillId="0" borderId="5" xfId="0" applyFont="1" applyFill="1" applyBorder="1" applyAlignment="1">
      <alignment horizontal="left"/>
    </xf>
    <xf numFmtId="37" fontId="4" fillId="0" borderId="0" xfId="0" applyNumberFormat="1" applyFont="1" applyFill="1" applyBorder="1" applyProtection="1"/>
    <xf numFmtId="167" fontId="4" fillId="0" borderId="5" xfId="0" quotePrefix="1" applyFont="1" applyFill="1" applyBorder="1" applyAlignment="1">
      <alignment horizontal="left"/>
    </xf>
    <xf numFmtId="167" fontId="4" fillId="0" borderId="33" xfId="0" applyFont="1" applyFill="1" applyBorder="1"/>
    <xf numFmtId="167" fontId="4" fillId="0" borderId="33" xfId="0" applyFont="1" applyFill="1" applyBorder="1" applyAlignment="1">
      <alignment horizontal="center"/>
    </xf>
    <xf numFmtId="167" fontId="5" fillId="0" borderId="33" xfId="0" applyFont="1" applyFill="1" applyBorder="1"/>
    <xf numFmtId="167" fontId="5" fillId="0" borderId="30" xfId="0" applyFont="1" applyFill="1" applyBorder="1" applyAlignment="1">
      <alignment horizontal="center"/>
    </xf>
    <xf numFmtId="167" fontId="5" fillId="0" borderId="31" xfId="0" applyFont="1" applyFill="1" applyBorder="1" applyAlignment="1">
      <alignment horizontal="center"/>
    </xf>
    <xf numFmtId="167" fontId="5" fillId="0" borderId="28" xfId="0" applyFont="1" applyFill="1" applyBorder="1" applyAlignment="1">
      <alignment horizontal="center"/>
    </xf>
    <xf numFmtId="167" fontId="4" fillId="0" borderId="33" xfId="0" applyFont="1" applyFill="1" applyBorder="1" applyAlignment="1">
      <alignment horizontal="left"/>
    </xf>
    <xf numFmtId="167" fontId="4" fillId="0" borderId="16" xfId="0" applyFont="1" applyFill="1" applyBorder="1" applyAlignment="1">
      <alignment horizontal="left"/>
    </xf>
    <xf numFmtId="167" fontId="4" fillId="0" borderId="32" xfId="0" applyFont="1" applyFill="1" applyBorder="1"/>
    <xf numFmtId="167" fontId="4" fillId="0" borderId="32" xfId="0" applyFont="1" applyFill="1" applyBorder="1" applyAlignment="1">
      <alignment horizontal="center"/>
    </xf>
    <xf numFmtId="167" fontId="5" fillId="0" borderId="32" xfId="0" applyFont="1" applyFill="1" applyBorder="1"/>
    <xf numFmtId="167" fontId="4" fillId="0" borderId="2" xfId="0" applyFont="1" applyFill="1" applyBorder="1" applyAlignment="1">
      <alignment horizontal="left"/>
    </xf>
    <xf numFmtId="167" fontId="4" fillId="0" borderId="3" xfId="0" applyFont="1" applyFill="1" applyBorder="1"/>
    <xf numFmtId="167" fontId="4" fillId="0" borderId="3" xfId="0" applyFont="1" applyFill="1" applyBorder="1" applyAlignment="1">
      <alignment horizontal="right"/>
    </xf>
    <xf numFmtId="181" fontId="4" fillId="0" borderId="3" xfId="0" applyNumberFormat="1" applyFont="1" applyFill="1" applyBorder="1" applyAlignment="1">
      <alignment horizontal="left"/>
    </xf>
    <xf numFmtId="167" fontId="4" fillId="0" borderId="3" xfId="0" applyFont="1" applyFill="1" applyBorder="1" applyAlignment="1">
      <alignment horizontal="center"/>
    </xf>
    <xf numFmtId="172" fontId="4" fillId="0" borderId="3" xfId="1" applyNumberFormat="1" applyFont="1" applyFill="1" applyBorder="1"/>
    <xf numFmtId="167" fontId="4" fillId="0" borderId="0" xfId="0" applyFont="1" applyFill="1" applyBorder="1" applyAlignment="1">
      <alignment horizontal="right"/>
    </xf>
    <xf numFmtId="181" fontId="4" fillId="0" borderId="0" xfId="0" applyNumberFormat="1" applyFont="1" applyFill="1" applyBorder="1" applyAlignment="1">
      <alignment horizontal="left"/>
    </xf>
    <xf numFmtId="170" fontId="4" fillId="0" borderId="33" xfId="0" applyNumberFormat="1" applyFont="1" applyFill="1" applyBorder="1" applyAlignment="1" applyProtection="1"/>
    <xf numFmtId="167" fontId="9" fillId="0" borderId="0" xfId="0" applyFont="1" applyFill="1" applyAlignment="1">
      <alignment horizontal="centerContinuous"/>
    </xf>
    <xf numFmtId="167" fontId="5" fillId="0" borderId="3" xfId="0" applyFont="1" applyFill="1" applyBorder="1"/>
    <xf numFmtId="167" fontId="4" fillId="0" borderId="32" xfId="0" quotePrefix="1" applyFont="1" applyFill="1" applyBorder="1" applyAlignment="1">
      <alignment horizontal="left"/>
    </xf>
    <xf numFmtId="165" fontId="4" fillId="0" borderId="32" xfId="0" applyNumberFormat="1" applyFont="1" applyFill="1" applyBorder="1" applyProtection="1"/>
    <xf numFmtId="165" fontId="4" fillId="0" borderId="3" xfId="0" applyNumberFormat="1" applyFont="1" applyFill="1" applyBorder="1" applyProtection="1"/>
    <xf numFmtId="167" fontId="12" fillId="0" borderId="10" xfId="0" applyFont="1" applyFill="1" applyBorder="1" applyAlignment="1">
      <alignment horizontal="left"/>
    </xf>
    <xf numFmtId="165" fontId="12" fillId="0" borderId="7" xfId="0" applyNumberFormat="1" applyFont="1" applyFill="1" applyBorder="1" applyProtection="1"/>
    <xf numFmtId="167" fontId="5" fillId="0" borderId="34" xfId="0" applyFont="1" applyFill="1" applyBorder="1" applyAlignment="1">
      <alignment horizontal="center"/>
    </xf>
    <xf numFmtId="164" fontId="4" fillId="0" borderId="33" xfId="0" applyNumberFormat="1" applyFont="1" applyFill="1" applyBorder="1" applyProtection="1"/>
    <xf numFmtId="200" fontId="4" fillId="0" borderId="11" xfId="0" applyNumberFormat="1" applyFont="1" applyFill="1" applyBorder="1" applyProtection="1"/>
    <xf numFmtId="167" fontId="5" fillId="0" borderId="11" xfId="0" applyFont="1" applyFill="1" applyBorder="1" applyAlignment="1">
      <alignment horizontal="center"/>
    </xf>
    <xf numFmtId="201" fontId="4" fillId="0" borderId="3" xfId="1" applyNumberFormat="1" applyFont="1" applyFill="1" applyBorder="1"/>
    <xf numFmtId="191" fontId="4" fillId="0" borderId="4" xfId="1" applyNumberFormat="1" applyFont="1" applyFill="1" applyBorder="1"/>
    <xf numFmtId="171" fontId="4" fillId="0" borderId="33" xfId="0" applyNumberFormat="1" applyFont="1" applyFill="1" applyBorder="1" applyAlignment="1" applyProtection="1"/>
    <xf numFmtId="202" fontId="4" fillId="0" borderId="11" xfId="0" applyNumberFormat="1" applyFont="1" applyFill="1" applyBorder="1" applyAlignment="1" applyProtection="1"/>
    <xf numFmtId="166" fontId="4" fillId="0" borderId="32" xfId="0" applyNumberFormat="1" applyFont="1" applyFill="1" applyBorder="1" applyProtection="1"/>
    <xf numFmtId="168" fontId="4" fillId="0" borderId="17" xfId="0" applyNumberFormat="1" applyFont="1" applyFill="1" applyBorder="1" applyProtection="1"/>
    <xf numFmtId="166" fontId="4" fillId="0" borderId="3" xfId="0" applyNumberFormat="1" applyFont="1" applyFill="1" applyBorder="1" applyProtection="1"/>
    <xf numFmtId="168" fontId="4" fillId="0" borderId="4" xfId="0" applyNumberFormat="1" applyFont="1" applyFill="1" applyBorder="1" applyProtection="1"/>
    <xf numFmtId="166" fontId="4" fillId="0" borderId="0" xfId="0" applyNumberFormat="1" applyFont="1" applyFill="1" applyBorder="1" applyProtection="1"/>
    <xf numFmtId="168" fontId="4" fillId="0" borderId="6" xfId="0" applyNumberFormat="1" applyFont="1" applyFill="1" applyBorder="1" applyProtection="1"/>
    <xf numFmtId="166" fontId="4" fillId="0" borderId="33" xfId="0" applyNumberFormat="1" applyFont="1" applyFill="1" applyBorder="1" applyProtection="1"/>
    <xf numFmtId="168" fontId="4" fillId="0" borderId="11" xfId="0" applyNumberFormat="1" applyFont="1" applyFill="1" applyBorder="1" applyProtection="1"/>
    <xf numFmtId="166" fontId="4" fillId="0" borderId="7" xfId="0" applyNumberFormat="1" applyFont="1" applyFill="1" applyBorder="1" applyProtection="1"/>
    <xf numFmtId="165" fontId="5" fillId="0" borderId="0" xfId="0" applyNumberFormat="1" applyFont="1" applyFill="1" applyProtection="1"/>
    <xf numFmtId="201" fontId="5" fillId="0" borderId="0" xfId="1" applyNumberFormat="1" applyFont="1" applyFill="1"/>
    <xf numFmtId="173" fontId="5" fillId="0" borderId="0" xfId="0" applyNumberFormat="1" applyFont="1" applyFill="1" applyBorder="1"/>
    <xf numFmtId="174" fontId="5" fillId="0" borderId="33" xfId="0" applyNumberFormat="1" applyFont="1" applyBorder="1" applyAlignment="1">
      <alignment horizontal="center"/>
    </xf>
    <xf numFmtId="167" fontId="5" fillId="0" borderId="0" xfId="0" applyFont="1" applyFill="1" applyAlignment="1">
      <alignment horizontal="center"/>
    </xf>
    <xf numFmtId="0" fontId="5" fillId="0" borderId="33" xfId="0" applyNumberFormat="1" applyFont="1" applyBorder="1" applyAlignment="1">
      <alignment horizontal="center"/>
    </xf>
    <xf numFmtId="177" fontId="5" fillId="0" borderId="33" xfId="1" applyNumberFormat="1" applyFont="1" applyFill="1" applyBorder="1" applyAlignment="1">
      <alignment horizontal="center"/>
    </xf>
    <xf numFmtId="7" fontId="4" fillId="0" borderId="33" xfId="0" applyNumberFormat="1" applyFont="1" applyFill="1" applyBorder="1" applyAlignment="1" applyProtection="1">
      <alignment horizontal="center"/>
    </xf>
    <xf numFmtId="167" fontId="5" fillId="0" borderId="0" xfId="0" applyFont="1" applyAlignment="1">
      <alignment horizontal="center"/>
    </xf>
    <xf numFmtId="167" fontId="5" fillId="0" borderId="0" xfId="0" applyFont="1" applyFill="1" applyAlignment="1">
      <alignment horizontal="center"/>
    </xf>
    <xf numFmtId="167" fontId="5" fillId="0" borderId="16" xfId="0" applyFont="1" applyBorder="1" applyAlignment="1">
      <alignment horizontal="center"/>
    </xf>
    <xf numFmtId="196" fontId="5" fillId="0" borderId="7" xfId="0" applyNumberFormat="1" applyFont="1" applyBorder="1" applyAlignment="1">
      <alignment horizontal="center"/>
    </xf>
    <xf numFmtId="167" fontId="9" fillId="0" borderId="0" xfId="0" applyFont="1" applyFill="1" applyAlignment="1">
      <alignment horizontal="center"/>
    </xf>
    <xf numFmtId="167" fontId="10" fillId="0" borderId="0" xfId="0" applyFont="1" applyFill="1" applyAlignment="1">
      <alignment horizontal="center"/>
    </xf>
    <xf numFmtId="167" fontId="5" fillId="0" borderId="7" xfId="0" applyFont="1" applyFill="1" applyBorder="1" applyAlignment="1">
      <alignment horizontal="center"/>
    </xf>
    <xf numFmtId="167" fontId="5" fillId="0" borderId="7" xfId="0" applyFont="1" applyFill="1" applyBorder="1" applyAlignment="1">
      <alignment horizontal="center" wrapText="1"/>
    </xf>
    <xf numFmtId="0" fontId="31" fillId="0" borderId="16" xfId="5" applyFont="1" applyFill="1" applyBorder="1" applyAlignment="1">
      <alignment horizontal="center"/>
    </xf>
    <xf numFmtId="0" fontId="31" fillId="0" borderId="17" xfId="5" applyFont="1" applyFill="1" applyBorder="1" applyAlignment="1">
      <alignment horizontal="center"/>
    </xf>
    <xf numFmtId="167" fontId="7" fillId="0" borderId="0" xfId="0" applyFont="1" applyFill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95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95" fontId="5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76" fontId="5" fillId="0" borderId="0" xfId="0" applyNumberFormat="1" applyFont="1" applyFill="1" applyBorder="1" applyAlignment="1" applyProtection="1">
      <alignment horizontal="center"/>
    </xf>
    <xf numFmtId="43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Protection="1"/>
    <xf numFmtId="43" fontId="5" fillId="0" borderId="0" xfId="0" applyNumberFormat="1" applyFont="1" applyFill="1" applyProtection="1"/>
    <xf numFmtId="0" fontId="5" fillId="0" borderId="0" xfId="0" applyNumberFormat="1" applyFont="1" applyFill="1" applyProtection="1"/>
    <xf numFmtId="176" fontId="5" fillId="0" borderId="0" xfId="1" applyNumberFormat="1" applyFont="1"/>
    <xf numFmtId="167" fontId="5" fillId="0" borderId="0" xfId="0" quotePrefix="1" applyFont="1" applyFill="1" applyAlignment="1">
      <alignment horizontal="right"/>
    </xf>
    <xf numFmtId="44" fontId="5" fillId="0" borderId="0" xfId="2" applyFont="1" applyFill="1" applyAlignment="1">
      <alignment horizontal="right"/>
    </xf>
    <xf numFmtId="172" fontId="4" fillId="0" borderId="0" xfId="1" applyNumberFormat="1" applyFont="1" applyFill="1" applyBorder="1"/>
    <xf numFmtId="201" fontId="4" fillId="0" borderId="0" xfId="1" applyNumberFormat="1" applyFont="1" applyFill="1" applyBorder="1"/>
    <xf numFmtId="191" fontId="4" fillId="0" borderId="6" xfId="1" applyNumberFormat="1" applyFont="1" applyFill="1" applyBorder="1"/>
    <xf numFmtId="201" fontId="4" fillId="0" borderId="33" xfId="1" applyNumberFormat="1" applyFont="1" applyFill="1" applyBorder="1"/>
    <xf numFmtId="191" fontId="4" fillId="0" borderId="11" xfId="1" applyNumberFormat="1" applyFont="1" applyFill="1" applyBorder="1"/>
    <xf numFmtId="5" fontId="5" fillId="0" borderId="7" xfId="0" applyNumberFormat="1" applyFont="1" applyFill="1" applyBorder="1" applyProtection="1"/>
    <xf numFmtId="5" fontId="5" fillId="0" borderId="7" xfId="0" applyNumberFormat="1" applyFont="1" applyFill="1" applyBorder="1" applyAlignment="1" applyProtection="1">
      <alignment horizontal="right"/>
    </xf>
    <xf numFmtId="6" fontId="7" fillId="0" borderId="0" xfId="0" applyNumberFormat="1" applyFont="1" applyFill="1" applyBorder="1"/>
    <xf numFmtId="173" fontId="5" fillId="0" borderId="0" xfId="1" applyNumberFormat="1" applyFont="1" applyFill="1" applyAlignment="1" applyProtection="1">
      <alignment horizontal="center"/>
    </xf>
    <xf numFmtId="5" fontId="5" fillId="0" borderId="0" xfId="2" applyNumberFormat="1" applyFont="1" applyFill="1" applyAlignment="1"/>
    <xf numFmtId="5" fontId="5" fillId="0" borderId="0" xfId="0" applyNumberFormat="1" applyFont="1" applyFill="1" applyBorder="1" applyAlignment="1" applyProtection="1">
      <alignment horizontal="right"/>
    </xf>
    <xf numFmtId="177" fontId="10" fillId="0" borderId="0" xfId="1" applyNumberFormat="1" applyFont="1" applyFill="1" applyBorder="1"/>
    <xf numFmtId="167" fontId="34" fillId="0" borderId="0" xfId="0" applyFont="1" applyFill="1"/>
    <xf numFmtId="0" fontId="11" fillId="0" borderId="0" xfId="5" applyFont="1" applyFill="1" applyBorder="1" applyAlignment="1">
      <alignment wrapText="1"/>
    </xf>
    <xf numFmtId="187" fontId="3" fillId="0" borderId="0" xfId="5" applyNumberFormat="1" applyFont="1" applyFill="1" applyBorder="1" applyAlignment="1">
      <alignment horizontal="center"/>
    </xf>
    <xf numFmtId="177" fontId="5" fillId="0" borderId="6" xfId="5" applyNumberFormat="1" applyFont="1" applyFill="1" applyBorder="1"/>
    <xf numFmtId="0" fontId="5" fillId="0" borderId="11" xfId="5" applyFont="1" applyFill="1" applyBorder="1" applyAlignment="1">
      <alignment horizontal="center"/>
    </xf>
    <xf numFmtId="177" fontId="7" fillId="0" borderId="7" xfId="5" applyNumberFormat="1" applyFont="1" applyFill="1" applyBorder="1"/>
    <xf numFmtId="193" fontId="5" fillId="0" borderId="0" xfId="0" quotePrefix="1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/>
    </xf>
    <xf numFmtId="7" fontId="5" fillId="0" borderId="0" xfId="0" applyNumberFormat="1" applyFont="1" applyFill="1" applyProtection="1"/>
    <xf numFmtId="173" fontId="15" fillId="0" borderId="0" xfId="0" applyNumberFormat="1" applyFont="1" applyFill="1" applyProtection="1"/>
    <xf numFmtId="167" fontId="5" fillId="0" borderId="0" xfId="0" applyFont="1" applyAlignment="1">
      <alignment horizontal="center"/>
    </xf>
    <xf numFmtId="167" fontId="5" fillId="0" borderId="0" xfId="0" applyFont="1" applyFill="1" applyAlignment="1">
      <alignment horizontal="center"/>
    </xf>
    <xf numFmtId="167" fontId="5" fillId="0" borderId="16" xfId="0" applyFont="1" applyBorder="1" applyAlignment="1">
      <alignment horizontal="center"/>
    </xf>
    <xf numFmtId="167" fontId="5" fillId="0" borderId="13" xfId="0" applyFont="1" applyBorder="1" applyAlignment="1">
      <alignment horizontal="center"/>
    </xf>
    <xf numFmtId="167" fontId="5" fillId="0" borderId="17" xfId="0" applyFont="1" applyBorder="1" applyAlignment="1">
      <alignment horizontal="center"/>
    </xf>
    <xf numFmtId="196" fontId="5" fillId="0" borderId="7" xfId="0" applyNumberFormat="1" applyFont="1" applyBorder="1" applyAlignment="1">
      <alignment horizontal="center"/>
    </xf>
    <xf numFmtId="167" fontId="9" fillId="0" borderId="0" xfId="0" applyFont="1" applyFill="1" applyAlignment="1">
      <alignment horizontal="center"/>
    </xf>
    <xf numFmtId="167" fontId="9" fillId="0" borderId="0" xfId="0" applyFont="1" applyAlignment="1">
      <alignment horizontal="center"/>
    </xf>
    <xf numFmtId="167" fontId="9" fillId="0" borderId="0" xfId="0" quotePrefix="1" applyFont="1" applyAlignment="1">
      <alignment horizontal="center"/>
    </xf>
    <xf numFmtId="167" fontId="24" fillId="0" borderId="0" xfId="0" applyFont="1" applyFill="1" applyAlignment="1">
      <alignment horizontal="center"/>
    </xf>
    <xf numFmtId="167" fontId="10" fillId="0" borderId="0" xfId="0" applyFont="1" applyFill="1" applyAlignment="1">
      <alignment horizontal="center"/>
    </xf>
    <xf numFmtId="167" fontId="7" fillId="0" borderId="18" xfId="0" applyFont="1" applyFill="1" applyBorder="1" applyAlignment="1">
      <alignment horizontal="center"/>
    </xf>
    <xf numFmtId="167" fontId="7" fillId="0" borderId="15" xfId="0" applyFont="1" applyFill="1" applyBorder="1" applyAlignment="1">
      <alignment horizontal="center"/>
    </xf>
    <xf numFmtId="167" fontId="7" fillId="0" borderId="19" xfId="0" applyFont="1" applyFill="1" applyBorder="1" applyAlignment="1">
      <alignment horizontal="center"/>
    </xf>
    <xf numFmtId="167" fontId="9" fillId="0" borderId="20" xfId="0" applyFont="1" applyFill="1" applyBorder="1" applyAlignment="1">
      <alignment horizontal="center" vertical="center"/>
    </xf>
    <xf numFmtId="167" fontId="9" fillId="0" borderId="9" xfId="0" applyFont="1" applyFill="1" applyBorder="1" applyAlignment="1">
      <alignment horizontal="center" vertical="center"/>
    </xf>
    <xf numFmtId="167" fontId="9" fillId="0" borderId="21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31" fillId="0" borderId="18" xfId="5" applyFont="1" applyFill="1" applyBorder="1" applyAlignment="1">
      <alignment horizontal="center"/>
    </xf>
    <xf numFmtId="0" fontId="31" fillId="0" borderId="15" xfId="5" applyFont="1" applyFill="1" applyBorder="1" applyAlignment="1">
      <alignment horizontal="center"/>
    </xf>
    <xf numFmtId="0" fontId="31" fillId="0" borderId="19" xfId="5" applyFont="1" applyFill="1" applyBorder="1" applyAlignment="1">
      <alignment horizontal="center"/>
    </xf>
    <xf numFmtId="0" fontId="9" fillId="0" borderId="0" xfId="3" applyFont="1" applyFill="1" applyAlignment="1">
      <alignment horizontal="center"/>
    </xf>
    <xf numFmtId="0" fontId="10" fillId="0" borderId="0" xfId="3" applyFont="1" applyFill="1" applyAlignment="1">
      <alignment horizontal="center"/>
    </xf>
    <xf numFmtId="37" fontId="12" fillId="0" borderId="8" xfId="4" applyNumberFormat="1" applyFont="1" applyFill="1" applyBorder="1" applyAlignment="1">
      <alignment horizontal="center"/>
    </xf>
    <xf numFmtId="37" fontId="9" fillId="0" borderId="0" xfId="4" applyNumberFormat="1" applyFont="1" applyFill="1" applyAlignment="1">
      <alignment horizontal="center"/>
    </xf>
    <xf numFmtId="37" fontId="10" fillId="0" borderId="0" xfId="4" applyNumberFormat="1" applyFont="1" applyFill="1" applyAlignment="1">
      <alignment horizontal="center"/>
    </xf>
    <xf numFmtId="167" fontId="5" fillId="0" borderId="7" xfId="0" applyFont="1" applyFill="1" applyBorder="1" applyAlignment="1">
      <alignment horizontal="center"/>
    </xf>
    <xf numFmtId="167" fontId="5" fillId="0" borderId="7" xfId="0" applyFont="1" applyFill="1" applyBorder="1" applyAlignment="1">
      <alignment horizontal="center" wrapText="1"/>
    </xf>
    <xf numFmtId="0" fontId="31" fillId="0" borderId="2" xfId="5" applyFont="1" applyFill="1" applyBorder="1" applyAlignment="1">
      <alignment horizontal="center"/>
    </xf>
    <xf numFmtId="0" fontId="31" fillId="0" borderId="3" xfId="5" applyFont="1" applyFill="1" applyBorder="1" applyAlignment="1">
      <alignment horizontal="center"/>
    </xf>
    <xf numFmtId="0" fontId="31" fillId="0" borderId="4" xfId="5" applyFont="1" applyFill="1" applyBorder="1" applyAlignment="1">
      <alignment horizontal="center"/>
    </xf>
    <xf numFmtId="0" fontId="9" fillId="0" borderId="0" xfId="5" applyFont="1" applyFill="1" applyAlignment="1">
      <alignment horizontal="center"/>
    </xf>
    <xf numFmtId="167" fontId="7" fillId="0" borderId="16" xfId="0" applyFont="1" applyFill="1" applyBorder="1" applyAlignment="1">
      <alignment horizontal="center"/>
    </xf>
    <xf numFmtId="167" fontId="7" fillId="0" borderId="13" xfId="0" applyFont="1" applyFill="1" applyBorder="1" applyAlignment="1">
      <alignment horizontal="center"/>
    </xf>
    <xf numFmtId="167" fontId="7" fillId="0" borderId="17" xfId="0" applyFont="1" applyFill="1" applyBorder="1" applyAlignment="1">
      <alignment horizontal="center"/>
    </xf>
    <xf numFmtId="0" fontId="10" fillId="0" borderId="0" xfId="5" applyFont="1" applyFill="1" applyAlignment="1">
      <alignment horizontal="center"/>
    </xf>
    <xf numFmtId="0" fontId="9" fillId="0" borderId="16" xfId="5" applyFont="1" applyFill="1" applyBorder="1" applyAlignment="1">
      <alignment horizontal="center"/>
    </xf>
    <xf numFmtId="0" fontId="9" fillId="0" borderId="13" xfId="5" applyFont="1" applyFill="1" applyBorder="1" applyAlignment="1">
      <alignment horizontal="center"/>
    </xf>
    <xf numFmtId="0" fontId="9" fillId="0" borderId="17" xfId="5" applyFont="1" applyFill="1" applyBorder="1" applyAlignment="1">
      <alignment horizontal="center"/>
    </xf>
    <xf numFmtId="0" fontId="31" fillId="0" borderId="16" xfId="5" applyFont="1" applyFill="1" applyBorder="1" applyAlignment="1">
      <alignment horizontal="center"/>
    </xf>
    <xf numFmtId="0" fontId="31" fillId="0" borderId="13" xfId="5" applyFont="1" applyFill="1" applyBorder="1" applyAlignment="1">
      <alignment horizontal="center"/>
    </xf>
    <xf numFmtId="0" fontId="31" fillId="0" borderId="17" xfId="5" applyFont="1" applyFill="1" applyBorder="1" applyAlignment="1">
      <alignment horizontal="center"/>
    </xf>
    <xf numFmtId="0" fontId="23" fillId="0" borderId="0" xfId="5" applyFont="1" applyFill="1" applyBorder="1" applyAlignment="1">
      <alignment horizontal="center"/>
    </xf>
    <xf numFmtId="167" fontId="15" fillId="0" borderId="0" xfId="0" applyNumberFormat="1" applyFont="1" applyFill="1" applyBorder="1" applyAlignment="1">
      <alignment horizontal="center"/>
    </xf>
    <xf numFmtId="167" fontId="23" fillId="0" borderId="0" xfId="0" applyFont="1" applyFill="1" applyAlignment="1">
      <alignment horizontal="center"/>
    </xf>
    <xf numFmtId="167" fontId="7" fillId="0" borderId="0" xfId="0" applyFont="1" applyFill="1" applyAlignment="1">
      <alignment horizontal="center"/>
    </xf>
  </cellXfs>
  <cellStyles count="7">
    <cellStyle name="Accent6" xfId="6" builtinId="49"/>
    <cellStyle name="Comma" xfId="1" builtinId="3"/>
    <cellStyle name="Currency" xfId="2" builtinId="4"/>
    <cellStyle name="Normal" xfId="0" builtinId="0"/>
    <cellStyle name="Normal_Nov 06 Exhibit B1 - Page 3 of 6" xfId="3"/>
    <cellStyle name="Normal_Nov 06 Exhibit B1 - Page 4 of 6" xfId="4"/>
    <cellStyle name="Normal_Nov 06 Exhibit E-1. xls" xfId="5"/>
  </cellStyles>
  <dxfs count="2">
    <dxf>
      <font>
        <color auto="1"/>
      </font>
      <border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0000FF"/>
      <color rgb="FF2006BA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vert="horz" wrap="square" lIns="45720" tIns="36576" rIns="0" bIns="0" anchor="b" upright="1"/>
      <a:lstStyle>
        <a:defPPr algn="l" rtl="0">
          <a:defRPr sz="1200" b="1" i="0" u="none" strike="noStrike" baseline="0">
            <a:solidFill>
              <a:srgbClr val="000000"/>
            </a:solidFill>
            <a:latin typeface="Arial"/>
            <a:cs typeface="Arial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3" tint="0.59999389629810485"/>
  </sheetPr>
  <dimension ref="A1"/>
  <sheetViews>
    <sheetView workbookViewId="0"/>
  </sheetViews>
  <sheetFormatPr defaultRowHeight="15.75" x14ac:dyDescent="0.25"/>
  <cols>
    <col min="1" max="16384" width="8.88671875" style="435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theme="9" tint="0.59999389629810485"/>
    <pageSetUpPr fitToPage="1"/>
  </sheetPr>
  <dimension ref="A1:O77"/>
  <sheetViews>
    <sheetView zoomScale="80" zoomScaleNormal="80" workbookViewId="0"/>
  </sheetViews>
  <sheetFormatPr defaultColWidth="12.6640625" defaultRowHeight="15.75" x14ac:dyDescent="0.25"/>
  <cols>
    <col min="1" max="1" width="5.77734375" style="531" customWidth="1"/>
    <col min="2" max="3" width="12.6640625" style="3"/>
    <col min="4" max="4" width="7.44140625" style="3" customWidth="1"/>
    <col min="5" max="5" width="5.77734375" style="3" customWidth="1"/>
    <col min="6" max="6" width="16" style="3" bestFit="1" customWidth="1"/>
    <col min="7" max="7" width="16" style="3" customWidth="1"/>
    <col min="8" max="11" width="10.77734375" style="3" customWidth="1"/>
    <col min="12" max="16384" width="12.6640625" style="3"/>
  </cols>
  <sheetData>
    <row r="1" spans="1:15" x14ac:dyDescent="0.25">
      <c r="B1" s="2"/>
      <c r="C1" s="2"/>
      <c r="D1" s="2"/>
      <c r="E1" s="2"/>
      <c r="F1" s="2"/>
      <c r="G1" s="2"/>
      <c r="H1" s="2"/>
      <c r="I1" s="53"/>
      <c r="J1" s="2"/>
    </row>
    <row r="2" spans="1:15" x14ac:dyDescent="0.25">
      <c r="B2" s="2"/>
      <c r="C2" s="2"/>
      <c r="D2" s="2"/>
      <c r="E2" s="2"/>
      <c r="F2" s="2"/>
      <c r="G2" s="2"/>
      <c r="H2" s="2"/>
      <c r="I2" s="53"/>
      <c r="J2" s="2"/>
      <c r="O2" s="13"/>
    </row>
    <row r="3" spans="1:15" ht="18.75" x14ac:dyDescent="0.3">
      <c r="A3" s="314" t="s">
        <v>5</v>
      </c>
      <c r="B3" s="226"/>
      <c r="C3" s="89"/>
      <c r="D3" s="89"/>
      <c r="E3" s="89"/>
      <c r="F3" s="89"/>
      <c r="G3" s="89"/>
      <c r="H3" s="89"/>
      <c r="I3" s="89"/>
      <c r="J3" s="132"/>
      <c r="K3" s="226"/>
    </row>
    <row r="4" spans="1:15" ht="18.75" x14ac:dyDescent="0.3">
      <c r="A4" s="177"/>
      <c r="C4" s="177"/>
      <c r="D4" s="177"/>
      <c r="E4" s="177"/>
      <c r="F4" s="177"/>
      <c r="G4" s="177"/>
      <c r="H4" s="177"/>
      <c r="I4" s="177"/>
      <c r="J4" s="2"/>
    </row>
    <row r="5" spans="1:15" ht="18.75" x14ac:dyDescent="0.3">
      <c r="A5" s="498" t="s">
        <v>6</v>
      </c>
      <c r="B5" s="226"/>
      <c r="C5" s="89"/>
      <c r="D5" s="89"/>
      <c r="E5" s="89"/>
      <c r="F5" s="89"/>
      <c r="G5" s="89"/>
      <c r="H5" s="89"/>
      <c r="I5" s="89"/>
      <c r="J5" s="132"/>
      <c r="K5" s="226"/>
    </row>
    <row r="6" spans="1:15" ht="18.75" x14ac:dyDescent="0.3">
      <c r="A6" s="498" t="str">
        <f>CONCATENATE("Service Rendered On and After ",'Input Data'!D4)</f>
        <v>Service Rendered On and After August 1, 2019</v>
      </c>
      <c r="B6" s="226"/>
      <c r="C6" s="89"/>
      <c r="D6" s="89"/>
      <c r="E6" s="89"/>
      <c r="F6" s="89"/>
      <c r="G6" s="89"/>
      <c r="H6" s="89"/>
      <c r="I6" s="89"/>
      <c r="J6" s="132"/>
      <c r="K6" s="226"/>
    </row>
    <row r="7" spans="1:15" ht="18.75" x14ac:dyDescent="0.3">
      <c r="A7" s="177"/>
      <c r="C7" s="177"/>
      <c r="D7" s="177"/>
      <c r="E7" s="177"/>
      <c r="F7" s="177"/>
      <c r="G7" s="177"/>
      <c r="H7" s="177"/>
      <c r="I7" s="177"/>
      <c r="J7" s="2"/>
    </row>
    <row r="8" spans="1:15" ht="18.75" x14ac:dyDescent="0.3">
      <c r="A8" s="314" t="str">
        <f>'Input Data'!C12</f>
        <v>2019-00179</v>
      </c>
      <c r="B8" s="226"/>
      <c r="C8" s="89"/>
      <c r="D8" s="89"/>
      <c r="E8" s="89"/>
      <c r="F8" s="89"/>
      <c r="G8" s="89"/>
      <c r="H8" s="89"/>
      <c r="I8" s="89"/>
      <c r="J8" s="132"/>
      <c r="K8" s="226"/>
    </row>
    <row r="9" spans="1:15" x14ac:dyDescent="0.25">
      <c r="B9" s="2"/>
      <c r="C9" s="2"/>
      <c r="D9" s="2"/>
      <c r="E9" s="2"/>
      <c r="F9" s="2"/>
      <c r="G9" s="2"/>
      <c r="H9" s="2"/>
      <c r="I9" s="2"/>
      <c r="J9" s="2"/>
    </row>
    <row r="10" spans="1:15" x14ac:dyDescent="0.25">
      <c r="B10" s="2"/>
      <c r="C10" s="2"/>
      <c r="D10" s="2"/>
      <c r="E10" s="2"/>
      <c r="F10" s="2"/>
      <c r="G10" s="2"/>
      <c r="H10" s="2"/>
      <c r="I10" s="2"/>
      <c r="J10" s="2"/>
    </row>
    <row r="11" spans="1:15" x14ac:dyDescent="0.25">
      <c r="B11" s="2"/>
      <c r="C11" s="2"/>
      <c r="D11" s="2"/>
      <c r="E11" s="2"/>
      <c r="F11" s="2"/>
      <c r="G11" s="2"/>
      <c r="H11" s="2"/>
      <c r="I11" s="2"/>
      <c r="J11" s="2"/>
    </row>
    <row r="12" spans="1:15" x14ac:dyDescent="0.25">
      <c r="A12" s="481" t="s">
        <v>325</v>
      </c>
      <c r="B12" s="471" t="s">
        <v>7</v>
      </c>
      <c r="C12" s="472"/>
      <c r="D12" s="472"/>
      <c r="E12" s="472"/>
      <c r="F12" s="472"/>
      <c r="G12" s="472"/>
      <c r="H12" s="472"/>
      <c r="I12" s="472"/>
      <c r="J12" s="472"/>
      <c r="K12" s="473"/>
    </row>
    <row r="13" spans="1:15" x14ac:dyDescent="0.25">
      <c r="A13" s="482" t="s">
        <v>326</v>
      </c>
      <c r="B13" s="474" t="s">
        <v>600</v>
      </c>
      <c r="C13" s="134"/>
      <c r="D13" s="133"/>
      <c r="E13" s="133"/>
      <c r="F13" s="133"/>
      <c r="G13" s="133"/>
      <c r="H13" s="135" t="s">
        <v>8</v>
      </c>
      <c r="I13" s="135" t="s">
        <v>510</v>
      </c>
      <c r="J13" s="479" t="s">
        <v>12</v>
      </c>
      <c r="K13" s="505" t="s">
        <v>596</v>
      </c>
    </row>
    <row r="14" spans="1:15" x14ac:dyDescent="0.25">
      <c r="A14" s="483">
        <v>1</v>
      </c>
      <c r="B14" s="475" t="s">
        <v>9</v>
      </c>
      <c r="C14" s="139"/>
      <c r="D14" s="139"/>
      <c r="E14" s="139"/>
      <c r="F14" s="139"/>
      <c r="G14" s="139"/>
      <c r="H14" s="140" t="s">
        <v>10</v>
      </c>
      <c r="I14" s="476">
        <f>'Ex A 1 of 2'!F63</f>
        <v>8944725</v>
      </c>
      <c r="J14" s="139"/>
      <c r="K14" s="456"/>
    </row>
    <row r="15" spans="1:15" x14ac:dyDescent="0.25">
      <c r="A15" s="483">
        <v>2</v>
      </c>
      <c r="B15" s="477" t="str">
        <f>CONCATENATE("Total Expected Customer Deliveries: ",'Input Data'!D4," through ",'Input Data'!D5)</f>
        <v>Total Expected Customer Deliveries: August 1, 2019 through October 31, 2019</v>
      </c>
      <c r="C15" s="139"/>
      <c r="D15" s="139"/>
      <c r="E15" s="139"/>
      <c r="F15" s="139"/>
      <c r="G15" s="139"/>
      <c r="H15" s="140" t="s">
        <v>11</v>
      </c>
      <c r="I15" s="476">
        <f>'Ex A 1 of 2'!F74</f>
        <v>2877640.0202000001</v>
      </c>
      <c r="J15" s="30"/>
      <c r="K15" s="456"/>
    </row>
    <row r="16" spans="1:15" x14ac:dyDescent="0.25">
      <c r="A16" s="482">
        <v>3</v>
      </c>
      <c r="B16" s="474" t="s">
        <v>597</v>
      </c>
      <c r="C16" s="478"/>
      <c r="D16" s="478"/>
      <c r="E16" s="478"/>
      <c r="F16" s="478"/>
      <c r="G16" s="478"/>
      <c r="H16" s="479"/>
      <c r="I16" s="480"/>
      <c r="J16" s="506">
        <f>ROUND('Ex A 1 of 2'!F77,4)</f>
        <v>3.1084000000000001</v>
      </c>
      <c r="K16" s="507">
        <f>ROUND('Ex A 1 of 2'!F77/10,5)</f>
        <v>0.31084000000000001</v>
      </c>
    </row>
    <row r="17" spans="1:12" x14ac:dyDescent="0.25">
      <c r="B17" s="2"/>
      <c r="C17" s="2"/>
      <c r="D17" s="2"/>
      <c r="E17" s="2"/>
      <c r="F17" s="2"/>
      <c r="G17" s="2"/>
      <c r="H17" s="2"/>
      <c r="I17" s="2"/>
      <c r="J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</row>
    <row r="19" spans="1:12" x14ac:dyDescent="0.25">
      <c r="B19" s="2"/>
      <c r="C19" s="2"/>
      <c r="D19" s="2"/>
      <c r="E19" s="2"/>
      <c r="F19" s="2"/>
      <c r="G19" s="2"/>
      <c r="H19" s="2"/>
      <c r="I19" s="138"/>
      <c r="J19" s="2"/>
    </row>
    <row r="20" spans="1:12" x14ac:dyDescent="0.25">
      <c r="A20" s="481"/>
      <c r="B20" s="471" t="s">
        <v>13</v>
      </c>
      <c r="C20" s="472"/>
      <c r="D20" s="472"/>
      <c r="E20" s="472"/>
      <c r="F20" s="472"/>
      <c r="G20" s="472"/>
      <c r="H20" s="472"/>
      <c r="I20" s="472"/>
      <c r="J20" s="472"/>
      <c r="K20" s="473"/>
      <c r="L20" s="30"/>
    </row>
    <row r="21" spans="1:12" x14ac:dyDescent="0.25">
      <c r="A21" s="482"/>
      <c r="B21" s="474" t="s">
        <v>600</v>
      </c>
      <c r="C21" s="484"/>
      <c r="D21" s="478"/>
      <c r="E21" s="478"/>
      <c r="F21" s="478"/>
      <c r="G21" s="479" t="s">
        <v>116</v>
      </c>
      <c r="H21" s="479"/>
      <c r="I21" s="479"/>
      <c r="J21" s="479" t="s">
        <v>12</v>
      </c>
      <c r="K21" s="508" t="s">
        <v>596</v>
      </c>
    </row>
    <row r="22" spans="1:12" x14ac:dyDescent="0.25">
      <c r="A22" s="483">
        <v>4</v>
      </c>
      <c r="B22" s="489" t="s">
        <v>14</v>
      </c>
      <c r="C22" s="490"/>
      <c r="D22" s="490"/>
      <c r="E22" s="491" t="s">
        <v>197</v>
      </c>
      <c r="F22" s="492">
        <f>'Input Data'!$C$4</f>
        <v>43678</v>
      </c>
      <c r="G22" s="493" t="str">
        <f>VLOOKUP(F22,'Case Database'!$A$5:$D$200,4)</f>
        <v>2018-00403</v>
      </c>
      <c r="H22" s="493"/>
      <c r="I22" s="494"/>
      <c r="J22" s="509">
        <f>ROUND('Ex B-1 1 of 7'!D24,4)</f>
        <v>-5.3400000000000003E-2</v>
      </c>
      <c r="K22" s="510">
        <f>ROUND('Ex B-1 1 of 7'!D25,5)</f>
        <v>-5.3400000000000001E-3</v>
      </c>
    </row>
    <row r="23" spans="1:12" x14ac:dyDescent="0.25">
      <c r="A23" s="483">
        <v>5</v>
      </c>
      <c r="B23" s="475" t="s">
        <v>15</v>
      </c>
      <c r="C23" s="139"/>
      <c r="D23" s="139"/>
      <c r="E23" s="495" t="s">
        <v>197</v>
      </c>
      <c r="F23" s="496">
        <f>EDATE(F22,-3)</f>
        <v>43586</v>
      </c>
      <c r="G23" s="140" t="str">
        <f>VLOOKUP(F23,'Case Database'!$A$5:$D$200,4)</f>
        <v>2018-00302</v>
      </c>
      <c r="H23" s="140"/>
      <c r="I23" s="557"/>
      <c r="J23" s="558">
        <v>0.43049999999999999</v>
      </c>
      <c r="K23" s="559">
        <v>4.3049999999999998E-2</v>
      </c>
    </row>
    <row r="24" spans="1:12" x14ac:dyDescent="0.25">
      <c r="A24" s="483">
        <v>6</v>
      </c>
      <c r="B24" s="475" t="s">
        <v>16</v>
      </c>
      <c r="C24" s="139"/>
      <c r="D24" s="139"/>
      <c r="E24" s="495" t="s">
        <v>197</v>
      </c>
      <c r="F24" s="496">
        <f>EDATE(F23,-3)</f>
        <v>43497</v>
      </c>
      <c r="G24" s="140" t="str">
        <f>VLOOKUP(F24,'Case Database'!$A$5:$D$200,4)</f>
        <v>2018-00182</v>
      </c>
      <c r="H24" s="140"/>
      <c r="I24" s="557"/>
      <c r="J24" s="558">
        <v>-3.3300000000000003E-2</v>
      </c>
      <c r="K24" s="559">
        <v>-3.3300000000000001E-3</v>
      </c>
    </row>
    <row r="25" spans="1:12" x14ac:dyDescent="0.25">
      <c r="A25" s="483">
        <v>7</v>
      </c>
      <c r="B25" s="475" t="s">
        <v>17</v>
      </c>
      <c r="C25" s="139"/>
      <c r="D25" s="139"/>
      <c r="E25" s="495" t="s">
        <v>197</v>
      </c>
      <c r="F25" s="496">
        <f>EDATE(F24,-3)</f>
        <v>43405</v>
      </c>
      <c r="G25" s="140" t="str">
        <f>VLOOKUP(F25,'Case Database'!$A$5:$D$200,4)</f>
        <v>2018-00088</v>
      </c>
      <c r="H25" s="140"/>
      <c r="I25" s="557"/>
      <c r="J25" s="560">
        <v>-3.2500000000000001E-2</v>
      </c>
      <c r="K25" s="561">
        <v>-3.2499999999999999E-3</v>
      </c>
    </row>
    <row r="26" spans="1:12" x14ac:dyDescent="0.25">
      <c r="A26" s="482">
        <v>8</v>
      </c>
      <c r="B26" s="474" t="s">
        <v>18</v>
      </c>
      <c r="C26" s="478"/>
      <c r="D26" s="478"/>
      <c r="E26" s="478"/>
      <c r="F26" s="478"/>
      <c r="G26" s="478"/>
      <c r="H26" s="479"/>
      <c r="I26" s="497"/>
      <c r="J26" s="511">
        <f t="shared" ref="J26" si="0">SUM(J22:J25)</f>
        <v>0.31130000000000002</v>
      </c>
      <c r="K26" s="512">
        <f>SUM(K22:K25)</f>
        <v>3.1130000000000001E-2</v>
      </c>
    </row>
    <row r="27" spans="1:12" x14ac:dyDescent="0.25">
      <c r="B27" s="2"/>
      <c r="C27" s="2"/>
      <c r="D27" s="2"/>
      <c r="E27" s="2"/>
      <c r="F27" s="2"/>
      <c r="G27" s="2"/>
      <c r="H27" s="2"/>
      <c r="I27" s="2"/>
      <c r="J27" s="2"/>
    </row>
    <row r="28" spans="1:12" x14ac:dyDescent="0.25">
      <c r="B28" s="2"/>
      <c r="C28" s="2"/>
      <c r="D28" s="2"/>
      <c r="E28" s="2"/>
      <c r="F28" s="2"/>
      <c r="G28" s="2"/>
      <c r="H28" s="2"/>
      <c r="I28" s="2"/>
      <c r="J28" s="2"/>
    </row>
    <row r="29" spans="1:12" x14ac:dyDescent="0.25">
      <c r="B29" s="2"/>
      <c r="C29" s="2"/>
      <c r="D29" s="2"/>
      <c r="E29" s="2"/>
      <c r="F29" s="2"/>
      <c r="G29" s="2"/>
      <c r="H29" s="2"/>
      <c r="I29" s="2"/>
      <c r="J29" s="2"/>
    </row>
    <row r="30" spans="1:12" x14ac:dyDescent="0.25">
      <c r="A30" s="481"/>
      <c r="B30" s="471" t="s">
        <v>19</v>
      </c>
      <c r="C30" s="472"/>
      <c r="D30" s="472"/>
      <c r="E30" s="472"/>
      <c r="F30" s="472"/>
      <c r="G30" s="472"/>
      <c r="H30" s="472"/>
      <c r="I30" s="472"/>
      <c r="J30" s="472"/>
      <c r="K30" s="473"/>
    </row>
    <row r="31" spans="1:12" x14ac:dyDescent="0.25">
      <c r="A31" s="483"/>
      <c r="B31" s="474" t="s">
        <v>600</v>
      </c>
      <c r="C31" s="468"/>
      <c r="D31" s="469"/>
      <c r="E31" s="469"/>
      <c r="F31" s="469"/>
      <c r="G31" s="469"/>
      <c r="H31" s="137"/>
      <c r="I31" s="137"/>
      <c r="J31" s="137" t="s">
        <v>12</v>
      </c>
      <c r="K31" s="508" t="s">
        <v>596</v>
      </c>
    </row>
    <row r="32" spans="1:12" x14ac:dyDescent="0.25">
      <c r="A32" s="93">
        <v>9</v>
      </c>
      <c r="B32" s="485" t="s">
        <v>598</v>
      </c>
      <c r="C32" s="486"/>
      <c r="D32" s="486"/>
      <c r="E32" s="486"/>
      <c r="F32" s="486"/>
      <c r="G32" s="486"/>
      <c r="H32" s="487"/>
      <c r="I32" s="488"/>
      <c r="J32" s="513">
        <f>ROUND('Ex C-1 1 of 3'!D17,4)</f>
        <v>1.4E-3</v>
      </c>
      <c r="K32" s="514">
        <f>ROUND('Ex C-1 1 of 3'!D19,5)</f>
        <v>1.3999999999999999E-4</v>
      </c>
    </row>
    <row r="33" spans="1:11" x14ac:dyDescent="0.25">
      <c r="B33" s="2"/>
      <c r="C33" s="2"/>
      <c r="D33" s="2"/>
      <c r="E33" s="2"/>
      <c r="F33" s="2"/>
      <c r="G33" s="2"/>
      <c r="H33" s="2"/>
      <c r="I33" s="2"/>
      <c r="J33" s="2"/>
    </row>
    <row r="34" spans="1:11" x14ac:dyDescent="0.25">
      <c r="B34" s="2"/>
      <c r="C34" s="2"/>
      <c r="D34" s="2"/>
      <c r="E34" s="2"/>
      <c r="F34" s="2"/>
      <c r="G34" s="2"/>
      <c r="H34" s="2"/>
      <c r="I34" s="2"/>
      <c r="J34" s="2"/>
    </row>
    <row r="35" spans="1:11" x14ac:dyDescent="0.25">
      <c r="B35" s="2"/>
      <c r="C35" s="2"/>
      <c r="D35" s="2"/>
      <c r="E35" s="2"/>
      <c r="F35" s="2"/>
      <c r="G35" s="2"/>
      <c r="H35" s="2"/>
      <c r="I35" s="2"/>
      <c r="J35" s="2"/>
    </row>
    <row r="36" spans="1:11" x14ac:dyDescent="0.25">
      <c r="A36" s="481"/>
      <c r="B36" s="471" t="s">
        <v>20</v>
      </c>
      <c r="C36" s="472"/>
      <c r="D36" s="472"/>
      <c r="E36" s="472"/>
      <c r="F36" s="472"/>
      <c r="G36" s="472"/>
      <c r="H36" s="472"/>
      <c r="I36" s="472"/>
      <c r="J36" s="472"/>
      <c r="K36" s="473"/>
    </row>
    <row r="37" spans="1:11" x14ac:dyDescent="0.25">
      <c r="A37" s="482"/>
      <c r="B37" s="474" t="s">
        <v>600</v>
      </c>
      <c r="C37" s="484"/>
      <c r="D37" s="478"/>
      <c r="E37" s="478"/>
      <c r="F37" s="478"/>
      <c r="G37" s="478"/>
      <c r="H37" s="479"/>
      <c r="I37" s="479"/>
      <c r="J37" s="479" t="s">
        <v>12</v>
      </c>
      <c r="K37" s="508" t="s">
        <v>596</v>
      </c>
    </row>
    <row r="38" spans="1:11" x14ac:dyDescent="0.25">
      <c r="A38" s="483">
        <v>10</v>
      </c>
      <c r="B38" s="489" t="s">
        <v>223</v>
      </c>
      <c r="C38" s="490"/>
      <c r="D38" s="490"/>
      <c r="E38" s="491" t="s">
        <v>197</v>
      </c>
      <c r="F38" s="492">
        <f>+F22</f>
        <v>43678</v>
      </c>
      <c r="G38" s="490"/>
      <c r="H38" s="493"/>
      <c r="I38" s="499"/>
      <c r="J38" s="515">
        <f>ROUND('Ex D-1 1 of 2'!H12,4)</f>
        <v>0</v>
      </c>
      <c r="K38" s="516">
        <f>ROUND('Ex D-1 1 of 2'!I12,5)</f>
        <v>0</v>
      </c>
    </row>
    <row r="39" spans="1:11" x14ac:dyDescent="0.25">
      <c r="A39" s="483">
        <v>11</v>
      </c>
      <c r="B39" s="475" t="s">
        <v>224</v>
      </c>
      <c r="C39" s="139"/>
      <c r="D39" s="139"/>
      <c r="E39" s="495" t="s">
        <v>197</v>
      </c>
      <c r="F39" s="496">
        <f>+F23</f>
        <v>43586</v>
      </c>
      <c r="G39" s="139"/>
      <c r="H39" s="140"/>
      <c r="I39" s="30"/>
      <c r="J39" s="517">
        <f>ROUND('Ex D-1 1 of 2'!H13,4)</f>
        <v>0</v>
      </c>
      <c r="K39" s="518">
        <f>ROUND('Ex D-1 1 of 2'!I13,5)</f>
        <v>0</v>
      </c>
    </row>
    <row r="40" spans="1:11" x14ac:dyDescent="0.25">
      <c r="A40" s="483">
        <v>12</v>
      </c>
      <c r="B40" s="475" t="s">
        <v>230</v>
      </c>
      <c r="C40" s="139"/>
      <c r="D40" s="139"/>
      <c r="E40" s="495" t="s">
        <v>197</v>
      </c>
      <c r="F40" s="496">
        <f>+F24</f>
        <v>43497</v>
      </c>
      <c r="G40" s="139"/>
      <c r="H40" s="140"/>
      <c r="I40" s="30"/>
      <c r="J40" s="517">
        <f>ROUND('Ex D-1 1 of 2'!H14,4)</f>
        <v>0</v>
      </c>
      <c r="K40" s="518">
        <f>ROUND('Ex D-1 1 of 2'!I14,5)</f>
        <v>0</v>
      </c>
    </row>
    <row r="41" spans="1:11" x14ac:dyDescent="0.25">
      <c r="A41" s="483">
        <v>13</v>
      </c>
      <c r="B41" s="475" t="s">
        <v>232</v>
      </c>
      <c r="C41" s="139"/>
      <c r="D41" s="139"/>
      <c r="E41" s="495" t="s">
        <v>197</v>
      </c>
      <c r="F41" s="496">
        <f>+F25</f>
        <v>43405</v>
      </c>
      <c r="G41" s="139"/>
      <c r="H41" s="140"/>
      <c r="I41" s="30"/>
      <c r="J41" s="519">
        <f>ROUND('Ex D-1 1 of 2'!H15,4)</f>
        <v>0</v>
      </c>
      <c r="K41" s="520">
        <f>ROUND('Ex D-1 1 of 2'!I15,5)</f>
        <v>0</v>
      </c>
    </row>
    <row r="42" spans="1:11" x14ac:dyDescent="0.25">
      <c r="A42" s="482">
        <v>14</v>
      </c>
      <c r="B42" s="474" t="s">
        <v>21</v>
      </c>
      <c r="C42" s="478"/>
      <c r="D42" s="478"/>
      <c r="E42" s="478"/>
      <c r="F42" s="478"/>
      <c r="G42" s="478"/>
      <c r="H42" s="479"/>
      <c r="I42" s="480"/>
      <c r="J42" s="519">
        <f>SUM(J38:J41)</f>
        <v>0</v>
      </c>
      <c r="K42" s="520">
        <f>SUM(K38:K41)</f>
        <v>0</v>
      </c>
    </row>
    <row r="43" spans="1:11" x14ac:dyDescent="0.25">
      <c r="B43" s="2"/>
      <c r="C43" s="2"/>
      <c r="D43" s="2"/>
      <c r="E43" s="2"/>
      <c r="F43" s="2"/>
      <c r="G43" s="2"/>
      <c r="H43" s="2"/>
      <c r="I43" s="2"/>
      <c r="J43" s="2"/>
    </row>
    <row r="44" spans="1:11" x14ac:dyDescent="0.25">
      <c r="B44" s="2"/>
      <c r="C44" s="2"/>
      <c r="D44" s="2"/>
      <c r="E44" s="2"/>
      <c r="F44" s="2"/>
      <c r="G44" s="2"/>
      <c r="H44" s="2"/>
      <c r="I44" s="2"/>
      <c r="J44" s="2"/>
    </row>
    <row r="45" spans="1:11" x14ac:dyDescent="0.25">
      <c r="B45" s="2"/>
      <c r="C45" s="2"/>
      <c r="D45" s="2"/>
      <c r="E45" s="2"/>
      <c r="F45" s="2"/>
      <c r="G45" s="2"/>
      <c r="H45" s="2"/>
      <c r="I45" s="2"/>
      <c r="J45" s="2"/>
    </row>
    <row r="46" spans="1:11" x14ac:dyDescent="0.25">
      <c r="A46" s="481"/>
      <c r="B46" s="471" t="s">
        <v>22</v>
      </c>
      <c r="C46" s="472"/>
      <c r="D46" s="472"/>
      <c r="E46" s="472"/>
      <c r="F46" s="472"/>
      <c r="G46" s="472"/>
      <c r="H46" s="472"/>
      <c r="I46" s="472"/>
      <c r="J46" s="472"/>
      <c r="K46" s="473"/>
    </row>
    <row r="47" spans="1:11" x14ac:dyDescent="0.25">
      <c r="A47" s="482"/>
      <c r="B47" s="474" t="s">
        <v>600</v>
      </c>
      <c r="C47" s="484"/>
      <c r="D47" s="478"/>
      <c r="E47" s="478"/>
      <c r="F47" s="478"/>
      <c r="G47" s="478"/>
      <c r="H47" s="479"/>
      <c r="I47" s="479"/>
      <c r="J47" s="479" t="s">
        <v>12</v>
      </c>
      <c r="K47" s="508" t="s">
        <v>596</v>
      </c>
    </row>
    <row r="48" spans="1:11" x14ac:dyDescent="0.25">
      <c r="A48" s="482">
        <v>15</v>
      </c>
      <c r="B48" s="485" t="s">
        <v>601</v>
      </c>
      <c r="C48" s="486"/>
      <c r="D48" s="500"/>
      <c r="E48" s="486"/>
      <c r="F48" s="486"/>
      <c r="G48" s="486"/>
      <c r="H48" s="487"/>
      <c r="I48" s="501"/>
      <c r="J48" s="486">
        <f>ROUND('Ex E-1 1 of 2 '!C21+'Ex E-1 1 of 2 '!D21,4)</f>
        <v>6.3500000000000001E-2</v>
      </c>
      <c r="K48" s="463">
        <f>ROUND('Ex E-1 1 of 2 '!C23+'Ex E-1 1 of 2 '!D23,5)</f>
        <v>6.3499999999999997E-3</v>
      </c>
    </row>
    <row r="49" spans="1:13" x14ac:dyDescent="0.25">
      <c r="B49" s="2"/>
      <c r="C49" s="2"/>
      <c r="D49" s="2"/>
      <c r="E49" s="2"/>
      <c r="F49" s="2"/>
      <c r="G49" s="2"/>
      <c r="H49" s="2"/>
      <c r="I49" s="2"/>
      <c r="J49" s="2"/>
    </row>
    <row r="50" spans="1:13" x14ac:dyDescent="0.25">
      <c r="B50" s="2"/>
      <c r="C50" s="2"/>
      <c r="D50" s="2"/>
      <c r="E50" s="2"/>
      <c r="F50" s="2"/>
      <c r="G50" s="2"/>
      <c r="H50" s="2"/>
      <c r="I50" s="2"/>
      <c r="J50" s="2"/>
    </row>
    <row r="51" spans="1:13" x14ac:dyDescent="0.25">
      <c r="B51" s="2"/>
      <c r="C51" s="2"/>
      <c r="D51" s="2"/>
      <c r="E51" s="2"/>
      <c r="F51" s="2"/>
      <c r="G51" s="2"/>
      <c r="H51" s="2"/>
      <c r="I51" s="2"/>
      <c r="J51" s="2"/>
    </row>
    <row r="52" spans="1:13" x14ac:dyDescent="0.25">
      <c r="A52" s="481"/>
      <c r="B52" s="471" t="str">
        <f>CONCATENATE("Gas Supply Cost Component  (GSCC)  Effective ",'Input Data'!D4)</f>
        <v>Gas Supply Cost Component  (GSCC)  Effective August 1, 2019</v>
      </c>
      <c r="C52" s="472"/>
      <c r="D52" s="472"/>
      <c r="E52" s="472"/>
      <c r="F52" s="472"/>
      <c r="G52" s="472"/>
      <c r="H52" s="472"/>
      <c r="I52" s="472"/>
      <c r="J52" s="472"/>
      <c r="K52" s="473"/>
    </row>
    <row r="53" spans="1:13" x14ac:dyDescent="0.25">
      <c r="A53" s="482"/>
      <c r="B53" s="474" t="s">
        <v>600</v>
      </c>
      <c r="C53" s="468"/>
      <c r="D53" s="469"/>
      <c r="E53" s="469"/>
      <c r="F53" s="469"/>
      <c r="G53" s="469"/>
      <c r="H53" s="137"/>
      <c r="I53" s="137"/>
      <c r="J53" s="137" t="s">
        <v>12</v>
      </c>
      <c r="K53" s="508" t="s">
        <v>596</v>
      </c>
    </row>
    <row r="54" spans="1:13" x14ac:dyDescent="0.25">
      <c r="A54" s="483">
        <v>16</v>
      </c>
      <c r="B54" s="489" t="s">
        <v>23</v>
      </c>
      <c r="C54" s="490"/>
      <c r="D54" s="490"/>
      <c r="E54" s="490"/>
      <c r="F54" s="490"/>
      <c r="G54" s="490"/>
      <c r="H54" s="493"/>
      <c r="I54" s="502"/>
      <c r="J54" s="515">
        <f>J16</f>
        <v>3.1084000000000001</v>
      </c>
      <c r="K54" s="516">
        <f>K16</f>
        <v>0.31084000000000001</v>
      </c>
    </row>
    <row r="55" spans="1:13" x14ac:dyDescent="0.25">
      <c r="A55" s="483">
        <v>17</v>
      </c>
      <c r="B55" s="475" t="s">
        <v>24</v>
      </c>
      <c r="C55" s="139"/>
      <c r="D55" s="139"/>
      <c r="E55" s="139"/>
      <c r="F55" s="139"/>
      <c r="G55" s="139"/>
      <c r="H55" s="140"/>
      <c r="I55" s="251"/>
      <c r="J55" s="517">
        <f>J26</f>
        <v>0.31130000000000002</v>
      </c>
      <c r="K55" s="518">
        <f>K26</f>
        <v>3.1130000000000001E-2</v>
      </c>
    </row>
    <row r="56" spans="1:13" x14ac:dyDescent="0.25">
      <c r="A56" s="483">
        <v>18</v>
      </c>
      <c r="B56" s="475" t="s">
        <v>25</v>
      </c>
      <c r="C56" s="139"/>
      <c r="D56" s="139"/>
      <c r="E56" s="139"/>
      <c r="F56" s="139"/>
      <c r="G56" s="139"/>
      <c r="H56" s="140"/>
      <c r="I56" s="251"/>
      <c r="J56" s="517">
        <f>J32</f>
        <v>1.4E-3</v>
      </c>
      <c r="K56" s="518">
        <f>K32</f>
        <v>1.3999999999999999E-4</v>
      </c>
    </row>
    <row r="57" spans="1:13" x14ac:dyDescent="0.25">
      <c r="A57" s="483">
        <v>19</v>
      </c>
      <c r="B57" s="475" t="s">
        <v>26</v>
      </c>
      <c r="C57" s="139"/>
      <c r="D57" s="139"/>
      <c r="E57" s="139"/>
      <c r="F57" s="139"/>
      <c r="G57" s="139"/>
      <c r="H57" s="140"/>
      <c r="I57" s="251"/>
      <c r="J57" s="517">
        <f>J42</f>
        <v>0</v>
      </c>
      <c r="K57" s="518">
        <f>K42</f>
        <v>0</v>
      </c>
    </row>
    <row r="58" spans="1:13" x14ac:dyDescent="0.25">
      <c r="A58" s="483">
        <v>20</v>
      </c>
      <c r="B58" s="475" t="s">
        <v>27</v>
      </c>
      <c r="C58" s="139"/>
      <c r="D58" s="139"/>
      <c r="E58" s="139"/>
      <c r="F58" s="139"/>
      <c r="G58" s="139"/>
      <c r="H58" s="140"/>
      <c r="I58" s="251"/>
      <c r="J58" s="521">
        <f>J48</f>
        <v>6.3500000000000001E-2</v>
      </c>
      <c r="K58" s="520">
        <f>K48</f>
        <v>6.3499999999999997E-3</v>
      </c>
    </row>
    <row r="59" spans="1:13" x14ac:dyDescent="0.25">
      <c r="A59" s="482">
        <v>21</v>
      </c>
      <c r="B59" s="503" t="s">
        <v>28</v>
      </c>
      <c r="C59" s="469"/>
      <c r="D59" s="469"/>
      <c r="E59" s="469"/>
      <c r="F59" s="469"/>
      <c r="G59" s="469"/>
      <c r="H59" s="137"/>
      <c r="I59" s="504"/>
      <c r="J59" s="513">
        <f>SUM(J54:J58)</f>
        <v>3.4845999999999999</v>
      </c>
      <c r="K59" s="514">
        <f>SUM(K54:K58)</f>
        <v>0.34845999999999999</v>
      </c>
      <c r="L59" s="32"/>
      <c r="M59" s="14"/>
    </row>
    <row r="60" spans="1:13" x14ac:dyDescent="0.25">
      <c r="B60" s="2"/>
      <c r="C60" s="2"/>
      <c r="D60" s="2"/>
      <c r="E60" s="2"/>
      <c r="F60" s="2"/>
      <c r="G60" s="2"/>
      <c r="H60" s="2"/>
      <c r="I60" s="2" t="s">
        <v>391</v>
      </c>
      <c r="J60" s="91"/>
      <c r="K60" s="252"/>
    </row>
    <row r="61" spans="1:13" x14ac:dyDescent="0.25">
      <c r="B61" s="2"/>
      <c r="C61" s="2"/>
      <c r="D61" s="2"/>
      <c r="E61" s="2"/>
      <c r="F61" s="2"/>
      <c r="G61" s="2"/>
      <c r="H61" s="2"/>
      <c r="I61" s="2"/>
      <c r="J61" s="2"/>
    </row>
    <row r="62" spans="1:13" x14ac:dyDescent="0.25">
      <c r="B62" s="2"/>
      <c r="C62" s="2"/>
      <c r="D62" s="2"/>
      <c r="E62" s="2"/>
      <c r="F62" s="2"/>
      <c r="G62" s="2"/>
      <c r="H62" s="2"/>
      <c r="I62" s="2"/>
      <c r="J62" s="2"/>
    </row>
    <row r="63" spans="1:13" x14ac:dyDescent="0.25">
      <c r="B63" s="2"/>
      <c r="C63" s="2"/>
      <c r="D63" s="2"/>
      <c r="E63" s="2"/>
      <c r="F63" s="2"/>
      <c r="G63" s="2"/>
      <c r="H63" s="2"/>
      <c r="I63" s="2"/>
      <c r="J63" s="2"/>
    </row>
    <row r="64" spans="1:13" x14ac:dyDescent="0.25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5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5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5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5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5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5">
      <c r="B77" s="2"/>
      <c r="C77" s="2"/>
      <c r="D77" s="2"/>
      <c r="E77" s="2"/>
      <c r="F77" s="2"/>
      <c r="G77" s="2"/>
      <c r="H77" s="2"/>
      <c r="I77" s="2"/>
      <c r="J77" s="2"/>
    </row>
  </sheetData>
  <phoneticPr fontId="0" type="noConversion"/>
  <pageMargins left="0.75" right="0.75" top="1" bottom="1" header="0.5" footer="0.5"/>
  <pageSetup scale="62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59999389629810485"/>
    <pageSetUpPr fitToPage="1"/>
  </sheetPr>
  <dimension ref="A1:N90"/>
  <sheetViews>
    <sheetView zoomScale="70" zoomScaleNormal="70" workbookViewId="0"/>
  </sheetViews>
  <sheetFormatPr defaultColWidth="9.77734375" defaultRowHeight="15.75" x14ac:dyDescent="0.25"/>
  <cols>
    <col min="1" max="1" width="8.21875" style="373" bestFit="1" customWidth="1"/>
    <col min="2" max="2" width="75.21875" style="345" bestFit="1" customWidth="1"/>
    <col min="3" max="3" width="14.88671875" style="345" customWidth="1"/>
    <col min="4" max="4" width="16.6640625" style="345" customWidth="1"/>
    <col min="5" max="5" width="14.21875" style="345" customWidth="1"/>
    <col min="6" max="6" width="14.77734375" style="345" customWidth="1"/>
    <col min="7" max="7" width="5.6640625" style="345" customWidth="1"/>
    <col min="8" max="8" width="4.44140625" style="345" customWidth="1"/>
    <col min="9" max="9" width="10.33203125" style="345" bestFit="1" customWidth="1"/>
    <col min="10" max="16384" width="9.77734375" style="345"/>
  </cols>
  <sheetData>
    <row r="1" spans="1:9" ht="18.75" x14ac:dyDescent="0.3">
      <c r="A1" s="344"/>
      <c r="B1" s="12"/>
      <c r="C1" s="12"/>
      <c r="D1" s="12"/>
      <c r="E1" s="12"/>
      <c r="F1" s="12"/>
    </row>
    <row r="2" spans="1:9" ht="18.75" x14ac:dyDescent="0.3">
      <c r="A2" s="346" t="s">
        <v>5</v>
      </c>
      <c r="B2" s="347"/>
      <c r="C2" s="347"/>
      <c r="D2" s="347"/>
      <c r="E2" s="347"/>
      <c r="F2" s="347"/>
      <c r="G2" s="348"/>
    </row>
    <row r="3" spans="1:9" ht="18.75" x14ac:dyDescent="0.3">
      <c r="A3" s="349" t="s">
        <v>225</v>
      </c>
      <c r="B3" s="350"/>
      <c r="C3" s="350"/>
      <c r="D3" s="350"/>
      <c r="E3" s="347"/>
      <c r="F3" s="347"/>
      <c r="G3" s="348"/>
    </row>
    <row r="4" spans="1:9" ht="18.75" x14ac:dyDescent="0.3">
      <c r="A4" s="89" t="str">
        <f>CONCATENATE("For the Three-Month Period From ",'Input Data'!D4," thru ",'Input Data'!D5)</f>
        <v>For the Three-Month Period From August 1, 2019 thru October 31, 2019</v>
      </c>
      <c r="B4" s="350"/>
      <c r="C4" s="350"/>
      <c r="D4" s="350"/>
      <c r="E4" s="347"/>
      <c r="F4" s="347"/>
      <c r="G4" s="348"/>
    </row>
    <row r="5" spans="1:9" ht="19.5" customHeight="1" x14ac:dyDescent="0.3">
      <c r="A5" s="344"/>
      <c r="B5" s="12"/>
      <c r="C5" s="12"/>
      <c r="D5" s="12"/>
      <c r="E5" s="12"/>
      <c r="F5" s="330"/>
      <c r="G5" s="12"/>
    </row>
    <row r="6" spans="1:9" ht="18.75" x14ac:dyDescent="0.3">
      <c r="A6" s="351" t="s">
        <v>250</v>
      </c>
      <c r="B6" s="351" t="s">
        <v>31</v>
      </c>
      <c r="C6" s="352">
        <f>'Input Data'!C4</f>
        <v>43678</v>
      </c>
      <c r="D6" s="352">
        <f>EDATE(C6,1)</f>
        <v>43709</v>
      </c>
      <c r="E6" s="352">
        <f>EDATE(D6,1)</f>
        <v>43739</v>
      </c>
      <c r="F6" s="353" t="s">
        <v>30</v>
      </c>
      <c r="G6" s="12"/>
    </row>
    <row r="7" spans="1:9" ht="18.75" x14ac:dyDescent="0.3">
      <c r="A7" s="344"/>
      <c r="B7" s="12"/>
      <c r="C7" s="12"/>
      <c r="D7" s="12"/>
      <c r="E7" s="12"/>
      <c r="F7" s="12"/>
      <c r="G7" s="12"/>
    </row>
    <row r="8" spans="1:9" ht="18.75" x14ac:dyDescent="0.3">
      <c r="A8" s="354" t="s">
        <v>251</v>
      </c>
      <c r="B8" s="355" t="s">
        <v>532</v>
      </c>
      <c r="C8" s="356">
        <v>1319125</v>
      </c>
      <c r="D8" s="356">
        <v>1351601</v>
      </c>
      <c r="E8" s="356">
        <v>1089171</v>
      </c>
      <c r="F8" s="49">
        <f t="shared" ref="F8:F10" si="0">ROUND(SUM(C8:E8),0)</f>
        <v>3759897</v>
      </c>
      <c r="G8" s="12"/>
      <c r="I8" s="357"/>
    </row>
    <row r="9" spans="1:9" ht="18.75" x14ac:dyDescent="0.3">
      <c r="A9" s="354">
        <f>A8+1</f>
        <v>2</v>
      </c>
      <c r="B9" s="355" t="s">
        <v>534</v>
      </c>
      <c r="C9" s="437">
        <v>1846000</v>
      </c>
      <c r="D9" s="437">
        <v>1786500</v>
      </c>
      <c r="E9" s="437">
        <v>1846000</v>
      </c>
      <c r="F9" s="49">
        <f>ROUND(SUM(C9:E9),0)</f>
        <v>5478500</v>
      </c>
      <c r="G9" s="12"/>
    </row>
    <row r="10" spans="1:9" ht="18.75" x14ac:dyDescent="0.3">
      <c r="A10" s="354">
        <f t="shared" ref="A10:A11" si="1">A9+1</f>
        <v>3</v>
      </c>
      <c r="B10" s="355" t="s">
        <v>540</v>
      </c>
      <c r="C10" s="438">
        <v>620000</v>
      </c>
      <c r="D10" s="438">
        <v>600000</v>
      </c>
      <c r="E10" s="438">
        <v>620000</v>
      </c>
      <c r="F10" s="358">
        <f t="shared" si="0"/>
        <v>1840000</v>
      </c>
      <c r="G10" s="12"/>
    </row>
    <row r="11" spans="1:9" ht="18.75" x14ac:dyDescent="0.3">
      <c r="A11" s="354">
        <f t="shared" si="1"/>
        <v>4</v>
      </c>
      <c r="B11" s="355" t="s">
        <v>32</v>
      </c>
      <c r="C11" s="49">
        <f>SUM(C8:C10)</f>
        <v>3785125</v>
      </c>
      <c r="D11" s="49">
        <f>SUM(D8:D10)</f>
        <v>3738101</v>
      </c>
      <c r="E11" s="49">
        <f>SUM(E8:E10)</f>
        <v>3555171</v>
      </c>
      <c r="F11" s="49">
        <f>SUM(C11:E11)</f>
        <v>11078397</v>
      </c>
      <c r="G11" s="12"/>
    </row>
    <row r="12" spans="1:9" ht="18.75" x14ac:dyDescent="0.3">
      <c r="A12" s="354"/>
      <c r="B12" s="12"/>
      <c r="C12" s="356"/>
      <c r="D12" s="356"/>
      <c r="E12" s="356"/>
      <c r="F12" s="49"/>
      <c r="G12" s="12"/>
    </row>
    <row r="13" spans="1:9" ht="18.75" x14ac:dyDescent="0.3">
      <c r="A13" s="354">
        <f>A11+1</f>
        <v>5</v>
      </c>
      <c r="B13" s="355" t="s">
        <v>33</v>
      </c>
      <c r="C13" s="437">
        <v>0</v>
      </c>
      <c r="D13" s="437">
        <v>0</v>
      </c>
      <c r="E13" s="437">
        <v>0</v>
      </c>
      <c r="F13" s="49">
        <f t="shared" ref="F13:F14" si="2">SUM(C13:E13)</f>
        <v>0</v>
      </c>
      <c r="G13" s="12"/>
    </row>
    <row r="14" spans="1:9" ht="18.75" x14ac:dyDescent="0.3">
      <c r="A14" s="354">
        <f>A13+1</f>
        <v>6</v>
      </c>
      <c r="B14" s="355" t="s">
        <v>34</v>
      </c>
      <c r="C14" s="359">
        <v>0</v>
      </c>
      <c r="D14" s="359">
        <v>0</v>
      </c>
      <c r="E14" s="359">
        <v>66000</v>
      </c>
      <c r="F14" s="358">
        <f t="shared" si="2"/>
        <v>66000</v>
      </c>
      <c r="G14" s="12"/>
    </row>
    <row r="15" spans="1:9" ht="18.75" x14ac:dyDescent="0.3">
      <c r="A15" s="354">
        <f>A14+1</f>
        <v>7</v>
      </c>
      <c r="B15" s="355" t="s">
        <v>35</v>
      </c>
      <c r="C15" s="49">
        <f>C11+C13-C14</f>
        <v>3785125</v>
      </c>
      <c r="D15" s="49">
        <f>D11+D13-D14</f>
        <v>3738101</v>
      </c>
      <c r="E15" s="49">
        <f>E11+E13-E14</f>
        <v>3489171</v>
      </c>
      <c r="F15" s="49">
        <f>F11+F13-F14</f>
        <v>11012397</v>
      </c>
      <c r="G15" s="12"/>
    </row>
    <row r="16" spans="1:9" ht="18.75" x14ac:dyDescent="0.3">
      <c r="A16" s="354"/>
      <c r="B16" s="355" t="s">
        <v>430</v>
      </c>
      <c r="C16" s="12"/>
      <c r="D16" s="12"/>
      <c r="E16" s="12"/>
      <c r="F16" s="12"/>
      <c r="G16" s="12"/>
    </row>
    <row r="17" spans="1:10" ht="18.75" x14ac:dyDescent="0.3">
      <c r="A17" s="354"/>
      <c r="B17" s="12"/>
      <c r="C17" s="356"/>
      <c r="D17" s="356"/>
      <c r="E17" s="356"/>
      <c r="F17" s="356"/>
      <c r="G17" s="12"/>
    </row>
    <row r="18" spans="1:10" ht="18.75" x14ac:dyDescent="0.3">
      <c r="A18" s="354"/>
      <c r="B18" s="351" t="s">
        <v>36</v>
      </c>
      <c r="C18" s="356"/>
      <c r="D18" s="356"/>
      <c r="E18" s="356"/>
      <c r="F18" s="356"/>
      <c r="G18" s="12"/>
    </row>
    <row r="19" spans="1:10" ht="18.75" x14ac:dyDescent="0.3">
      <c r="A19" s="354">
        <f>A15+1</f>
        <v>8</v>
      </c>
      <c r="B19" s="355" t="s">
        <v>37</v>
      </c>
      <c r="C19" s="49">
        <f>ROUND(C11/'Input Data'!$C$16,0)</f>
        <v>3554108</v>
      </c>
      <c r="D19" s="49">
        <f>ROUND(D11/'Input Data'!$C$16,0)</f>
        <v>3509954</v>
      </c>
      <c r="E19" s="49">
        <f>ROUND(E11/'Input Data'!$C$16,0)</f>
        <v>3338189</v>
      </c>
      <c r="F19" s="356"/>
      <c r="G19" s="12"/>
    </row>
    <row r="20" spans="1:10" ht="18.75" x14ac:dyDescent="0.3">
      <c r="A20" s="354">
        <f>A19+1</f>
        <v>9</v>
      </c>
      <c r="B20" s="355" t="s">
        <v>39</v>
      </c>
      <c r="C20" s="49">
        <f>ROUND(C13/'Input Data'!$C$16,0)</f>
        <v>0</v>
      </c>
      <c r="D20" s="49">
        <f>ROUND(D13/'Input Data'!$C$16,0)</f>
        <v>0</v>
      </c>
      <c r="E20" s="49">
        <f>ROUND(E13/'Input Data'!$C$16,0)</f>
        <v>0</v>
      </c>
      <c r="F20" s="356"/>
      <c r="G20" s="12"/>
    </row>
    <row r="21" spans="1:10" ht="18.75" x14ac:dyDescent="0.3">
      <c r="A21" s="354">
        <f>A20+1</f>
        <v>10</v>
      </c>
      <c r="B21" s="355" t="s">
        <v>40</v>
      </c>
      <c r="C21" s="360">
        <f>ROUND(C14/'Input Data'!$C$16,0)</f>
        <v>0</v>
      </c>
      <c r="D21" s="360">
        <f>ROUND(D14/'Input Data'!$C$16,0)</f>
        <v>0</v>
      </c>
      <c r="E21" s="360">
        <f>ROUND(E14/'Input Data'!$C$16,0)</f>
        <v>61972</v>
      </c>
      <c r="F21" s="361"/>
      <c r="G21" s="12"/>
    </row>
    <row r="22" spans="1:10" ht="18.75" x14ac:dyDescent="0.3">
      <c r="A22" s="354">
        <f>A21+1</f>
        <v>11</v>
      </c>
      <c r="B22" s="355" t="s">
        <v>35</v>
      </c>
      <c r="C22" s="49">
        <f>C19+C20-C21</f>
        <v>3554108</v>
      </c>
      <c r="D22" s="49">
        <f>D19+D20-D21</f>
        <v>3509954</v>
      </c>
      <c r="E22" s="49">
        <f>E19+E20-E21</f>
        <v>3276217</v>
      </c>
      <c r="F22" s="12"/>
      <c r="G22" s="12"/>
    </row>
    <row r="23" spans="1:10" ht="18.75" x14ac:dyDescent="0.3">
      <c r="A23" s="354"/>
      <c r="B23" s="355" t="s">
        <v>430</v>
      </c>
      <c r="C23" s="12"/>
      <c r="D23" s="12"/>
      <c r="E23" s="12"/>
      <c r="F23" s="356"/>
      <c r="G23" s="12"/>
    </row>
    <row r="24" spans="1:10" ht="18.75" x14ac:dyDescent="0.3">
      <c r="A24" s="354"/>
      <c r="B24" s="12"/>
      <c r="C24" s="356"/>
      <c r="D24" s="12"/>
      <c r="E24" s="356"/>
      <c r="F24" s="356"/>
      <c r="G24" s="12"/>
    </row>
    <row r="25" spans="1:10" ht="18.75" x14ac:dyDescent="0.3">
      <c r="A25" s="354">
        <f>A22+1</f>
        <v>12</v>
      </c>
      <c r="B25" s="355" t="s">
        <v>431</v>
      </c>
      <c r="C25" s="359">
        <f>VLOOKUP(C6,Forecast!A9:K78,3,FALSE)</f>
        <v>38339</v>
      </c>
      <c r="D25" s="359">
        <f>VLOOKUP(D6,Forecast!A9:K78,3,FALSE)</f>
        <v>41958</v>
      </c>
      <c r="E25" s="359">
        <f>VLOOKUP(E6,Forecast!A9:K78,3,FALSE)</f>
        <v>48541</v>
      </c>
      <c r="F25" s="356"/>
      <c r="G25" s="12"/>
      <c r="I25" s="260"/>
      <c r="J25" s="260"/>
    </row>
    <row r="26" spans="1:10" ht="18.75" x14ac:dyDescent="0.3">
      <c r="A26" s="354">
        <f>A25+1</f>
        <v>13</v>
      </c>
      <c r="B26" s="355" t="s">
        <v>558</v>
      </c>
      <c r="C26" s="49">
        <f>C22+C25</f>
        <v>3592447</v>
      </c>
      <c r="D26" s="49">
        <f>D22+D25</f>
        <v>3551912</v>
      </c>
      <c r="E26" s="49">
        <f>E22+E25</f>
        <v>3324758</v>
      </c>
      <c r="F26" s="356"/>
      <c r="G26" s="12"/>
      <c r="I26" s="47"/>
    </row>
    <row r="27" spans="1:10" ht="18.75" x14ac:dyDescent="0.3">
      <c r="A27" s="354"/>
      <c r="B27" s="12"/>
      <c r="C27" s="356"/>
      <c r="D27" s="356"/>
      <c r="E27" s="356"/>
      <c r="F27" s="356"/>
      <c r="G27" s="12"/>
      <c r="I27" s="47"/>
    </row>
    <row r="28" spans="1:10" ht="18.75" x14ac:dyDescent="0.3">
      <c r="A28" s="354">
        <f>A26+1</f>
        <v>14</v>
      </c>
      <c r="B28" s="355" t="s">
        <v>41</v>
      </c>
      <c r="C28" s="356">
        <f>VLOOKUP(C6,Forecast!$A9:$K78,4,FALSE)+VLOOKUP(C6,Forecast!$A9:$K78,5,FALSE)</f>
        <v>4009</v>
      </c>
      <c r="D28" s="356">
        <f>VLOOKUP(D6,Forecast!$A9:$K78,4,FALSE)+VLOOKUP(D6,Forecast!$A9:$K78,5,FALSE)</f>
        <v>1627</v>
      </c>
      <c r="E28" s="356">
        <f>VLOOKUP(E6,Forecast!$A9:$K78,4,FALSE)+VLOOKUP(E6,Forecast!$A9:$K78,5,FALSE)</f>
        <v>2006</v>
      </c>
      <c r="F28" s="356"/>
      <c r="G28" s="12"/>
      <c r="I28" s="47"/>
    </row>
    <row r="29" spans="1:10" ht="18.75" x14ac:dyDescent="0.3">
      <c r="A29" s="354">
        <f>A28+1</f>
        <v>15</v>
      </c>
      <c r="B29" s="355" t="s">
        <v>42</v>
      </c>
      <c r="C29" s="359">
        <f>VLOOKUP(C6,Forecast!$A9:$K78,6,FALSE)</f>
        <v>2826752</v>
      </c>
      <c r="D29" s="359">
        <f>VLOOKUP(D6,Forecast!$A9:$K78,6,FALSE)</f>
        <v>2723123</v>
      </c>
      <c r="E29" s="359">
        <f>VLOOKUP(E6,Forecast!$A9:$K78,6,FALSE)</f>
        <v>1985561</v>
      </c>
      <c r="F29" s="356"/>
      <c r="G29" s="12"/>
    </row>
    <row r="30" spans="1:10" ht="18.75" x14ac:dyDescent="0.3">
      <c r="A30" s="354">
        <f>A29+1</f>
        <v>16</v>
      </c>
      <c r="B30" s="355" t="s">
        <v>559</v>
      </c>
      <c r="C30" s="49">
        <f>C22-C28-C29</f>
        <v>723347</v>
      </c>
      <c r="D30" s="49">
        <f>D22-D28-D29</f>
        <v>785204</v>
      </c>
      <c r="E30" s="49">
        <f>E22-E28-E29</f>
        <v>1288650</v>
      </c>
      <c r="F30" s="49">
        <f>SUM(C30:E30)</f>
        <v>2797201</v>
      </c>
      <c r="G30" s="12"/>
    </row>
    <row r="31" spans="1:10" ht="18.75" x14ac:dyDescent="0.3">
      <c r="A31" s="354"/>
      <c r="B31" s="12"/>
      <c r="C31" s="356"/>
      <c r="D31" s="356"/>
      <c r="E31" s="356"/>
      <c r="F31" s="356"/>
      <c r="G31" s="12"/>
    </row>
    <row r="32" spans="1:10" ht="18.75" x14ac:dyDescent="0.3">
      <c r="A32" s="354">
        <f>A30+1</f>
        <v>17</v>
      </c>
      <c r="B32" s="355" t="s">
        <v>43</v>
      </c>
      <c r="C32" s="356">
        <f>'Input Data'!C15</f>
        <v>6910000</v>
      </c>
      <c r="D32" s="356">
        <f>C37</f>
        <v>9690000</v>
      </c>
      <c r="E32" s="356">
        <f>D37</f>
        <v>12360000</v>
      </c>
      <c r="F32" s="356"/>
      <c r="G32" s="12"/>
    </row>
    <row r="33" spans="1:9" ht="18.75" x14ac:dyDescent="0.3">
      <c r="A33" s="354">
        <f>A32+1</f>
        <v>18</v>
      </c>
      <c r="B33" s="355" t="s">
        <v>560</v>
      </c>
      <c r="C33" s="359">
        <f>C29</f>
        <v>2826752</v>
      </c>
      <c r="D33" s="359">
        <f>(D29)</f>
        <v>2723123</v>
      </c>
      <c r="E33" s="359">
        <f>(E29)</f>
        <v>1985561</v>
      </c>
      <c r="F33" s="356"/>
      <c r="G33" s="12"/>
    </row>
    <row r="34" spans="1:9" ht="18.75" x14ac:dyDescent="0.3">
      <c r="A34" s="354">
        <f t="shared" ref="A34:A37" si="3">A33+1</f>
        <v>19</v>
      </c>
      <c r="B34" s="355" t="s">
        <v>44</v>
      </c>
      <c r="C34" s="49">
        <f>C32+C33</f>
        <v>9736752</v>
      </c>
      <c r="D34" s="49">
        <f>D32+D33</f>
        <v>12413123</v>
      </c>
      <c r="E34" s="49">
        <f>E32+E33</f>
        <v>14345561</v>
      </c>
      <c r="F34" s="356"/>
      <c r="G34" s="12"/>
      <c r="I34" s="47"/>
    </row>
    <row r="35" spans="1:9" ht="18.75" x14ac:dyDescent="0.3">
      <c r="A35" s="354">
        <f t="shared" si="3"/>
        <v>20</v>
      </c>
      <c r="B35" s="355" t="s">
        <v>45</v>
      </c>
      <c r="C35" s="437">
        <f>VLOOKUP(C6,Forecast!$A9:$K78,7,FALSE)</f>
        <v>0</v>
      </c>
      <c r="D35" s="437">
        <f>VLOOKUP(D6,Forecast!$A9:$K78,7,FALSE)</f>
        <v>0</v>
      </c>
      <c r="E35" s="437">
        <f>VLOOKUP(E6,Forecast!$A9:$K78,7,FALSE)</f>
        <v>0</v>
      </c>
      <c r="F35" s="49">
        <f>SUM(C35:E35)</f>
        <v>0</v>
      </c>
      <c r="G35" s="12"/>
      <c r="I35" s="47"/>
    </row>
    <row r="36" spans="1:9" ht="18.75" x14ac:dyDescent="0.3">
      <c r="A36" s="354">
        <f t="shared" si="3"/>
        <v>21</v>
      </c>
      <c r="B36" s="355" t="s">
        <v>46</v>
      </c>
      <c r="C36" s="438">
        <f>VLOOKUP(C6,Forecast!$A9:$K78,8,FALSE)</f>
        <v>46752</v>
      </c>
      <c r="D36" s="438">
        <f>VLOOKUP(D6,Forecast!$A9:$K78,8,FALSE)</f>
        <v>53123</v>
      </c>
      <c r="E36" s="438">
        <f>VLOOKUP(E6,Forecast!$A9:$K78,8,FALSE)</f>
        <v>55561</v>
      </c>
      <c r="F36" s="49">
        <f>C36+D36+E36</f>
        <v>155436</v>
      </c>
      <c r="G36" s="12"/>
      <c r="I36" s="47"/>
    </row>
    <row r="37" spans="1:9" ht="18.75" x14ac:dyDescent="0.3">
      <c r="A37" s="354">
        <f t="shared" si="3"/>
        <v>22</v>
      </c>
      <c r="B37" s="355" t="s">
        <v>47</v>
      </c>
      <c r="C37" s="49">
        <f>C34-C35-C36</f>
        <v>9690000</v>
      </c>
      <c r="D37" s="49">
        <f>D34-D35-D36</f>
        <v>12360000</v>
      </c>
      <c r="E37" s="49">
        <f>E34-E35-E36</f>
        <v>14290000</v>
      </c>
      <c r="F37" s="356"/>
      <c r="G37" s="12"/>
    </row>
    <row r="38" spans="1:9" ht="18.75" x14ac:dyDescent="0.3">
      <c r="A38" s="354"/>
      <c r="B38" s="12"/>
      <c r="C38" s="356"/>
      <c r="D38" s="356"/>
      <c r="E38" s="356"/>
      <c r="F38" s="356"/>
      <c r="G38" s="12"/>
    </row>
    <row r="39" spans="1:9" ht="18.75" x14ac:dyDescent="0.3">
      <c r="A39" s="354">
        <f>A37+1</f>
        <v>23</v>
      </c>
      <c r="B39" s="355" t="s">
        <v>541</v>
      </c>
      <c r="C39" s="49">
        <f>C30+C35+C36</f>
        <v>770099</v>
      </c>
      <c r="D39" s="49">
        <f>D30+D35+D36</f>
        <v>838327</v>
      </c>
      <c r="E39" s="49">
        <f>E30+E35+E36</f>
        <v>1344211</v>
      </c>
      <c r="F39" s="49">
        <f>SUM(C39:E39)</f>
        <v>2952637</v>
      </c>
      <c r="G39" s="12"/>
    </row>
    <row r="40" spans="1:9" ht="18.75" x14ac:dyDescent="0.3">
      <c r="A40" s="354"/>
      <c r="B40" s="12"/>
      <c r="C40" s="356"/>
      <c r="D40" s="356"/>
      <c r="E40" s="356"/>
      <c r="F40" s="356"/>
      <c r="G40" s="12"/>
    </row>
    <row r="41" spans="1:9" ht="18.75" x14ac:dyDescent="0.3">
      <c r="A41" s="354"/>
      <c r="B41" s="351" t="s">
        <v>48</v>
      </c>
      <c r="C41" s="356"/>
      <c r="D41" s="356"/>
      <c r="E41" s="356"/>
      <c r="F41" s="356"/>
      <c r="G41" s="12"/>
    </row>
    <row r="42" spans="1:9" ht="18.75" x14ac:dyDescent="0.3">
      <c r="A42" s="354">
        <f>A39+1</f>
        <v>24</v>
      </c>
      <c r="B42" s="355" t="s">
        <v>542</v>
      </c>
      <c r="C42" s="362">
        <f>ROUND(C26*C66,0)</f>
        <v>2938622</v>
      </c>
      <c r="D42" s="362">
        <f>ROUND(D26*D66,0)</f>
        <v>2905464</v>
      </c>
      <c r="E42" s="362">
        <f>ROUND(E26*E66,0)</f>
        <v>2719652</v>
      </c>
      <c r="F42" s="49"/>
      <c r="G42" s="12"/>
    </row>
    <row r="43" spans="1:9" ht="18.75" x14ac:dyDescent="0.3">
      <c r="A43" s="354">
        <f>A42+1</f>
        <v>25</v>
      </c>
      <c r="B43" s="355" t="s">
        <v>543</v>
      </c>
      <c r="C43" s="360">
        <f>ROUND(C25*C66,0)</f>
        <v>31361</v>
      </c>
      <c r="D43" s="360">
        <f>ROUND(D25*D66,0)</f>
        <v>34322</v>
      </c>
      <c r="E43" s="360">
        <f>ROUND(E25*E66,0)</f>
        <v>39707</v>
      </c>
      <c r="F43" s="49"/>
      <c r="G43" s="12"/>
    </row>
    <row r="44" spans="1:9" ht="18.75" x14ac:dyDescent="0.3">
      <c r="A44" s="354">
        <f t="shared" ref="A44:A54" si="4">A43+1</f>
        <v>26</v>
      </c>
      <c r="B44" s="355" t="s">
        <v>432</v>
      </c>
      <c r="C44" s="362">
        <f>C42-C43</f>
        <v>2907261</v>
      </c>
      <c r="D44" s="362">
        <f>D42-D43</f>
        <v>2871142</v>
      </c>
      <c r="E44" s="362">
        <f>E42-E43</f>
        <v>2679945</v>
      </c>
      <c r="F44" s="49"/>
      <c r="G44" s="12"/>
    </row>
    <row r="45" spans="1:9" ht="18.75" x14ac:dyDescent="0.3">
      <c r="A45" s="354">
        <f t="shared" si="4"/>
        <v>27</v>
      </c>
      <c r="B45" s="355" t="s">
        <v>544</v>
      </c>
      <c r="C45" s="49">
        <f t="shared" ref="C45:E47" si="5">ROUND(C8*C67,0)</f>
        <v>2827017</v>
      </c>
      <c r="D45" s="49">
        <f t="shared" si="5"/>
        <v>2867692</v>
      </c>
      <c r="E45" s="49">
        <f t="shared" si="5"/>
        <v>2354134</v>
      </c>
      <c r="F45" s="49"/>
      <c r="G45" s="12"/>
    </row>
    <row r="46" spans="1:9" ht="18.75" x14ac:dyDescent="0.3">
      <c r="A46" s="354">
        <f t="shared" si="4"/>
        <v>28</v>
      </c>
      <c r="B46" s="355" t="s">
        <v>561</v>
      </c>
      <c r="C46" s="49">
        <f>ROUND(C9*C68,0)</f>
        <v>3717844</v>
      </c>
      <c r="D46" s="49">
        <f t="shared" si="5"/>
        <v>3560316</v>
      </c>
      <c r="E46" s="49">
        <f t="shared" si="5"/>
        <v>3751257</v>
      </c>
      <c r="F46" s="49"/>
      <c r="G46" s="12"/>
    </row>
    <row r="47" spans="1:9" ht="18.75" x14ac:dyDescent="0.3">
      <c r="A47" s="354">
        <f t="shared" si="4"/>
        <v>29</v>
      </c>
      <c r="B47" s="355" t="s">
        <v>569</v>
      </c>
      <c r="C47" s="49">
        <f t="shared" si="5"/>
        <v>1305410</v>
      </c>
      <c r="D47" s="49">
        <f t="shared" si="5"/>
        <v>1250700</v>
      </c>
      <c r="E47" s="49">
        <f t="shared" si="5"/>
        <v>1316570</v>
      </c>
      <c r="F47" s="49"/>
      <c r="G47" s="12"/>
    </row>
    <row r="48" spans="1:9" ht="18.75" x14ac:dyDescent="0.3">
      <c r="A48" s="354">
        <f t="shared" si="4"/>
        <v>30</v>
      </c>
      <c r="B48" s="355" t="s">
        <v>49</v>
      </c>
      <c r="C48" s="362">
        <f>SUM(C44:C47)</f>
        <v>10757532</v>
      </c>
      <c r="D48" s="362">
        <f>SUM(D44:D47)</f>
        <v>10549850</v>
      </c>
      <c r="E48" s="362">
        <f>SUM(E44:E47)</f>
        <v>10101906</v>
      </c>
      <c r="F48" s="362">
        <f t="shared" ref="F48:F54" si="6">SUM(C48:E48)</f>
        <v>31409288</v>
      </c>
      <c r="G48" s="12"/>
    </row>
    <row r="49" spans="1:7" ht="18.75" x14ac:dyDescent="0.3">
      <c r="A49" s="354">
        <f t="shared" si="4"/>
        <v>31</v>
      </c>
      <c r="B49" s="355" t="s">
        <v>545</v>
      </c>
      <c r="C49" s="49">
        <f>ROUND(C13*C67,0)</f>
        <v>0</v>
      </c>
      <c r="D49" s="49">
        <f>ROUND(D13*D67,0)</f>
        <v>0</v>
      </c>
      <c r="E49" s="49">
        <f>ROUND(E13*E67,0)</f>
        <v>0</v>
      </c>
      <c r="F49" s="49">
        <f t="shared" si="6"/>
        <v>0</v>
      </c>
      <c r="G49" s="12"/>
    </row>
    <row r="50" spans="1:7" ht="18.75" x14ac:dyDescent="0.3">
      <c r="A50" s="354">
        <f t="shared" si="4"/>
        <v>32</v>
      </c>
      <c r="B50" s="355" t="s">
        <v>546</v>
      </c>
      <c r="C50" s="360">
        <f>ROUND(C14*C67,0)</f>
        <v>0</v>
      </c>
      <c r="D50" s="360">
        <f>ROUND(D14*D67,0)</f>
        <v>0</v>
      </c>
      <c r="E50" s="360">
        <f>ROUND(E14*E67,0)</f>
        <v>142652</v>
      </c>
      <c r="F50" s="360">
        <f t="shared" si="6"/>
        <v>142652</v>
      </c>
      <c r="G50" s="12"/>
    </row>
    <row r="51" spans="1:7" ht="18.75" x14ac:dyDescent="0.3">
      <c r="A51" s="354">
        <f t="shared" si="4"/>
        <v>33</v>
      </c>
      <c r="B51" s="355" t="s">
        <v>50</v>
      </c>
      <c r="C51" s="362">
        <f>C48+C49-C50</f>
        <v>10757532</v>
      </c>
      <c r="D51" s="362">
        <f>D48+D49-D50</f>
        <v>10549850</v>
      </c>
      <c r="E51" s="362">
        <f>E48+E49-E50</f>
        <v>9959254</v>
      </c>
      <c r="F51" s="362">
        <f t="shared" si="6"/>
        <v>31266636</v>
      </c>
      <c r="G51" s="12"/>
    </row>
    <row r="52" spans="1:7" ht="18.75" x14ac:dyDescent="0.3">
      <c r="A52" s="354">
        <f t="shared" si="4"/>
        <v>34</v>
      </c>
      <c r="B52" s="355" t="s">
        <v>562</v>
      </c>
      <c r="C52" s="49">
        <f>ROUND(C28*C70,0)</f>
        <v>12134</v>
      </c>
      <c r="D52" s="49">
        <f>ROUND(D28*D70,0)</f>
        <v>4890</v>
      </c>
      <c r="E52" s="49">
        <f>ROUND(E28*E70,0)</f>
        <v>6098</v>
      </c>
      <c r="F52" s="49">
        <f t="shared" si="6"/>
        <v>23122</v>
      </c>
      <c r="G52" s="12"/>
    </row>
    <row r="53" spans="1:7" ht="18.75" x14ac:dyDescent="0.3">
      <c r="A53" s="354">
        <f t="shared" si="4"/>
        <v>35</v>
      </c>
      <c r="B53" s="355" t="s">
        <v>563</v>
      </c>
      <c r="C53" s="360">
        <f>ROUND(C29*C70,0)</f>
        <v>8556013</v>
      </c>
      <c r="D53" s="360">
        <f>ROUND(D29*D70,0)</f>
        <v>8184891</v>
      </c>
      <c r="E53" s="360">
        <f>ROUND(E29*E70,0)</f>
        <v>6035907</v>
      </c>
      <c r="F53" s="360">
        <f t="shared" si="6"/>
        <v>22776811</v>
      </c>
      <c r="G53" s="12"/>
    </row>
    <row r="54" spans="1:7" ht="18.75" x14ac:dyDescent="0.3">
      <c r="A54" s="354">
        <f t="shared" si="4"/>
        <v>36</v>
      </c>
      <c r="B54" s="355" t="s">
        <v>51</v>
      </c>
      <c r="C54" s="362">
        <f>C51-C52-C53</f>
        <v>2189385</v>
      </c>
      <c r="D54" s="362">
        <f>D51-D52-D53</f>
        <v>2360069</v>
      </c>
      <c r="E54" s="362">
        <f>E51-E52-E53</f>
        <v>3917249</v>
      </c>
      <c r="F54" s="362">
        <f t="shared" si="6"/>
        <v>8466703</v>
      </c>
      <c r="G54" s="12"/>
    </row>
    <row r="55" spans="1:7" ht="18.75" x14ac:dyDescent="0.3">
      <c r="A55" s="354"/>
      <c r="B55" s="12"/>
      <c r="C55" s="49"/>
      <c r="D55" s="49"/>
      <c r="E55" s="49"/>
      <c r="F55" s="49"/>
      <c r="G55" s="12"/>
    </row>
    <row r="56" spans="1:7" ht="18.75" x14ac:dyDescent="0.3">
      <c r="A56" s="354">
        <f>A54+1</f>
        <v>37</v>
      </c>
      <c r="B56" s="355" t="s">
        <v>43</v>
      </c>
      <c r="C56" s="363">
        <f>ROUND(C32*'Input Data'!C14,0)</f>
        <v>21528796</v>
      </c>
      <c r="D56" s="362">
        <f>C61</f>
        <v>29940355</v>
      </c>
      <c r="E56" s="362">
        <f>D61</f>
        <v>37962084</v>
      </c>
      <c r="F56" s="49"/>
      <c r="G56" s="12"/>
    </row>
    <row r="57" spans="1:7" ht="18.75" x14ac:dyDescent="0.3">
      <c r="A57" s="354">
        <f>A56+1</f>
        <v>38</v>
      </c>
      <c r="B57" s="355" t="s">
        <v>547</v>
      </c>
      <c r="C57" s="360">
        <f>(C53)</f>
        <v>8556013</v>
      </c>
      <c r="D57" s="360">
        <f>(D53)</f>
        <v>8184891</v>
      </c>
      <c r="E57" s="360">
        <f>(E53)</f>
        <v>6035907</v>
      </c>
      <c r="F57" s="49"/>
      <c r="G57" s="12"/>
    </row>
    <row r="58" spans="1:7" ht="18.75" x14ac:dyDescent="0.3">
      <c r="A58" s="354">
        <f t="shared" ref="A58:A61" si="7">A57+1</f>
        <v>39</v>
      </c>
      <c r="B58" s="355" t="s">
        <v>44</v>
      </c>
      <c r="C58" s="362">
        <f>C56+C57</f>
        <v>30084809</v>
      </c>
      <c r="D58" s="362">
        <f>D56+D57</f>
        <v>38125246</v>
      </c>
      <c r="E58" s="362">
        <f>E56+E57</f>
        <v>43997991</v>
      </c>
      <c r="F58" s="49"/>
      <c r="G58" s="12"/>
    </row>
    <row r="59" spans="1:7" ht="18.75" x14ac:dyDescent="0.3">
      <c r="A59" s="354">
        <f t="shared" si="7"/>
        <v>40</v>
      </c>
      <c r="B59" s="355" t="s">
        <v>564</v>
      </c>
      <c r="C59" s="49">
        <f>ROUND(C35*C71,0)</f>
        <v>0</v>
      </c>
      <c r="D59" s="49">
        <f>ROUND(D35*D71,0)</f>
        <v>0</v>
      </c>
      <c r="E59" s="49">
        <f>ROUND(E35*E71,0)</f>
        <v>0</v>
      </c>
      <c r="F59" s="362">
        <f>SUM(C59:E59)</f>
        <v>0</v>
      </c>
      <c r="G59" s="12"/>
    </row>
    <row r="60" spans="1:7" ht="18.75" x14ac:dyDescent="0.3">
      <c r="A60" s="354">
        <f t="shared" si="7"/>
        <v>41</v>
      </c>
      <c r="B60" s="355" t="s">
        <v>565</v>
      </c>
      <c r="C60" s="360">
        <f>ROUND(C36*C71,0)</f>
        <v>144454</v>
      </c>
      <c r="D60" s="360">
        <f>ROUND(D36*D71,0)</f>
        <v>163162</v>
      </c>
      <c r="E60" s="360">
        <f>ROUND(E36*E71,0)</f>
        <v>170406</v>
      </c>
      <c r="F60" s="358">
        <f>C60+D60+E60</f>
        <v>478022</v>
      </c>
      <c r="G60" s="12"/>
    </row>
    <row r="61" spans="1:7" ht="18.75" x14ac:dyDescent="0.3">
      <c r="A61" s="354">
        <f t="shared" si="7"/>
        <v>42</v>
      </c>
      <c r="B61" s="355" t="s">
        <v>47</v>
      </c>
      <c r="C61" s="362">
        <f>C58-C59-C60</f>
        <v>29940355</v>
      </c>
      <c r="D61" s="362">
        <f>D58-D59-D60</f>
        <v>37962084</v>
      </c>
      <c r="E61" s="362">
        <f>E58-E59-E60</f>
        <v>43827585</v>
      </c>
      <c r="F61" s="49"/>
      <c r="G61" s="12"/>
    </row>
    <row r="62" spans="1:7" ht="18.75" x14ac:dyDescent="0.3">
      <c r="A62" s="354"/>
      <c r="B62" s="355"/>
      <c r="C62" s="362"/>
      <c r="D62" s="362"/>
      <c r="E62" s="362"/>
      <c r="F62" s="49"/>
      <c r="G62" s="12"/>
    </row>
    <row r="63" spans="1:7" ht="18.75" x14ac:dyDescent="0.3">
      <c r="A63" s="354">
        <f>A61+1</f>
        <v>43</v>
      </c>
      <c r="B63" s="355" t="s">
        <v>548</v>
      </c>
      <c r="C63" s="364">
        <f>C54+C59+C60</f>
        <v>2333839</v>
      </c>
      <c r="D63" s="364">
        <f>D54+D59+D60</f>
        <v>2523231</v>
      </c>
      <c r="E63" s="364">
        <f>E54+E59+E60</f>
        <v>4087655</v>
      </c>
      <c r="F63" s="364">
        <f>F54+F59+F60</f>
        <v>8944725</v>
      </c>
      <c r="G63" s="12"/>
    </row>
    <row r="64" spans="1:7" ht="18.75" x14ac:dyDescent="0.3">
      <c r="A64" s="354"/>
      <c r="B64" s="12"/>
      <c r="C64" s="356"/>
      <c r="D64" s="356"/>
      <c r="E64" s="356"/>
      <c r="F64" s="356"/>
      <c r="G64" s="12"/>
    </row>
    <row r="65" spans="1:14" ht="18.75" x14ac:dyDescent="0.3">
      <c r="A65" s="354"/>
      <c r="B65" s="351" t="s">
        <v>52</v>
      </c>
      <c r="C65" s="356"/>
      <c r="D65" s="356"/>
      <c r="E65" s="356"/>
      <c r="F65" s="356"/>
      <c r="G65" s="12"/>
    </row>
    <row r="66" spans="1:14" ht="18.75" x14ac:dyDescent="0.3">
      <c r="A66" s="354">
        <f>A63+1</f>
        <v>44</v>
      </c>
      <c r="B66" s="355" t="s">
        <v>53</v>
      </c>
      <c r="C66" s="365">
        <f>'Ex A 2 of 2'!F27</f>
        <v>0.81799999999999995</v>
      </c>
      <c r="D66" s="366">
        <f>C66</f>
        <v>0.81799999999999995</v>
      </c>
      <c r="E66" s="366">
        <f>C66</f>
        <v>0.81799999999999995</v>
      </c>
      <c r="F66" s="356"/>
      <c r="G66" s="12"/>
    </row>
    <row r="67" spans="1:14" ht="18.75" x14ac:dyDescent="0.3">
      <c r="A67" s="354">
        <f>A66+1</f>
        <v>45</v>
      </c>
      <c r="B67" s="355" t="s">
        <v>533</v>
      </c>
      <c r="C67" s="365">
        <v>2.1431</v>
      </c>
      <c r="D67" s="365">
        <v>2.1217000000000001</v>
      </c>
      <c r="E67" s="365">
        <v>2.1614</v>
      </c>
      <c r="F67" s="367"/>
      <c r="G67" s="12"/>
      <c r="L67" s="368"/>
      <c r="M67" s="368"/>
      <c r="N67" s="368"/>
    </row>
    <row r="68" spans="1:14" ht="18.75" x14ac:dyDescent="0.3">
      <c r="A68" s="354">
        <f t="shared" ref="A68:A71" si="8">A67+1</f>
        <v>46</v>
      </c>
      <c r="B68" s="355" t="s">
        <v>535</v>
      </c>
      <c r="C68" s="365">
        <v>2.0139999999999998</v>
      </c>
      <c r="D68" s="365">
        <v>1.9928999999999999</v>
      </c>
      <c r="E68" s="365">
        <v>2.0320999999999998</v>
      </c>
      <c r="F68" s="367"/>
      <c r="G68" s="12"/>
      <c r="L68" s="368"/>
      <c r="M68" s="368"/>
      <c r="N68" s="368"/>
    </row>
    <row r="69" spans="1:14" ht="18.75" x14ac:dyDescent="0.3">
      <c r="A69" s="354">
        <f t="shared" si="8"/>
        <v>47</v>
      </c>
      <c r="B69" s="355" t="s">
        <v>568</v>
      </c>
      <c r="C69" s="365">
        <v>2.1055000000000001</v>
      </c>
      <c r="D69" s="365">
        <v>2.0844999999999998</v>
      </c>
      <c r="E69" s="365">
        <v>2.1234999999999999</v>
      </c>
      <c r="F69" s="367"/>
      <c r="G69" s="12"/>
      <c r="L69" s="368"/>
      <c r="M69" s="368"/>
      <c r="N69" s="368"/>
    </row>
    <row r="70" spans="1:14" ht="18.75" x14ac:dyDescent="0.3">
      <c r="A70" s="354">
        <f t="shared" si="8"/>
        <v>48</v>
      </c>
      <c r="B70" s="355" t="s">
        <v>549</v>
      </c>
      <c r="C70" s="365">
        <f>ROUND(C51/C22,4)</f>
        <v>3.0268000000000002</v>
      </c>
      <c r="D70" s="365">
        <f>ROUND(D51/D22,4)</f>
        <v>3.0057</v>
      </c>
      <c r="E70" s="365">
        <f>ROUND(E51/E22,4)</f>
        <v>3.0398999999999998</v>
      </c>
      <c r="F70" s="356"/>
      <c r="G70" s="12"/>
    </row>
    <row r="71" spans="1:14" ht="18.75" x14ac:dyDescent="0.3">
      <c r="A71" s="354">
        <f t="shared" si="8"/>
        <v>49</v>
      </c>
      <c r="B71" s="355" t="s">
        <v>550</v>
      </c>
      <c r="C71" s="365">
        <f>ROUND(C58/C34,4)</f>
        <v>3.0897999999999999</v>
      </c>
      <c r="D71" s="365">
        <f>ROUND(D58/D34,4)</f>
        <v>3.0714000000000001</v>
      </c>
      <c r="E71" s="365">
        <f>ROUND(E58/E34,4)</f>
        <v>3.0670000000000002</v>
      </c>
      <c r="F71" s="356"/>
      <c r="G71" s="12"/>
    </row>
    <row r="72" spans="1:14" ht="18.75" x14ac:dyDescent="0.3">
      <c r="A72" s="354"/>
      <c r="B72" s="12"/>
      <c r="C72" s="356"/>
      <c r="D72" s="356"/>
      <c r="E72" s="356"/>
      <c r="F72" s="356"/>
      <c r="G72" s="12"/>
    </row>
    <row r="73" spans="1:14" ht="18.75" x14ac:dyDescent="0.3">
      <c r="A73" s="354"/>
      <c r="B73" s="351" t="s">
        <v>54</v>
      </c>
      <c r="C73" s="369"/>
      <c r="D73" s="369"/>
      <c r="E73" s="369"/>
      <c r="F73" s="356"/>
      <c r="G73" s="12"/>
    </row>
    <row r="74" spans="1:14" ht="18.75" x14ac:dyDescent="0.3">
      <c r="A74" s="354">
        <f>A71+1</f>
        <v>50</v>
      </c>
      <c r="B74" s="355" t="s">
        <v>55</v>
      </c>
      <c r="C74" s="356"/>
      <c r="D74" s="356"/>
      <c r="E74" s="356"/>
      <c r="F74" s="370">
        <f>ROUND(F39*'Input Data'!C17,4)</f>
        <v>2877640.0202000001</v>
      </c>
      <c r="G74" s="355" t="s">
        <v>56</v>
      </c>
    </row>
    <row r="75" spans="1:14" ht="18.75" x14ac:dyDescent="0.3">
      <c r="A75" s="354"/>
      <c r="B75" s="371" t="str">
        <f>CONCATENATE('Input Data'!D4," through ",'Input Data'!D5)</f>
        <v>August 1, 2019 through October 31, 2019</v>
      </c>
      <c r="C75" s="356"/>
      <c r="D75" s="356"/>
      <c r="E75" s="356"/>
      <c r="F75" s="12"/>
      <c r="G75" s="12"/>
    </row>
    <row r="76" spans="1:14" ht="18.75" x14ac:dyDescent="0.3">
      <c r="A76" s="354"/>
      <c r="B76" s="12"/>
      <c r="C76" s="356"/>
      <c r="D76" s="356"/>
      <c r="E76" s="356"/>
      <c r="F76" s="356"/>
      <c r="G76" s="12"/>
    </row>
    <row r="77" spans="1:14" ht="18.75" x14ac:dyDescent="0.3">
      <c r="A77" s="354">
        <f>A74+1</f>
        <v>51</v>
      </c>
      <c r="B77" s="371" t="s">
        <v>551</v>
      </c>
      <c r="C77" s="356"/>
      <c r="D77" s="356"/>
      <c r="E77" s="356"/>
      <c r="F77" s="372">
        <f>F63/F74</f>
        <v>3.1083543936042175</v>
      </c>
      <c r="G77" s="355" t="s">
        <v>57</v>
      </c>
    </row>
    <row r="78" spans="1:14" ht="18.75" x14ac:dyDescent="0.3">
      <c r="A78" s="354"/>
      <c r="B78" s="12"/>
      <c r="C78" s="12"/>
      <c r="D78" s="12"/>
      <c r="E78" s="12"/>
      <c r="F78" s="12"/>
      <c r="G78" s="12"/>
    </row>
    <row r="79" spans="1:14" ht="18.75" x14ac:dyDescent="0.3">
      <c r="A79" s="354"/>
      <c r="B79" s="12"/>
      <c r="C79" s="12"/>
      <c r="D79" s="12"/>
      <c r="E79" s="12"/>
      <c r="F79" s="12"/>
      <c r="G79" s="12"/>
    </row>
    <row r="80" spans="1:14" ht="18.75" x14ac:dyDescent="0.3">
      <c r="A80" s="354"/>
      <c r="B80" s="12"/>
      <c r="C80" s="12"/>
      <c r="D80" s="12"/>
      <c r="E80" s="12"/>
      <c r="F80" s="12"/>
      <c r="G80" s="12"/>
    </row>
    <row r="81" spans="1:7" ht="18.75" x14ac:dyDescent="0.3">
      <c r="A81" s="354"/>
      <c r="B81" s="12"/>
      <c r="C81" s="12"/>
      <c r="D81" s="12"/>
      <c r="E81" s="12"/>
      <c r="F81" s="12"/>
      <c r="G81" s="12"/>
    </row>
    <row r="82" spans="1:7" ht="18.75" x14ac:dyDescent="0.3">
      <c r="A82" s="354"/>
      <c r="B82" s="12"/>
      <c r="C82" s="12"/>
      <c r="D82" s="12"/>
      <c r="E82" s="12"/>
      <c r="F82" s="12"/>
      <c r="G82" s="12"/>
    </row>
    <row r="83" spans="1:7" ht="18.75" x14ac:dyDescent="0.3">
      <c r="A83" s="354"/>
      <c r="B83" s="12"/>
      <c r="C83" s="12"/>
      <c r="D83" s="12"/>
      <c r="E83" s="12"/>
      <c r="F83" s="12"/>
      <c r="G83" s="12"/>
    </row>
    <row r="84" spans="1:7" ht="18.75" x14ac:dyDescent="0.3">
      <c r="A84" s="354"/>
      <c r="B84" s="12"/>
      <c r="C84" s="12"/>
      <c r="D84" s="12"/>
      <c r="E84" s="12"/>
      <c r="F84" s="12"/>
      <c r="G84" s="12"/>
    </row>
    <row r="85" spans="1:7" ht="18.75" x14ac:dyDescent="0.3">
      <c r="A85" s="354"/>
      <c r="B85" s="12"/>
      <c r="C85" s="12"/>
      <c r="D85" s="12"/>
      <c r="E85" s="12"/>
      <c r="F85" s="12"/>
      <c r="G85" s="12"/>
    </row>
    <row r="86" spans="1:7" ht="18.75" x14ac:dyDescent="0.3">
      <c r="A86" s="354"/>
      <c r="B86" s="12"/>
      <c r="C86" s="12"/>
      <c r="D86" s="12"/>
      <c r="E86" s="12"/>
      <c r="F86" s="12"/>
      <c r="G86" s="12"/>
    </row>
    <row r="87" spans="1:7" ht="18.75" x14ac:dyDescent="0.3">
      <c r="A87" s="354"/>
      <c r="B87" s="12"/>
      <c r="C87" s="12"/>
      <c r="D87" s="12"/>
      <c r="E87" s="12"/>
      <c r="F87" s="12"/>
      <c r="G87" s="12"/>
    </row>
    <row r="88" spans="1:7" ht="18.75" x14ac:dyDescent="0.3">
      <c r="A88" s="354"/>
      <c r="B88" s="12"/>
      <c r="C88" s="365"/>
      <c r="D88" s="12"/>
      <c r="E88" s="12"/>
      <c r="F88" s="12"/>
      <c r="G88" s="12"/>
    </row>
    <row r="89" spans="1:7" ht="18.75" x14ac:dyDescent="0.3">
      <c r="A89" s="344"/>
      <c r="B89" s="12"/>
      <c r="C89" s="12"/>
      <c r="D89" s="12"/>
      <c r="E89" s="12"/>
      <c r="F89" s="12"/>
      <c r="G89" s="12"/>
    </row>
    <row r="90" spans="1:7" ht="18.75" x14ac:dyDescent="0.3">
      <c r="A90" s="344"/>
      <c r="B90" s="12"/>
      <c r="C90" s="12"/>
      <c r="D90" s="12"/>
      <c r="E90" s="12"/>
      <c r="F90" s="12"/>
      <c r="G90" s="12"/>
    </row>
  </sheetData>
  <protectedRanges>
    <protectedRange password="C6AD" sqref="C11:E11" name="Range1"/>
    <protectedRange password="C6AD" sqref="D66:E66" name="Range2"/>
  </protectedRanges>
  <phoneticPr fontId="2" type="noConversion"/>
  <pageMargins left="0.75" right="0.75" top="0.75" bottom="0.75" header="0.5" footer="0.5"/>
  <pageSetup scale="50" orientation="portrait" r:id="rId1"/>
  <headerFooter alignWithMargins="0">
    <oddHeader>&amp;R&amp;"Times New Roman,Bold"&amp;20Exhibit A
Page 1 of 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theme="9" tint="0.59999389629810485"/>
    <pageSetUpPr fitToPage="1"/>
  </sheetPr>
  <dimension ref="A1:Q76"/>
  <sheetViews>
    <sheetView zoomScale="80" zoomScaleNormal="80" workbookViewId="0">
      <selection sqref="A1:F1"/>
    </sheetView>
  </sheetViews>
  <sheetFormatPr defaultColWidth="9.77734375" defaultRowHeight="15.75" x14ac:dyDescent="0.25"/>
  <cols>
    <col min="1" max="1" width="8.21875" style="3" customWidth="1"/>
    <col min="2" max="2" width="60.33203125" style="3" customWidth="1"/>
    <col min="3" max="3" width="10.6640625" style="3" customWidth="1"/>
    <col min="4" max="4" width="9.6640625" style="3" customWidth="1"/>
    <col min="5" max="5" width="7.44140625" style="3" customWidth="1"/>
    <col min="6" max="6" width="13.6640625" style="3" customWidth="1"/>
    <col min="7" max="7" width="11.44140625" style="13" customWidth="1"/>
    <col min="8" max="8" width="6" style="3" customWidth="1"/>
    <col min="9" max="9" width="12.5546875" style="3" hidden="1" customWidth="1"/>
    <col min="10" max="10" width="13.44140625" style="3" hidden="1" customWidth="1"/>
    <col min="11" max="11" width="14.77734375" style="3" hidden="1" customWidth="1"/>
    <col min="12" max="12" width="14.5546875" style="3" hidden="1" customWidth="1"/>
    <col min="13" max="17" width="0" style="3" hidden="1" customWidth="1"/>
    <col min="18" max="16384" width="9.77734375" style="3"/>
  </cols>
  <sheetData>
    <row r="1" spans="1:17" ht="18.75" x14ac:dyDescent="0.25">
      <c r="A1" s="596" t="s">
        <v>29</v>
      </c>
      <c r="B1" s="596"/>
      <c r="C1" s="596"/>
      <c r="D1" s="596"/>
      <c r="E1" s="596"/>
      <c r="F1" s="596"/>
      <c r="G1" s="63"/>
    </row>
    <row r="2" spans="1:17" ht="18.75" x14ac:dyDescent="0.25">
      <c r="A2" s="597" t="s">
        <v>265</v>
      </c>
      <c r="B2" s="597"/>
      <c r="C2" s="597"/>
      <c r="D2" s="597"/>
      <c r="E2" s="597"/>
      <c r="F2" s="597"/>
      <c r="G2" s="63"/>
    </row>
    <row r="3" spans="1:17" s="260" customFormat="1" ht="17.25" customHeight="1" x14ac:dyDescent="0.3">
      <c r="A3" s="589" t="str">
        <f>CONCATENATE("For the Three-Month Period From ",'Input Data'!D4," thru ",'Input Data'!D5)</f>
        <v>For the Three-Month Period From August 1, 2019 thru October 31, 2019</v>
      </c>
      <c r="B3" s="589"/>
      <c r="C3" s="589"/>
      <c r="D3" s="589"/>
      <c r="E3" s="589"/>
      <c r="F3" s="589"/>
    </row>
    <row r="4" spans="1:17" ht="18.75" x14ac:dyDescent="0.3">
      <c r="A4" s="534"/>
      <c r="B4" s="534"/>
      <c r="C4" s="534"/>
      <c r="D4" s="534"/>
      <c r="E4" s="534"/>
      <c r="F4" s="534"/>
      <c r="G4" s="61"/>
    </row>
    <row r="5" spans="1:17" x14ac:dyDescent="0.25">
      <c r="B5" s="540"/>
      <c r="C5" s="281"/>
      <c r="D5" s="281"/>
      <c r="E5" s="281"/>
      <c r="F5" s="61"/>
      <c r="G5" s="64"/>
    </row>
    <row r="6" spans="1:17" x14ac:dyDescent="0.25">
      <c r="B6" s="540"/>
      <c r="C6" s="281"/>
      <c r="D6" s="281"/>
      <c r="E6" s="281"/>
      <c r="F6" s="92"/>
      <c r="G6" s="50"/>
    </row>
    <row r="7" spans="1:17" x14ac:dyDescent="0.25">
      <c r="B7" s="64"/>
      <c r="C7" s="64"/>
      <c r="D7" s="64"/>
      <c r="E7" s="64"/>
      <c r="F7" s="64"/>
      <c r="G7" s="11"/>
    </row>
    <row r="8" spans="1:17" x14ac:dyDescent="0.25">
      <c r="B8" s="51"/>
      <c r="C8" s="263"/>
      <c r="D8" s="263"/>
      <c r="E8" s="263"/>
      <c r="F8" s="50"/>
    </row>
    <row r="9" spans="1:17" ht="18.75" x14ac:dyDescent="0.3">
      <c r="A9" s="588" t="s">
        <v>252</v>
      </c>
      <c r="B9" s="588"/>
      <c r="C9" s="588"/>
      <c r="D9" s="588"/>
      <c r="E9" s="588"/>
      <c r="F9" s="588"/>
      <c r="G9" s="3"/>
      <c r="I9" s="266" t="s">
        <v>279</v>
      </c>
    </row>
    <row r="10" spans="1:17" ht="16.5" thickBot="1" x14ac:dyDescent="0.3">
      <c r="G10" s="3"/>
      <c r="I10" s="266" t="s">
        <v>359</v>
      </c>
    </row>
    <row r="11" spans="1:17" ht="48" thickBot="1" x14ac:dyDescent="0.3">
      <c r="A11" s="66" t="s">
        <v>250</v>
      </c>
      <c r="B11" s="66" t="s">
        <v>257</v>
      </c>
      <c r="C11" s="67" t="s">
        <v>254</v>
      </c>
      <c r="D11" s="66" t="s">
        <v>31</v>
      </c>
      <c r="E11" s="67" t="s">
        <v>255</v>
      </c>
      <c r="F11" s="67" t="s">
        <v>252</v>
      </c>
      <c r="I11" s="593" t="s">
        <v>328</v>
      </c>
      <c r="J11" s="594"/>
      <c r="K11" s="594"/>
      <c r="L11" s="595"/>
    </row>
    <row r="12" spans="1:17" ht="16.5" thickBot="1" x14ac:dyDescent="0.3">
      <c r="F12" s="13"/>
      <c r="I12" s="590" t="s">
        <v>248</v>
      </c>
      <c r="J12" s="591"/>
      <c r="K12" s="591"/>
      <c r="L12" s="592"/>
    </row>
    <row r="13" spans="1:17" x14ac:dyDescent="0.25">
      <c r="A13" s="531">
        <v>1</v>
      </c>
      <c r="B13" s="13" t="s">
        <v>256</v>
      </c>
      <c r="C13" s="100">
        <v>12.7104</v>
      </c>
      <c r="D13" s="55">
        <v>119913</v>
      </c>
      <c r="E13" s="531">
        <v>12</v>
      </c>
      <c r="F13" s="92">
        <f>ROUND((C13*D13*12),0)</f>
        <v>18289706</v>
      </c>
      <c r="I13" s="70"/>
      <c r="J13" s="30"/>
      <c r="K13" s="30"/>
      <c r="L13" s="52"/>
    </row>
    <row r="14" spans="1:17" x14ac:dyDescent="0.25">
      <c r="A14" s="531">
        <v>2</v>
      </c>
      <c r="B14" s="13" t="s">
        <v>552</v>
      </c>
      <c r="C14" s="100">
        <v>4.1792999999999996</v>
      </c>
      <c r="D14" s="55">
        <v>60000</v>
      </c>
      <c r="E14" s="531">
        <v>12</v>
      </c>
      <c r="F14" s="55">
        <f t="shared" ref="F14:F15" si="0">ROUND((C14*D14*12),0)</f>
        <v>3009096</v>
      </c>
      <c r="I14" s="71" t="s">
        <v>78</v>
      </c>
      <c r="J14" s="93" t="s">
        <v>94</v>
      </c>
      <c r="K14" s="42" t="s">
        <v>237</v>
      </c>
      <c r="L14" s="72" t="s">
        <v>264</v>
      </c>
      <c r="N14" s="3" t="s">
        <v>538</v>
      </c>
    </row>
    <row r="15" spans="1:17" x14ac:dyDescent="0.25">
      <c r="A15" s="531">
        <v>3</v>
      </c>
      <c r="B15" s="13" t="s">
        <v>384</v>
      </c>
      <c r="C15" s="100">
        <v>5.0355999999999996</v>
      </c>
      <c r="D15" s="55">
        <v>20000</v>
      </c>
      <c r="E15" s="531">
        <v>12</v>
      </c>
      <c r="F15" s="55">
        <f t="shared" si="0"/>
        <v>1208544</v>
      </c>
      <c r="I15" s="81">
        <f>'Input Data'!C4</f>
        <v>43678</v>
      </c>
      <c r="J15" s="82">
        <f>VLOOKUP(I15,Forecast!A$1:K$200,2)</f>
        <v>3554108</v>
      </c>
      <c r="K15" s="82">
        <f>VLOOKUP(I15,Forecast!A$1:K$200,3)</f>
        <v>38339</v>
      </c>
      <c r="L15" s="83">
        <f>SUM(J15:K15)</f>
        <v>3592447</v>
      </c>
      <c r="N15" s="82">
        <f>VLOOKUP($I15,Forecast!$A$10:$J$124,2,FALSE)</f>
        <v>3554108</v>
      </c>
      <c r="O15" s="3">
        <f>J15-N15</f>
        <v>0</v>
      </c>
      <c r="P15" s="82">
        <f>VLOOKUP($I15,Forecast!$A$10:$J$124,3,FALSE)</f>
        <v>38339</v>
      </c>
      <c r="Q15" s="3">
        <f>K15-P15</f>
        <v>0</v>
      </c>
    </row>
    <row r="16" spans="1:17" x14ac:dyDescent="0.25">
      <c r="A16" s="531">
        <v>4</v>
      </c>
      <c r="B16" s="60" t="s">
        <v>58</v>
      </c>
      <c r="C16" s="562"/>
      <c r="D16" s="562"/>
      <c r="E16" s="563"/>
      <c r="F16" s="98">
        <v>5377091</v>
      </c>
      <c r="I16" s="81">
        <f>EOMONTH(I15,0)+1</f>
        <v>43709</v>
      </c>
      <c r="J16" s="82">
        <f>VLOOKUP(I16,Forecast!A$1:K$200,2)</f>
        <v>3509954</v>
      </c>
      <c r="K16" s="82">
        <f>VLOOKUP(I16,Forecast!A$1:K$200,3)</f>
        <v>41958</v>
      </c>
      <c r="L16" s="83">
        <f t="shared" ref="L16:L26" si="1">SUM(J16:K16)</f>
        <v>3551912</v>
      </c>
      <c r="N16" s="82">
        <f>VLOOKUP($I16,Forecast!$A$10:$J$124,2,FALSE)</f>
        <v>3509954</v>
      </c>
      <c r="O16" s="3">
        <f t="shared" ref="O16:O26" si="2">J16-N16</f>
        <v>0</v>
      </c>
      <c r="P16" s="82">
        <f>VLOOKUP($I16,Forecast!$A$10:$J$124,3,FALSE)</f>
        <v>41958</v>
      </c>
      <c r="Q16" s="3">
        <f t="shared" ref="Q16:Q26" si="3">K16-P16</f>
        <v>0</v>
      </c>
    </row>
    <row r="17" spans="1:17" x14ac:dyDescent="0.25">
      <c r="A17" s="531">
        <v>5</v>
      </c>
      <c r="C17" s="15"/>
      <c r="D17" s="15"/>
      <c r="E17" s="62" t="s">
        <v>259</v>
      </c>
      <c r="F17" s="564">
        <f>SUM(F13:F16)</f>
        <v>27884437</v>
      </c>
      <c r="I17" s="81">
        <f t="shared" ref="I17:I26" si="4">EOMONTH(I16,0)+1</f>
        <v>43739</v>
      </c>
      <c r="J17" s="82">
        <f>VLOOKUP(I17,Forecast!A$1:K$200,2)</f>
        <v>3276217</v>
      </c>
      <c r="K17" s="82">
        <f>VLOOKUP(I17,Forecast!A$1:K$200,3)</f>
        <v>48541</v>
      </c>
      <c r="L17" s="83">
        <f t="shared" si="1"/>
        <v>3324758</v>
      </c>
      <c r="N17" s="82">
        <f>VLOOKUP($I17,Forecast!$A$10:$J$124,2,FALSE)</f>
        <v>3276217</v>
      </c>
      <c r="O17" s="3">
        <f t="shared" si="2"/>
        <v>0</v>
      </c>
      <c r="P17" s="82">
        <f>VLOOKUP($I17,Forecast!$A$10:$J$124,3,FALSE)</f>
        <v>48541</v>
      </c>
      <c r="Q17" s="3">
        <f t="shared" si="3"/>
        <v>0</v>
      </c>
    </row>
    <row r="18" spans="1:17" x14ac:dyDescent="0.25">
      <c r="A18" s="531"/>
      <c r="B18" s="15"/>
      <c r="C18" s="15"/>
      <c r="D18" s="15"/>
      <c r="E18" s="15"/>
      <c r="F18" s="564"/>
      <c r="I18" s="81">
        <f t="shared" si="4"/>
        <v>43770</v>
      </c>
      <c r="J18" s="82">
        <f>VLOOKUP(I18,Forecast!A$1:K$200,2)</f>
        <v>2998295</v>
      </c>
      <c r="K18" s="82">
        <f>VLOOKUP(I18,Forecast!A$1:K$200,3)</f>
        <v>55632</v>
      </c>
      <c r="L18" s="83">
        <f t="shared" si="1"/>
        <v>3053927</v>
      </c>
      <c r="N18" s="82">
        <f>VLOOKUP($I18,Forecast!$A$10:$J$124,2,FALSE)</f>
        <v>2998295</v>
      </c>
      <c r="O18" s="3">
        <f t="shared" si="2"/>
        <v>0</v>
      </c>
      <c r="P18" s="82">
        <f>VLOOKUP($I18,Forecast!$A$10:$J$124,3,FALSE)</f>
        <v>55632</v>
      </c>
      <c r="Q18" s="3">
        <f t="shared" si="3"/>
        <v>0</v>
      </c>
    </row>
    <row r="19" spans="1:17" x14ac:dyDescent="0.25">
      <c r="A19" s="531"/>
      <c r="B19" s="15"/>
      <c r="C19" s="15"/>
      <c r="D19" s="15"/>
      <c r="E19" s="15"/>
      <c r="F19" s="564"/>
      <c r="I19" s="81">
        <f t="shared" si="4"/>
        <v>43800</v>
      </c>
      <c r="J19" s="82">
        <f>VLOOKUP(I19,Forecast!A$1:K$200,2)</f>
        <v>3258505</v>
      </c>
      <c r="K19" s="82">
        <f>VLOOKUP(I19,Forecast!A$1:K$200,3)</f>
        <v>40146</v>
      </c>
      <c r="L19" s="83">
        <f t="shared" si="1"/>
        <v>3298651</v>
      </c>
      <c r="N19" s="82">
        <f>VLOOKUP($I19,Forecast!$A$10:$J$124,2,FALSE)</f>
        <v>3258505</v>
      </c>
      <c r="O19" s="3">
        <f t="shared" si="2"/>
        <v>0</v>
      </c>
      <c r="P19" s="82">
        <f>VLOOKUP($I19,Forecast!$A$10:$J$124,3,FALSE)</f>
        <v>40146</v>
      </c>
      <c r="Q19" s="3">
        <f t="shared" si="3"/>
        <v>0</v>
      </c>
    </row>
    <row r="20" spans="1:17" x14ac:dyDescent="0.25">
      <c r="A20" s="531"/>
      <c r="F20" s="65"/>
      <c r="I20" s="81">
        <f t="shared" si="4"/>
        <v>43831</v>
      </c>
      <c r="J20" s="82">
        <f>VLOOKUP(I20,Forecast!A$1:K$200,2)</f>
        <v>3527400</v>
      </c>
      <c r="K20" s="82">
        <f>VLOOKUP(I20,Forecast!A$1:K$200,3)</f>
        <v>15248</v>
      </c>
      <c r="L20" s="83">
        <f t="shared" si="1"/>
        <v>3542648</v>
      </c>
      <c r="N20" s="82">
        <f>VLOOKUP($I20,Forecast!$A$10:$J$124,2,FALSE)</f>
        <v>3527400</v>
      </c>
      <c r="O20" s="3">
        <f t="shared" si="2"/>
        <v>0</v>
      </c>
      <c r="P20" s="82">
        <f>VLOOKUP($I20,Forecast!$A$10:$J$124,3,FALSE)</f>
        <v>15248</v>
      </c>
      <c r="Q20" s="3">
        <f t="shared" si="3"/>
        <v>0</v>
      </c>
    </row>
    <row r="21" spans="1:17" x14ac:dyDescent="0.25">
      <c r="A21" s="540"/>
      <c r="F21" s="65"/>
      <c r="I21" s="81">
        <f t="shared" si="4"/>
        <v>43862</v>
      </c>
      <c r="J21" s="82">
        <f>VLOOKUP(I21,Forecast!A$1:K$200,2)</f>
        <v>3045795</v>
      </c>
      <c r="K21" s="82">
        <f>VLOOKUP(I21,Forecast!A$1:K$200,3)</f>
        <v>13677</v>
      </c>
      <c r="L21" s="83">
        <f t="shared" si="1"/>
        <v>3059472</v>
      </c>
      <c r="N21" s="82">
        <f>VLOOKUP($I21,Forecast!$A$10:$J$124,2,FALSE)</f>
        <v>3045795</v>
      </c>
      <c r="O21" s="3">
        <f t="shared" si="2"/>
        <v>0</v>
      </c>
      <c r="P21" s="82">
        <f>VLOOKUP($I21,Forecast!$A$10:$J$124,3,FALSE)</f>
        <v>13677</v>
      </c>
      <c r="Q21" s="3">
        <f t="shared" si="3"/>
        <v>0</v>
      </c>
    </row>
    <row r="22" spans="1:17" x14ac:dyDescent="0.25">
      <c r="A22" s="540"/>
      <c r="E22" s="54"/>
      <c r="I22" s="81">
        <f t="shared" si="4"/>
        <v>43891</v>
      </c>
      <c r="J22" s="82">
        <f>VLOOKUP(I22,Forecast!A$1:K$200,2)</f>
        <v>2187411</v>
      </c>
      <c r="K22" s="82">
        <f>VLOOKUP(I22,Forecast!A$1:K$200,3)</f>
        <v>24361</v>
      </c>
      <c r="L22" s="83">
        <f t="shared" si="1"/>
        <v>2211772</v>
      </c>
      <c r="N22" s="82">
        <f>VLOOKUP($I22,Forecast!$A$10:$J$124,2,FALSE)</f>
        <v>2187411</v>
      </c>
      <c r="O22" s="3">
        <f t="shared" si="2"/>
        <v>0</v>
      </c>
      <c r="P22" s="82">
        <f>VLOOKUP($I22,Forecast!$A$10:$J$124,3,FALSE)</f>
        <v>24361</v>
      </c>
      <c r="Q22" s="3">
        <f t="shared" si="3"/>
        <v>0</v>
      </c>
    </row>
    <row r="23" spans="1:17" ht="18.75" x14ac:dyDescent="0.3">
      <c r="A23" s="588" t="s">
        <v>253</v>
      </c>
      <c r="B23" s="588"/>
      <c r="C23" s="588"/>
      <c r="D23" s="588"/>
      <c r="E23" s="588"/>
      <c r="F23" s="588"/>
      <c r="I23" s="81">
        <f t="shared" si="4"/>
        <v>43922</v>
      </c>
      <c r="J23" s="82">
        <f>VLOOKUP(I23,Forecast!A$1:K$200,2)</f>
        <v>1351272</v>
      </c>
      <c r="K23" s="82">
        <f>VLOOKUP(I23,Forecast!A$1:K$200,3)</f>
        <v>27305</v>
      </c>
      <c r="L23" s="83">
        <f t="shared" si="1"/>
        <v>1378577</v>
      </c>
      <c r="N23" s="82">
        <f>VLOOKUP($I23,Forecast!$A$10:$J$124,2,FALSE)</f>
        <v>1351272</v>
      </c>
      <c r="O23" s="3">
        <f t="shared" si="2"/>
        <v>0</v>
      </c>
      <c r="P23" s="82">
        <f>VLOOKUP($I23,Forecast!$A$10:$J$124,3,FALSE)</f>
        <v>27305</v>
      </c>
      <c r="Q23" s="3">
        <f t="shared" si="3"/>
        <v>0</v>
      </c>
    </row>
    <row r="24" spans="1:17" x14ac:dyDescent="0.25">
      <c r="E24" s="54"/>
      <c r="I24" s="81">
        <f t="shared" si="4"/>
        <v>43952</v>
      </c>
      <c r="J24" s="82">
        <f>VLOOKUP(I24,Forecast!A$1:K$200,2)</f>
        <v>1054362</v>
      </c>
      <c r="K24" s="82">
        <f>VLOOKUP(I24,Forecast!A$1:K$200,3)</f>
        <v>32305</v>
      </c>
      <c r="L24" s="83">
        <f t="shared" si="1"/>
        <v>1086667</v>
      </c>
      <c r="N24" s="82">
        <f>VLOOKUP($I24,Forecast!$A$10:$J$124,2,FALSE)</f>
        <v>1054362</v>
      </c>
      <c r="O24" s="3">
        <f t="shared" si="2"/>
        <v>0</v>
      </c>
      <c r="P24" s="82">
        <f>VLOOKUP($I24,Forecast!$A$10:$J$124,3,FALSE)</f>
        <v>32305</v>
      </c>
      <c r="Q24" s="3">
        <f t="shared" si="3"/>
        <v>0</v>
      </c>
    </row>
    <row r="25" spans="1:17" x14ac:dyDescent="0.25">
      <c r="A25" s="531">
        <v>6</v>
      </c>
      <c r="B25" s="3" t="s">
        <v>566</v>
      </c>
      <c r="E25" s="13"/>
      <c r="F25" s="94">
        <f>F17</f>
        <v>27884437</v>
      </c>
      <c r="I25" s="81">
        <f t="shared" si="4"/>
        <v>43983</v>
      </c>
      <c r="J25" s="82">
        <f>VLOOKUP(I25,Forecast!A$1:K$200,2)</f>
        <v>2260036</v>
      </c>
      <c r="K25" s="82">
        <f>VLOOKUP(I25,Forecast!A$1:K$200,3)</f>
        <v>40699</v>
      </c>
      <c r="L25" s="83">
        <f t="shared" si="1"/>
        <v>2300735</v>
      </c>
      <c r="N25" s="82">
        <f>VLOOKUP($I25,Forecast!$A$10:$J$124,2,FALSE)</f>
        <v>2260036</v>
      </c>
      <c r="O25" s="3">
        <f t="shared" si="2"/>
        <v>0</v>
      </c>
      <c r="P25" s="82">
        <f>VLOOKUP($I25,Forecast!$A$10:$J$124,3,FALSE)</f>
        <v>40699</v>
      </c>
      <c r="Q25" s="3">
        <f t="shared" si="3"/>
        <v>0</v>
      </c>
    </row>
    <row r="26" spans="1:17" x14ac:dyDescent="0.25">
      <c r="A26" s="531">
        <v>7</v>
      </c>
      <c r="B26" s="60" t="s">
        <v>428</v>
      </c>
      <c r="C26" s="29"/>
      <c r="D26" s="29"/>
      <c r="E26" s="60"/>
      <c r="F26" s="98">
        <f>L28</f>
        <v>34087525</v>
      </c>
      <c r="G26" s="3"/>
      <c r="I26" s="81">
        <f t="shared" si="4"/>
        <v>44013</v>
      </c>
      <c r="J26" s="82">
        <f>VLOOKUP(I26,Forecast!A$1:K$200,2)</f>
        <v>3643728</v>
      </c>
      <c r="K26" s="82">
        <f>VLOOKUP(I26,Forecast!A$1:K$200,3)</f>
        <v>42231</v>
      </c>
      <c r="L26" s="83">
        <f t="shared" si="1"/>
        <v>3685959</v>
      </c>
      <c r="N26" s="82">
        <f>VLOOKUP($I26,Forecast!$A$10:$J$124,2,FALSE)</f>
        <v>3643728</v>
      </c>
      <c r="O26" s="3">
        <f t="shared" si="2"/>
        <v>0</v>
      </c>
      <c r="P26" s="82">
        <f>VLOOKUP($I26,Forecast!$A$10:$J$124,3,FALSE)</f>
        <v>42231</v>
      </c>
      <c r="Q26" s="3">
        <f t="shared" si="3"/>
        <v>0</v>
      </c>
    </row>
    <row r="27" spans="1:17" ht="16.5" thickBot="1" x14ac:dyDescent="0.3">
      <c r="A27" s="531">
        <v>8</v>
      </c>
      <c r="B27" s="15"/>
      <c r="C27" s="15"/>
      <c r="D27" s="15"/>
      <c r="E27" s="62" t="s">
        <v>570</v>
      </c>
      <c r="F27" s="99">
        <f>ROUND(F25/F26,4)</f>
        <v>0.81799999999999995</v>
      </c>
      <c r="G27" s="3"/>
      <c r="I27" s="73"/>
      <c r="J27" s="30"/>
      <c r="K27" s="30"/>
      <c r="L27" s="52"/>
      <c r="P27" s="82"/>
    </row>
    <row r="28" spans="1:17" ht="16.5" thickBot="1" x14ac:dyDescent="0.3">
      <c r="I28" s="95" t="s">
        <v>618</v>
      </c>
      <c r="J28" s="96"/>
      <c r="K28" s="96"/>
      <c r="L28" s="97">
        <f>SUM(L15:L27)</f>
        <v>34087525</v>
      </c>
      <c r="P28" s="82">
        <f>SUM(N15:N26)+SUM(P15:P26)</f>
        <v>34087525</v>
      </c>
      <c r="Q28" s="3">
        <f>L28-P28</f>
        <v>0</v>
      </c>
    </row>
    <row r="29" spans="1:17" x14ac:dyDescent="0.25">
      <c r="I29" s="260"/>
    </row>
    <row r="30" spans="1:17" x14ac:dyDescent="0.25">
      <c r="I30" s="260"/>
    </row>
    <row r="31" spans="1:17" x14ac:dyDescent="0.25">
      <c r="I31" s="260"/>
    </row>
    <row r="32" spans="1:17" x14ac:dyDescent="0.25">
      <c r="I32" s="260"/>
    </row>
    <row r="33" spans="1:9" x14ac:dyDescent="0.25">
      <c r="I33" s="260"/>
    </row>
    <row r="34" spans="1:9" x14ac:dyDescent="0.25">
      <c r="F34" s="13"/>
      <c r="I34" s="260"/>
    </row>
    <row r="35" spans="1:9" ht="18.75" customHeight="1" x14ac:dyDescent="0.3">
      <c r="A35" s="589" t="s">
        <v>59</v>
      </c>
      <c r="B35" s="589"/>
      <c r="C35" s="589"/>
      <c r="D35" s="589"/>
      <c r="E35" s="589"/>
      <c r="F35" s="589"/>
      <c r="G35" s="3"/>
      <c r="I35" s="260"/>
    </row>
    <row r="36" spans="1:9" ht="18.75" customHeight="1" x14ac:dyDescent="0.3">
      <c r="A36" s="588" t="s">
        <v>429</v>
      </c>
      <c r="B36" s="588"/>
      <c r="C36" s="588"/>
      <c r="D36" s="588"/>
      <c r="E36" s="588"/>
      <c r="F36" s="588"/>
      <c r="G36" s="64"/>
    </row>
    <row r="37" spans="1:9" x14ac:dyDescent="0.25">
      <c r="F37" s="13"/>
      <c r="G37" s="64"/>
    </row>
    <row r="38" spans="1:9" x14ac:dyDescent="0.25">
      <c r="A38" s="531">
        <v>9</v>
      </c>
      <c r="B38" s="13" t="s">
        <v>567</v>
      </c>
      <c r="F38" s="254">
        <f>(F27)</f>
        <v>0.81799999999999995</v>
      </c>
      <c r="G38" s="3"/>
    </row>
    <row r="39" spans="1:9" x14ac:dyDescent="0.25">
      <c r="A39" s="531">
        <v>10</v>
      </c>
      <c r="B39" s="13" t="s">
        <v>458</v>
      </c>
      <c r="F39" s="264">
        <f>'Ex D-1 1 of 2'!H17</f>
        <v>0</v>
      </c>
    </row>
    <row r="40" spans="1:9" x14ac:dyDescent="0.25">
      <c r="A40" s="531">
        <v>11</v>
      </c>
      <c r="B40" s="60" t="s">
        <v>459</v>
      </c>
      <c r="C40" s="29"/>
      <c r="D40" s="29"/>
      <c r="E40" s="29"/>
      <c r="F40" s="265">
        <f>ROUND('Ex E-1 1 of 2 '!D21,4)</f>
        <v>2.06E-2</v>
      </c>
    </row>
    <row r="41" spans="1:9" x14ac:dyDescent="0.25">
      <c r="A41" s="531">
        <v>12</v>
      </c>
      <c r="B41" s="53"/>
      <c r="C41" s="15"/>
      <c r="D41" s="15"/>
      <c r="E41" s="62" t="s">
        <v>261</v>
      </c>
      <c r="F41" s="255">
        <f>SUM(F38:F40)</f>
        <v>0.8385999999999999</v>
      </c>
    </row>
    <row r="47" spans="1:9" x14ac:dyDescent="0.25">
      <c r="I47" s="56"/>
    </row>
    <row r="48" spans="1:9" x14ac:dyDescent="0.25">
      <c r="I48" s="435"/>
    </row>
    <row r="49" spans="1:11" ht="18.75" x14ac:dyDescent="0.3">
      <c r="A49" s="589" t="s">
        <v>260</v>
      </c>
      <c r="B49" s="589"/>
      <c r="C49" s="589"/>
      <c r="D49" s="589"/>
      <c r="E49" s="589"/>
      <c r="F49" s="589"/>
      <c r="I49" s="435"/>
      <c r="J49" s="435"/>
    </row>
    <row r="50" spans="1:11" ht="18.75" x14ac:dyDescent="0.3">
      <c r="A50" s="588" t="s">
        <v>401</v>
      </c>
      <c r="B50" s="588"/>
      <c r="C50" s="588"/>
      <c r="D50" s="588"/>
      <c r="E50" s="588"/>
      <c r="F50" s="588"/>
      <c r="H50" s="193"/>
      <c r="I50" s="435"/>
      <c r="J50" s="462" t="s">
        <v>624</v>
      </c>
      <c r="K50" s="463"/>
    </row>
    <row r="51" spans="1:11" x14ac:dyDescent="0.25">
      <c r="F51" s="65"/>
      <c r="H51" s="193"/>
      <c r="I51" s="435"/>
      <c r="J51" s="338" t="s">
        <v>433</v>
      </c>
      <c r="K51" s="456">
        <v>306513</v>
      </c>
    </row>
    <row r="52" spans="1:11" x14ac:dyDescent="0.25">
      <c r="A52" s="531">
        <v>13</v>
      </c>
      <c r="B52" s="3" t="s">
        <v>566</v>
      </c>
      <c r="F52" s="65">
        <f>F17</f>
        <v>27884437</v>
      </c>
      <c r="I52" s="435"/>
      <c r="J52" s="338" t="s">
        <v>434</v>
      </c>
      <c r="K52" s="456">
        <v>148682</v>
      </c>
    </row>
    <row r="53" spans="1:11" x14ac:dyDescent="0.25">
      <c r="A53" s="48">
        <v>14</v>
      </c>
      <c r="B53" s="29" t="s">
        <v>258</v>
      </c>
      <c r="C53" s="29"/>
      <c r="D53" s="29"/>
      <c r="E53" s="29"/>
      <c r="F53" s="98">
        <f>K55</f>
        <v>474652</v>
      </c>
      <c r="I53" s="435"/>
      <c r="J53" s="338" t="s">
        <v>435</v>
      </c>
      <c r="K53" s="456">
        <v>18559</v>
      </c>
    </row>
    <row r="54" spans="1:11" ht="16.5" thickBot="1" x14ac:dyDescent="0.3">
      <c r="A54" s="531">
        <v>15</v>
      </c>
      <c r="D54" s="55"/>
      <c r="E54" s="62" t="s">
        <v>571</v>
      </c>
      <c r="F54" s="101">
        <f>ROUND(F52/F53/365,4)</f>
        <v>0.161</v>
      </c>
      <c r="I54" s="435"/>
      <c r="J54" s="338" t="s">
        <v>575</v>
      </c>
      <c r="K54" s="456">
        <v>898</v>
      </c>
    </row>
    <row r="55" spans="1:11" ht="16.5" thickTop="1" x14ac:dyDescent="0.25">
      <c r="G55" s="260"/>
      <c r="I55" s="435"/>
      <c r="J55" s="462" t="s">
        <v>30</v>
      </c>
      <c r="K55" s="463">
        <f>SUM(K51:K54)</f>
        <v>474652</v>
      </c>
    </row>
    <row r="56" spans="1:11" x14ac:dyDescent="0.25">
      <c r="G56" s="260"/>
    </row>
    <row r="57" spans="1:11" x14ac:dyDescent="0.25">
      <c r="G57" s="260"/>
    </row>
    <row r="58" spans="1:11" x14ac:dyDescent="0.25">
      <c r="F58" s="13"/>
      <c r="G58" s="260"/>
    </row>
    <row r="59" spans="1:11" x14ac:dyDescent="0.25">
      <c r="F59" s="13"/>
      <c r="G59" s="3"/>
    </row>
    <row r="60" spans="1:11" x14ac:dyDescent="0.25">
      <c r="F60" s="13"/>
      <c r="G60" s="3"/>
    </row>
    <row r="61" spans="1:11" x14ac:dyDescent="0.25">
      <c r="A61" s="531"/>
      <c r="F61" s="13"/>
      <c r="G61" s="3"/>
    </row>
    <row r="62" spans="1:11" x14ac:dyDescent="0.25">
      <c r="A62" s="531"/>
      <c r="B62" s="57"/>
      <c r="F62" s="13"/>
      <c r="G62" s="3"/>
    </row>
    <row r="63" spans="1:11" x14ac:dyDescent="0.25">
      <c r="A63" s="531"/>
      <c r="G63" s="55"/>
    </row>
    <row r="64" spans="1:11" x14ac:dyDescent="0.25">
      <c r="A64" s="531"/>
      <c r="G64" s="3"/>
    </row>
    <row r="65" spans="1:7" x14ac:dyDescent="0.25">
      <c r="A65" s="531"/>
      <c r="G65" s="3"/>
    </row>
    <row r="69" spans="1:7" hidden="1" x14ac:dyDescent="0.25">
      <c r="A69" s="531"/>
    </row>
    <row r="70" spans="1:7" hidden="1" x14ac:dyDescent="0.25">
      <c r="F70" s="58"/>
    </row>
    <row r="71" spans="1:7" x14ac:dyDescent="0.25">
      <c r="F71" s="58"/>
    </row>
    <row r="72" spans="1:7" x14ac:dyDescent="0.25">
      <c r="F72" s="58"/>
    </row>
    <row r="73" spans="1:7" x14ac:dyDescent="0.25">
      <c r="F73" s="58"/>
    </row>
    <row r="74" spans="1:7" x14ac:dyDescent="0.25">
      <c r="F74" s="58"/>
    </row>
    <row r="75" spans="1:7" x14ac:dyDescent="0.25">
      <c r="F75" s="59"/>
    </row>
    <row r="76" spans="1:7" x14ac:dyDescent="0.25">
      <c r="F76" s="30"/>
    </row>
  </sheetData>
  <mergeCells count="11">
    <mergeCell ref="I12:L12"/>
    <mergeCell ref="I11:L11"/>
    <mergeCell ref="A9:F9"/>
    <mergeCell ref="A1:F1"/>
    <mergeCell ref="A2:F2"/>
    <mergeCell ref="A3:F3"/>
    <mergeCell ref="A50:F50"/>
    <mergeCell ref="A23:F23"/>
    <mergeCell ref="A35:F35"/>
    <mergeCell ref="A36:F36"/>
    <mergeCell ref="A49:F49"/>
  </mergeCells>
  <phoneticPr fontId="2" type="noConversion"/>
  <conditionalFormatting sqref="I47">
    <cfRule type="cellIs" dxfId="1" priority="1" operator="notEqual">
      <formula>0</formula>
    </cfRule>
    <cfRule type="expression" dxfId="0" priority="2">
      <formula>0</formula>
    </cfRule>
  </conditionalFormatting>
  <pageMargins left="0.75" right="0.75" top="1" bottom="1" header="0.5" footer="0.5"/>
  <pageSetup scale="68" orientation="portrait" r:id="rId1"/>
  <headerFooter alignWithMargins="0">
    <oddHeader>&amp;R&amp;"Times New Roman,Bold"&amp;16Exhibit A
Page 2 of 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59999389629810485"/>
    <pageSetUpPr fitToPage="1"/>
  </sheetPr>
  <dimension ref="A1:Q110"/>
  <sheetViews>
    <sheetView zoomScale="80" zoomScaleNormal="80" workbookViewId="0">
      <selection sqref="A1:F1"/>
    </sheetView>
  </sheetViews>
  <sheetFormatPr defaultColWidth="9.77734375" defaultRowHeight="15.75" x14ac:dyDescent="0.25"/>
  <cols>
    <col min="1" max="1" width="7.77734375" style="3" customWidth="1"/>
    <col min="2" max="2" width="15.5546875" style="3" customWidth="1"/>
    <col min="3" max="3" width="22.44140625" style="3" customWidth="1"/>
    <col min="4" max="4" width="18.21875" style="3" customWidth="1"/>
    <col min="5" max="5" width="17.33203125" style="3" customWidth="1"/>
    <col min="6" max="6" width="16.21875" style="3" customWidth="1"/>
    <col min="7" max="7" width="14.88671875" style="3" customWidth="1"/>
    <col min="8" max="8" width="14.109375" style="3" customWidth="1"/>
    <col min="9" max="9" width="13.44140625" style="1" hidden="1" customWidth="1"/>
    <col min="10" max="10" width="14.5546875" style="23" hidden="1" customWidth="1"/>
    <col min="11" max="11" width="14" style="3" hidden="1" customWidth="1"/>
    <col min="12" max="12" width="15.21875" style="3" hidden="1" customWidth="1"/>
    <col min="13" max="17" width="9.77734375" style="3" hidden="1" customWidth="1"/>
    <col min="18" max="20" width="9.77734375" style="3" customWidth="1"/>
    <col min="21" max="21" width="11.5546875" style="3" customWidth="1"/>
    <col min="22" max="22" width="4.77734375" style="3" customWidth="1"/>
    <col min="23" max="23" width="4.33203125" style="3" customWidth="1"/>
    <col min="24" max="24" width="12" style="3" customWidth="1"/>
    <col min="25" max="25" width="11.5546875" style="3" customWidth="1"/>
    <col min="26" max="26" width="5.88671875" style="3" customWidth="1"/>
    <col min="27" max="28" width="9.77734375" style="3"/>
    <col min="29" max="29" width="3.109375" style="3" bestFit="1" customWidth="1"/>
    <col min="30" max="16384" width="9.77734375" style="3"/>
  </cols>
  <sheetData>
    <row r="1" spans="1:17" ht="18.75" x14ac:dyDescent="0.3">
      <c r="A1" s="585" t="s">
        <v>5</v>
      </c>
      <c r="B1" s="585"/>
      <c r="C1" s="585"/>
      <c r="D1" s="585"/>
      <c r="E1" s="585"/>
      <c r="F1" s="585"/>
    </row>
    <row r="2" spans="1:17" ht="18.75" x14ac:dyDescent="0.3">
      <c r="A2" s="589" t="s">
        <v>299</v>
      </c>
      <c r="B2" s="589"/>
      <c r="C2" s="589"/>
      <c r="D2" s="589"/>
      <c r="E2" s="589"/>
      <c r="F2" s="589"/>
    </row>
    <row r="3" spans="1:17" ht="18.75" x14ac:dyDescent="0.3">
      <c r="A3" s="589" t="s">
        <v>348</v>
      </c>
      <c r="B3" s="589"/>
      <c r="C3" s="589"/>
      <c r="D3" s="589"/>
      <c r="E3" s="589"/>
      <c r="F3" s="589"/>
    </row>
    <row r="4" spans="1:17" ht="18.75" x14ac:dyDescent="0.3">
      <c r="A4" s="589" t="s">
        <v>300</v>
      </c>
      <c r="B4" s="589"/>
      <c r="C4" s="589"/>
      <c r="D4" s="589"/>
      <c r="E4" s="589"/>
      <c r="F4" s="589"/>
    </row>
    <row r="5" spans="1:17" ht="18.75" x14ac:dyDescent="0.3">
      <c r="A5" s="589" t="str">
        <f>CONCATENATE("For Service Rendered On and After ",'Input Data'!$D$4)</f>
        <v>For Service Rendered On and After August 1, 2019</v>
      </c>
      <c r="B5" s="589"/>
      <c r="C5" s="589"/>
      <c r="D5" s="589"/>
      <c r="E5" s="589"/>
      <c r="F5" s="589"/>
    </row>
    <row r="6" spans="1:17" x14ac:dyDescent="0.25">
      <c r="I6" s="266" t="s">
        <v>279</v>
      </c>
    </row>
    <row r="7" spans="1:17" ht="16.5" thickBot="1" x14ac:dyDescent="0.3">
      <c r="F7" s="302"/>
      <c r="G7" s="302"/>
      <c r="I7" s="266" t="s">
        <v>359</v>
      </c>
      <c r="J7" s="35"/>
      <c r="K7" s="35"/>
      <c r="L7" s="35"/>
    </row>
    <row r="8" spans="1:17" ht="26.25" thickBot="1" x14ac:dyDescent="0.4">
      <c r="B8" s="30"/>
      <c r="D8" s="302"/>
      <c r="E8" s="302"/>
      <c r="F8" s="302"/>
      <c r="G8" s="302"/>
      <c r="I8" s="598" t="s">
        <v>213</v>
      </c>
      <c r="J8" s="599"/>
      <c r="K8" s="599"/>
      <c r="L8" s="600"/>
    </row>
    <row r="9" spans="1:17" ht="16.5" thickBot="1" x14ac:dyDescent="0.3">
      <c r="B9" s="30"/>
      <c r="D9" s="302"/>
      <c r="E9" s="302"/>
      <c r="F9" s="302"/>
      <c r="G9" s="302"/>
      <c r="I9" s="590" t="s">
        <v>248</v>
      </c>
      <c r="J9" s="591"/>
      <c r="K9" s="591"/>
      <c r="L9" s="592"/>
      <c r="M9" s="39"/>
    </row>
    <row r="10" spans="1:17" ht="63" x14ac:dyDescent="0.25">
      <c r="A10" s="306" t="s">
        <v>250</v>
      </c>
      <c r="B10" s="307" t="s">
        <v>353</v>
      </c>
      <c r="C10" s="306" t="s">
        <v>0</v>
      </c>
      <c r="D10" s="143" t="s">
        <v>397</v>
      </c>
      <c r="E10" s="143" t="s">
        <v>398</v>
      </c>
      <c r="F10" s="143" t="s">
        <v>313</v>
      </c>
      <c r="G10" s="144"/>
      <c r="I10" s="76"/>
      <c r="J10" s="440" t="s">
        <v>212</v>
      </c>
      <c r="K10" s="441" t="s">
        <v>234</v>
      </c>
      <c r="L10" s="442" t="s">
        <v>235</v>
      </c>
      <c r="M10" s="39"/>
      <c r="N10" s="3" t="s">
        <v>539</v>
      </c>
    </row>
    <row r="11" spans="1:17" ht="15.75" customHeight="1" x14ac:dyDescent="0.25">
      <c r="A11" s="46" t="s">
        <v>60</v>
      </c>
      <c r="B11" s="46" t="s">
        <v>61</v>
      </c>
      <c r="C11" s="46" t="s">
        <v>62</v>
      </c>
      <c r="D11" s="46" t="s">
        <v>63</v>
      </c>
      <c r="E11" s="46" t="s">
        <v>64</v>
      </c>
      <c r="F11" s="46" t="s">
        <v>480</v>
      </c>
      <c r="G11" s="46"/>
      <c r="I11" s="443">
        <f>'Input Data'!C4</f>
        <v>43678</v>
      </c>
      <c r="J11" s="193">
        <f>VLOOKUP(I11,Forecast!A$1:K$200,9)</f>
        <v>654640</v>
      </c>
      <c r="K11" s="193">
        <f>VLOOKUP(I11,Forecast!A$1:K$200,10)</f>
        <v>26424</v>
      </c>
      <c r="L11" s="444">
        <f>SUM(J11:K11)</f>
        <v>681064</v>
      </c>
      <c r="M11" s="39"/>
      <c r="N11" s="82">
        <f>VLOOKUP($I11,Forecast!$A$10:$J$124,9,FALSE)</f>
        <v>654640</v>
      </c>
      <c r="O11" s="3">
        <f>J11-N11</f>
        <v>0</v>
      </c>
      <c r="P11" s="82">
        <f>VLOOKUP($I11,Forecast!$A$10:$J$124,10,FALSE)</f>
        <v>26424</v>
      </c>
      <c r="Q11" s="3">
        <f>K11-P11</f>
        <v>0</v>
      </c>
    </row>
    <row r="12" spans="1:17" ht="15.75" customHeight="1" x14ac:dyDescent="0.25">
      <c r="A12" s="526">
        <v>1</v>
      </c>
      <c r="B12" s="145">
        <f>'Input Data'!C7</f>
        <v>43497</v>
      </c>
      <c r="C12" s="302" t="str">
        <f>VLOOKUP(B12,'Case Database'!$A$5:$F$200,3,FALSE)</f>
        <v>2018-00403</v>
      </c>
      <c r="D12" s="85">
        <f>'Ex B-1 2 of 7'!J19</f>
        <v>12087379</v>
      </c>
      <c r="E12" s="85">
        <f>'Ex B-1 5 of 7'!I33</f>
        <v>18752178</v>
      </c>
      <c r="F12" s="85">
        <f>E12-D12</f>
        <v>6664799</v>
      </c>
      <c r="G12" s="85"/>
      <c r="H12" s="146"/>
      <c r="I12" s="81">
        <f>EOMONTH(I11,0)+1</f>
        <v>43709</v>
      </c>
      <c r="J12" s="193">
        <f>VLOOKUP(I12,Forecast!A$1:K$200,9)</f>
        <v>703381</v>
      </c>
      <c r="K12" s="193">
        <f>VLOOKUP(I12,Forecast!A$1:K$200,10)</f>
        <v>43243</v>
      </c>
      <c r="L12" s="444">
        <f t="shared" ref="L12:L22" si="0">SUM(J12:K12)</f>
        <v>746624</v>
      </c>
      <c r="M12" s="39"/>
      <c r="N12" s="82">
        <f>VLOOKUP($I12,Forecast!$A$10:$J$124,9,FALSE)</f>
        <v>703381</v>
      </c>
      <c r="O12" s="3">
        <f t="shared" ref="O12:O22" si="1">J12-N12</f>
        <v>0</v>
      </c>
      <c r="P12" s="82">
        <f>VLOOKUP($I12,Forecast!$A$10:$J$124,10,FALSE)</f>
        <v>43243</v>
      </c>
      <c r="Q12" s="3">
        <f t="shared" ref="Q12:Q22" si="2">K12-P12</f>
        <v>0</v>
      </c>
    </row>
    <row r="13" spans="1:17" ht="15.75" customHeight="1" x14ac:dyDescent="0.25">
      <c r="A13" s="526">
        <v>2</v>
      </c>
      <c r="B13" s="145">
        <f>EDATE(B12,1)</f>
        <v>43525</v>
      </c>
      <c r="C13" s="302" t="str">
        <f>C12</f>
        <v>2018-00403</v>
      </c>
      <c r="D13" s="85">
        <f>'Ex B-1 2 of 7'!J20</f>
        <v>19859380</v>
      </c>
      <c r="E13" s="85">
        <f>'Ex B-1 5 of 7'!I34</f>
        <v>18632075</v>
      </c>
      <c r="F13" s="85">
        <f t="shared" ref="F13:F15" si="3">E13-D13</f>
        <v>-1227305</v>
      </c>
      <c r="G13" s="148"/>
      <c r="H13" s="149"/>
      <c r="I13" s="81">
        <f t="shared" ref="I13:I22" si="4">EOMONTH(I12,0)+1</f>
        <v>43739</v>
      </c>
      <c r="J13" s="193">
        <f>VLOOKUP(I13,Forecast!A$1:K$200,9)</f>
        <v>1230186</v>
      </c>
      <c r="K13" s="193">
        <f>VLOOKUP(I13,Forecast!A$1:K$200,10)</f>
        <v>20722</v>
      </c>
      <c r="L13" s="444">
        <f t="shared" si="0"/>
        <v>1250908</v>
      </c>
      <c r="M13" s="39"/>
      <c r="N13" s="82">
        <f>VLOOKUP($I13,Forecast!$A$10:$J$124,9,FALSE)</f>
        <v>1230186</v>
      </c>
      <c r="O13" s="3">
        <f t="shared" si="1"/>
        <v>0</v>
      </c>
      <c r="P13" s="82">
        <f>VLOOKUP($I13,Forecast!$A$10:$J$124,10,FALSE)</f>
        <v>20722</v>
      </c>
      <c r="Q13" s="3">
        <f t="shared" si="2"/>
        <v>0</v>
      </c>
    </row>
    <row r="14" spans="1:17" ht="15.75" customHeight="1" x14ac:dyDescent="0.25">
      <c r="A14" s="302">
        <v>3</v>
      </c>
      <c r="B14" s="145">
        <f>EDATE(B13,1)</f>
        <v>43556</v>
      </c>
      <c r="C14" s="147" t="str">
        <f>C13</f>
        <v>2018-00403</v>
      </c>
      <c r="D14" s="85">
        <f>'Ex B-1 2 of 7'!J21</f>
        <v>11309301</v>
      </c>
      <c r="E14" s="148">
        <f>'Ex B-1 5 of 7'!I35</f>
        <v>7101774</v>
      </c>
      <c r="F14" s="85">
        <f t="shared" si="3"/>
        <v>-4207527</v>
      </c>
      <c r="G14" s="148"/>
      <c r="H14" s="149"/>
      <c r="I14" s="81">
        <f t="shared" si="4"/>
        <v>43770</v>
      </c>
      <c r="J14" s="193">
        <f>VLOOKUP(I14,Forecast!A$1:K$200,9)</f>
        <v>2812765</v>
      </c>
      <c r="K14" s="193">
        <f>VLOOKUP(I14,Forecast!A$1:K$200,10)</f>
        <v>30607</v>
      </c>
      <c r="L14" s="444">
        <f t="shared" si="0"/>
        <v>2843372</v>
      </c>
      <c r="M14" s="39"/>
      <c r="N14" s="82">
        <f>VLOOKUP($I14,Forecast!$A$10:$J$124,9,FALSE)</f>
        <v>2812765</v>
      </c>
      <c r="O14" s="3">
        <f t="shared" si="1"/>
        <v>0</v>
      </c>
      <c r="P14" s="82">
        <f>VLOOKUP($I14,Forecast!$A$10:$J$124,10,FALSE)</f>
        <v>30607</v>
      </c>
      <c r="Q14" s="3">
        <f t="shared" si="2"/>
        <v>0</v>
      </c>
    </row>
    <row r="15" spans="1:17" ht="15.75" customHeight="1" x14ac:dyDescent="0.25">
      <c r="A15" s="302">
        <v>4</v>
      </c>
      <c r="B15" s="145">
        <f>EDATE(B14,1)</f>
        <v>43586</v>
      </c>
      <c r="C15" s="147" t="s">
        <v>271</v>
      </c>
      <c r="D15" s="150">
        <f>'Ex B-1 2 of 7'!J22</f>
        <v>2899884</v>
      </c>
      <c r="E15" s="150">
        <f>'Ex B-1 5 of 7'!I36</f>
        <v>0</v>
      </c>
      <c r="F15" s="150">
        <f t="shared" si="3"/>
        <v>-2899884</v>
      </c>
      <c r="G15" s="85"/>
      <c r="H15" s="149"/>
      <c r="I15" s="81">
        <f t="shared" si="4"/>
        <v>43800</v>
      </c>
      <c r="J15" s="193">
        <f>VLOOKUP(I15,Forecast!A$1:K$200,9)</f>
        <v>5088368</v>
      </c>
      <c r="K15" s="193">
        <f>VLOOKUP(I15,Forecast!A$1:K$200,10)</f>
        <v>42544</v>
      </c>
      <c r="L15" s="444">
        <f t="shared" si="0"/>
        <v>5130912</v>
      </c>
      <c r="M15" s="39"/>
      <c r="N15" s="82">
        <f>VLOOKUP($I15,Forecast!$A$10:$J$124,9,FALSE)</f>
        <v>5088368</v>
      </c>
      <c r="O15" s="3">
        <f t="shared" si="1"/>
        <v>0</v>
      </c>
      <c r="P15" s="82">
        <f>VLOOKUP($I15,Forecast!$A$10:$J$124,10,FALSE)</f>
        <v>42544</v>
      </c>
      <c r="Q15" s="3">
        <f t="shared" si="2"/>
        <v>0</v>
      </c>
    </row>
    <row r="16" spans="1:17" ht="15.75" customHeight="1" x14ac:dyDescent="0.25">
      <c r="A16" s="374">
        <v>5</v>
      </c>
      <c r="B16" s="151"/>
      <c r="C16" s="147"/>
      <c r="D16" s="85">
        <f>(SUM(D12:D15))</f>
        <v>46155944</v>
      </c>
      <c r="E16" s="85">
        <f>(SUM(E12:E15))</f>
        <v>44486027</v>
      </c>
      <c r="F16" s="85">
        <f>(SUM(F12:F15))</f>
        <v>-1669917</v>
      </c>
      <c r="G16" s="153"/>
      <c r="H16" s="149"/>
      <c r="I16" s="81">
        <f t="shared" si="4"/>
        <v>43831</v>
      </c>
      <c r="J16" s="193">
        <f>VLOOKUP(I16,Forecast!A$1:K$200,9)</f>
        <v>6426676</v>
      </c>
      <c r="K16" s="193">
        <f>VLOOKUP(I16,Forecast!A$1:K$200,10)</f>
        <v>34500</v>
      </c>
      <c r="L16" s="444">
        <f t="shared" si="0"/>
        <v>6461176</v>
      </c>
      <c r="M16" s="39"/>
      <c r="N16" s="82">
        <f>VLOOKUP($I16,Forecast!$A$10:$J$124,9,FALSE)</f>
        <v>6426676</v>
      </c>
      <c r="O16" s="3">
        <f t="shared" si="1"/>
        <v>0</v>
      </c>
      <c r="P16" s="82">
        <f>VLOOKUP($I16,Forecast!$A$10:$J$124,10,FALSE)</f>
        <v>34500</v>
      </c>
      <c r="Q16" s="3">
        <f t="shared" si="2"/>
        <v>0</v>
      </c>
    </row>
    <row r="17" spans="1:17" ht="15.75" customHeight="1" x14ac:dyDescent="0.25">
      <c r="B17" s="152"/>
      <c r="C17" s="152"/>
      <c r="D17" s="146"/>
      <c r="E17" s="146"/>
      <c r="F17" s="153"/>
      <c r="G17" s="153"/>
      <c r="I17" s="81">
        <f t="shared" si="4"/>
        <v>43862</v>
      </c>
      <c r="J17" s="193">
        <f>VLOOKUP(I17,Forecast!A$1:K$200,9)</f>
        <v>5609047</v>
      </c>
      <c r="K17" s="193">
        <f>VLOOKUP(I17,Forecast!A$1:K$200,10)</f>
        <v>36668</v>
      </c>
      <c r="L17" s="444">
        <f t="shared" si="0"/>
        <v>5645715</v>
      </c>
      <c r="M17" s="39"/>
      <c r="N17" s="82">
        <f>VLOOKUP($I17,Forecast!$A$10:$J$124,9,FALSE)</f>
        <v>5609047</v>
      </c>
      <c r="O17" s="3">
        <f t="shared" si="1"/>
        <v>0</v>
      </c>
      <c r="P17" s="82">
        <f>VLOOKUP($I17,Forecast!$A$10:$J$124,10,FALSE)</f>
        <v>36668</v>
      </c>
      <c r="Q17" s="3">
        <f t="shared" si="2"/>
        <v>0</v>
      </c>
    </row>
    <row r="18" spans="1:17" ht="15.75" customHeight="1" x14ac:dyDescent="0.25">
      <c r="A18" s="302">
        <v>6</v>
      </c>
      <c r="B18" s="152"/>
      <c r="C18" s="54" t="s">
        <v>313</v>
      </c>
      <c r="D18" s="85">
        <f>F16</f>
        <v>-1669917</v>
      </c>
      <c r="E18" s="146"/>
      <c r="F18" s="153"/>
      <c r="G18" s="153"/>
      <c r="I18" s="81">
        <f t="shared" si="4"/>
        <v>43891</v>
      </c>
      <c r="J18" s="193">
        <f>VLOOKUP(I18,Forecast!A$1:K$200,9)</f>
        <v>3874874</v>
      </c>
      <c r="K18" s="193">
        <f>VLOOKUP(I18,Forecast!A$1:K$200,10)</f>
        <v>34438</v>
      </c>
      <c r="L18" s="444">
        <f t="shared" si="0"/>
        <v>3909312</v>
      </c>
      <c r="M18" s="39"/>
      <c r="N18" s="82">
        <f>VLOOKUP($I18,Forecast!$A$10:$J$124,9,FALSE)</f>
        <v>3874874</v>
      </c>
      <c r="O18" s="3">
        <f t="shared" si="1"/>
        <v>0</v>
      </c>
      <c r="P18" s="82">
        <f>VLOOKUP($I18,Forecast!$A$10:$J$124,10,FALSE)</f>
        <v>34438</v>
      </c>
      <c r="Q18" s="3">
        <f t="shared" si="2"/>
        <v>0</v>
      </c>
    </row>
    <row r="19" spans="1:17" ht="15.75" customHeight="1" x14ac:dyDescent="0.25">
      <c r="A19" s="302"/>
      <c r="B19"/>
      <c r="C19" s="54"/>
      <c r="D19"/>
      <c r="E19"/>
      <c r="F19" s="153"/>
      <c r="G19" s="153"/>
      <c r="I19" s="81">
        <f t="shared" si="4"/>
        <v>43922</v>
      </c>
      <c r="J19" s="193">
        <f>VLOOKUP(I19,Forecast!A$1:K$200,9)</f>
        <v>1958621</v>
      </c>
      <c r="K19" s="193">
        <f>VLOOKUP(I19,Forecast!A$1:K$200,10)</f>
        <v>35072</v>
      </c>
      <c r="L19" s="444">
        <f t="shared" si="0"/>
        <v>1993693</v>
      </c>
      <c r="M19" s="39"/>
      <c r="N19" s="82">
        <f>VLOOKUP($I19,Forecast!$A$10:$J$124,9,FALSE)</f>
        <v>1958621</v>
      </c>
      <c r="O19" s="3">
        <f t="shared" si="1"/>
        <v>0</v>
      </c>
      <c r="P19" s="82">
        <f>VLOOKUP($I19,Forecast!$A$10:$J$124,10,FALSE)</f>
        <v>35072</v>
      </c>
      <c r="Q19" s="3">
        <f t="shared" si="2"/>
        <v>0</v>
      </c>
    </row>
    <row r="20" spans="1:17" ht="15.75" customHeight="1" x14ac:dyDescent="0.25">
      <c r="F20" s="153"/>
      <c r="G20" s="153"/>
      <c r="I20" s="81">
        <f t="shared" si="4"/>
        <v>43952</v>
      </c>
      <c r="J20" s="193">
        <f>VLOOKUP(I20,Forecast!A$1:K$200,9)</f>
        <v>1101869</v>
      </c>
      <c r="K20" s="193">
        <f>VLOOKUP(I20,Forecast!A$1:K$200,10)</f>
        <v>36522</v>
      </c>
      <c r="L20" s="444">
        <f t="shared" si="0"/>
        <v>1138391</v>
      </c>
      <c r="M20" s="39"/>
      <c r="N20" s="82">
        <f>VLOOKUP($I20,Forecast!$A$10:$J$124,9,FALSE)</f>
        <v>1101869</v>
      </c>
      <c r="O20" s="3">
        <f t="shared" si="1"/>
        <v>0</v>
      </c>
      <c r="P20" s="82">
        <f>VLOOKUP($I20,Forecast!$A$10:$J$124,10,FALSE)</f>
        <v>36522</v>
      </c>
      <c r="Q20" s="3">
        <f t="shared" si="2"/>
        <v>0</v>
      </c>
    </row>
    <row r="21" spans="1:17" ht="15.75" customHeight="1" x14ac:dyDescent="0.25">
      <c r="A21" s="302">
        <v>7</v>
      </c>
      <c r="B21" s="152"/>
      <c r="C21" s="54" t="s">
        <v>322</v>
      </c>
      <c r="E21" s="154"/>
      <c r="F21" s="277"/>
      <c r="G21" s="153"/>
      <c r="I21" s="81">
        <f t="shared" si="4"/>
        <v>43983</v>
      </c>
      <c r="J21" s="193">
        <f>VLOOKUP(I21,Forecast!A$1:K$200,9)</f>
        <v>738768</v>
      </c>
      <c r="K21" s="193">
        <f>VLOOKUP(I21,Forecast!A$1:K$200,10)</f>
        <v>34438</v>
      </c>
      <c r="L21" s="444">
        <f t="shared" si="0"/>
        <v>773206</v>
      </c>
      <c r="M21" s="39"/>
      <c r="N21" s="82">
        <f>VLOOKUP($I21,Forecast!$A$10:$J$124,9,FALSE)</f>
        <v>738768</v>
      </c>
      <c r="O21" s="3">
        <f t="shared" si="1"/>
        <v>0</v>
      </c>
      <c r="P21" s="82">
        <f>VLOOKUP($I21,Forecast!$A$10:$J$124,10,FALSE)</f>
        <v>34438</v>
      </c>
      <c r="Q21" s="3">
        <f t="shared" si="2"/>
        <v>0</v>
      </c>
    </row>
    <row r="22" spans="1:17" ht="15.75" customHeight="1" x14ac:dyDescent="0.25">
      <c r="A22" s="302">
        <v>8</v>
      </c>
      <c r="B22" s="152"/>
      <c r="C22" s="54" t="s">
        <v>323</v>
      </c>
      <c r="D22" s="55">
        <f>L25</f>
        <v>31271143</v>
      </c>
      <c r="E22" s="154"/>
      <c r="F22" s="153"/>
      <c r="G22" s="153"/>
      <c r="I22" s="81">
        <f t="shared" si="4"/>
        <v>44013</v>
      </c>
      <c r="J22" s="193">
        <f>VLOOKUP(I22,Forecast!A$1:K$200,9)</f>
        <v>662332</v>
      </c>
      <c r="K22" s="193">
        <f>VLOOKUP(I22,Forecast!A$1:K$200,10)</f>
        <v>34438</v>
      </c>
      <c r="L22" s="444">
        <f t="shared" si="0"/>
        <v>696770</v>
      </c>
      <c r="M22" s="39"/>
      <c r="N22" s="528">
        <f>VLOOKUP($I22,Forecast!$A$10:$J$124,9,FALSE)</f>
        <v>662332</v>
      </c>
      <c r="O22" s="480">
        <f t="shared" si="1"/>
        <v>0</v>
      </c>
      <c r="P22" s="528">
        <f>VLOOKUP($I22,Forecast!$A$10:$J$124,10,FALSE)</f>
        <v>34438</v>
      </c>
      <c r="Q22" s="480">
        <f t="shared" si="2"/>
        <v>0</v>
      </c>
    </row>
    <row r="23" spans="1:17" ht="15.75" customHeight="1" x14ac:dyDescent="0.25">
      <c r="A23" s="302"/>
      <c r="E23" s="146"/>
      <c r="F23" s="153"/>
      <c r="G23" s="279"/>
      <c r="I23" s="445"/>
      <c r="J23" s="446"/>
      <c r="K23" s="446"/>
      <c r="L23" s="447"/>
      <c r="M23" s="39"/>
      <c r="N23" s="193">
        <f>SUM(N11:N22)</f>
        <v>30861527</v>
      </c>
      <c r="P23" s="193">
        <f>SUM(P11:P22)</f>
        <v>409616</v>
      </c>
    </row>
    <row r="24" spans="1:17" ht="16.5" thickBot="1" x14ac:dyDescent="0.3">
      <c r="A24" s="302">
        <v>9</v>
      </c>
      <c r="B24" s="152"/>
      <c r="C24" s="54" t="s">
        <v>321</v>
      </c>
      <c r="D24" s="100">
        <f>ROUND((D18)/D22,4)</f>
        <v>-5.3400000000000003E-2</v>
      </c>
      <c r="E24" s="146"/>
      <c r="F24" s="153"/>
      <c r="G24" s="1"/>
      <c r="I24" s="445"/>
      <c r="J24" s="446"/>
      <c r="K24" s="446"/>
      <c r="L24" s="447"/>
      <c r="M24" s="39"/>
      <c r="N24" s="38"/>
      <c r="P24" s="38"/>
      <c r="Q24" s="38"/>
    </row>
    <row r="25" spans="1:17" ht="15.75" customHeight="1" thickBot="1" x14ac:dyDescent="0.3">
      <c r="A25" s="302">
        <v>10</v>
      </c>
      <c r="B25" s="152"/>
      <c r="C25" s="54" t="s">
        <v>324</v>
      </c>
      <c r="D25" s="155">
        <f>ROUND(D24/10,5)</f>
        <v>-5.3400000000000001E-3</v>
      </c>
      <c r="E25" s="1"/>
      <c r="F25" s="1"/>
      <c r="G25" s="1"/>
      <c r="H25" s="1"/>
      <c r="I25" s="448"/>
      <c r="J25" s="449"/>
      <c r="K25" s="450"/>
      <c r="L25" s="451">
        <f>SUM(L11:L23)</f>
        <v>31271143</v>
      </c>
      <c r="M25" s="31"/>
      <c r="N25" s="193">
        <f>N23+P23</f>
        <v>31271143</v>
      </c>
      <c r="O25" s="3">
        <f>L25-N25</f>
        <v>0</v>
      </c>
      <c r="P25" s="38"/>
    </row>
    <row r="26" spans="1:17" ht="15.75" customHeight="1" x14ac:dyDescent="0.25">
      <c r="A26" s="470"/>
      <c r="B26" s="1"/>
      <c r="C26" s="54"/>
      <c r="D26" s="522"/>
      <c r="E26" s="1"/>
      <c r="F26" s="1"/>
      <c r="G26" s="1"/>
      <c r="H26" s="1"/>
      <c r="M26" s="31"/>
    </row>
    <row r="27" spans="1:17" ht="15.75" customHeight="1" x14ac:dyDescent="0.25">
      <c r="D27" s="1"/>
      <c r="E27" s="1"/>
      <c r="F27" s="1"/>
    </row>
    <row r="28" spans="1:17" x14ac:dyDescent="0.25">
      <c r="D28" s="1"/>
    </row>
    <row r="29" spans="1:17" ht="18.75" x14ac:dyDescent="0.25">
      <c r="B29" s="156" t="s">
        <v>399</v>
      </c>
      <c r="C29" s="1"/>
    </row>
    <row r="30" spans="1:17" ht="18.75" x14ac:dyDescent="0.25">
      <c r="B30" s="156" t="s">
        <v>450</v>
      </c>
      <c r="C30" s="1"/>
    </row>
    <row r="31" spans="1:17" ht="18.75" x14ac:dyDescent="0.25">
      <c r="B31" s="3" t="s">
        <v>461</v>
      </c>
    </row>
    <row r="45" ht="15.75" customHeight="1" x14ac:dyDescent="0.25"/>
    <row r="58" spans="9:10" x14ac:dyDescent="0.25">
      <c r="I58" s="3"/>
      <c r="J58" s="3"/>
    </row>
    <row r="59" spans="9:10" x14ac:dyDescent="0.25">
      <c r="I59" s="3"/>
      <c r="J59" s="3"/>
    </row>
    <row r="60" spans="9:10" x14ac:dyDescent="0.25">
      <c r="I60" s="3"/>
      <c r="J60" s="3"/>
    </row>
    <row r="61" spans="9:10" x14ac:dyDescent="0.25">
      <c r="I61" s="3"/>
      <c r="J61" s="3"/>
    </row>
    <row r="62" spans="9:10" x14ac:dyDescent="0.25">
      <c r="I62" s="3"/>
      <c r="J62" s="3"/>
    </row>
    <row r="63" spans="9:10" x14ac:dyDescent="0.25">
      <c r="I63" s="3"/>
      <c r="J63" s="3"/>
    </row>
    <row r="64" spans="9:10" x14ac:dyDescent="0.25">
      <c r="I64" s="3"/>
      <c r="J64" s="3"/>
    </row>
    <row r="65" spans="9:10" x14ac:dyDescent="0.25">
      <c r="I65" s="3"/>
      <c r="J65" s="3"/>
    </row>
    <row r="66" spans="9:10" x14ac:dyDescent="0.25">
      <c r="I66" s="3"/>
      <c r="J66" s="3"/>
    </row>
    <row r="67" spans="9:10" x14ac:dyDescent="0.25">
      <c r="I67" s="3"/>
      <c r="J67" s="3"/>
    </row>
    <row r="68" spans="9:10" x14ac:dyDescent="0.25">
      <c r="I68" s="3"/>
      <c r="J68" s="3"/>
    </row>
    <row r="69" spans="9:10" x14ac:dyDescent="0.25">
      <c r="I69" s="3"/>
      <c r="J69" s="3"/>
    </row>
    <row r="70" spans="9:10" x14ac:dyDescent="0.25">
      <c r="I70" s="3"/>
      <c r="J70" s="3"/>
    </row>
    <row r="71" spans="9:10" x14ac:dyDescent="0.25">
      <c r="I71" s="3"/>
      <c r="J71" s="3"/>
    </row>
    <row r="72" spans="9:10" x14ac:dyDescent="0.25">
      <c r="I72" s="3"/>
      <c r="J72" s="3"/>
    </row>
    <row r="73" spans="9:10" x14ac:dyDescent="0.25">
      <c r="I73" s="3"/>
      <c r="J73" s="3"/>
    </row>
    <row r="74" spans="9:10" x14ac:dyDescent="0.25">
      <c r="I74" s="3"/>
      <c r="J74" s="3"/>
    </row>
    <row r="75" spans="9:10" x14ac:dyDescent="0.25">
      <c r="I75" s="3"/>
      <c r="J75" s="3"/>
    </row>
    <row r="76" spans="9:10" x14ac:dyDescent="0.25">
      <c r="I76" s="3"/>
      <c r="J76" s="3"/>
    </row>
    <row r="77" spans="9:10" x14ac:dyDescent="0.25">
      <c r="I77" s="3"/>
      <c r="J77" s="3"/>
    </row>
    <row r="78" spans="9:10" x14ac:dyDescent="0.25">
      <c r="I78" s="3"/>
      <c r="J78" s="3"/>
    </row>
    <row r="79" spans="9:10" x14ac:dyDescent="0.25">
      <c r="I79" s="3"/>
      <c r="J79" s="3"/>
    </row>
    <row r="80" spans="9:10" x14ac:dyDescent="0.25">
      <c r="I80" s="3"/>
      <c r="J80" s="3"/>
    </row>
    <row r="81" spans="9:10" x14ac:dyDescent="0.25">
      <c r="I81" s="3"/>
      <c r="J81" s="3"/>
    </row>
    <row r="82" spans="9:10" x14ac:dyDescent="0.25">
      <c r="I82" s="3"/>
      <c r="J82" s="3"/>
    </row>
    <row r="83" spans="9:10" x14ac:dyDescent="0.25">
      <c r="I83" s="3"/>
      <c r="J83" s="3"/>
    </row>
    <row r="84" spans="9:10" x14ac:dyDescent="0.25">
      <c r="I84" s="3"/>
      <c r="J84" s="3"/>
    </row>
    <row r="85" spans="9:10" x14ac:dyDescent="0.25">
      <c r="I85" s="3"/>
      <c r="J85" s="3"/>
    </row>
    <row r="86" spans="9:10" x14ac:dyDescent="0.25">
      <c r="I86" s="3"/>
      <c r="J86" s="3"/>
    </row>
    <row r="87" spans="9:10" x14ac:dyDescent="0.25">
      <c r="I87" s="3"/>
      <c r="J87" s="3"/>
    </row>
    <row r="88" spans="9:10" x14ac:dyDescent="0.25">
      <c r="I88" s="3"/>
      <c r="J88" s="3"/>
    </row>
    <row r="89" spans="9:10" x14ac:dyDescent="0.25">
      <c r="I89" s="3"/>
      <c r="J89" s="3"/>
    </row>
    <row r="90" spans="9:10" x14ac:dyDescent="0.25">
      <c r="I90" s="3"/>
      <c r="J90" s="3"/>
    </row>
    <row r="91" spans="9:10" x14ac:dyDescent="0.25">
      <c r="I91" s="3"/>
      <c r="J91" s="3"/>
    </row>
    <row r="92" spans="9:10" x14ac:dyDescent="0.25">
      <c r="I92" s="3"/>
      <c r="J92" s="3"/>
    </row>
    <row r="93" spans="9:10" x14ac:dyDescent="0.25">
      <c r="I93" s="3"/>
      <c r="J93" s="3"/>
    </row>
    <row r="94" spans="9:10" x14ac:dyDescent="0.25">
      <c r="I94" s="3"/>
      <c r="J94" s="3"/>
    </row>
    <row r="95" spans="9:10" x14ac:dyDescent="0.25">
      <c r="I95" s="3"/>
      <c r="J95" s="3"/>
    </row>
    <row r="96" spans="9:10" x14ac:dyDescent="0.25">
      <c r="I96" s="3"/>
      <c r="J96" s="3"/>
    </row>
    <row r="97" spans="9:10" x14ac:dyDescent="0.25">
      <c r="I97" s="3"/>
      <c r="J97" s="3"/>
    </row>
    <row r="98" spans="9:10" x14ac:dyDescent="0.25">
      <c r="I98" s="3"/>
      <c r="J98" s="3"/>
    </row>
    <row r="99" spans="9:10" x14ac:dyDescent="0.25">
      <c r="I99" s="3"/>
      <c r="J99" s="3"/>
    </row>
    <row r="100" spans="9:10" x14ac:dyDescent="0.25">
      <c r="I100" s="3"/>
      <c r="J100" s="3"/>
    </row>
    <row r="101" spans="9:10" x14ac:dyDescent="0.25">
      <c r="I101" s="3"/>
      <c r="J101" s="3"/>
    </row>
    <row r="102" spans="9:10" x14ac:dyDescent="0.25">
      <c r="I102" s="3"/>
      <c r="J102" s="3"/>
    </row>
    <row r="103" spans="9:10" x14ac:dyDescent="0.25">
      <c r="I103" s="3"/>
      <c r="J103" s="3"/>
    </row>
    <row r="104" spans="9:10" x14ac:dyDescent="0.25">
      <c r="I104" s="3"/>
      <c r="J104" s="3"/>
    </row>
    <row r="105" spans="9:10" x14ac:dyDescent="0.25">
      <c r="I105" s="3"/>
      <c r="J105" s="3"/>
    </row>
    <row r="106" spans="9:10" x14ac:dyDescent="0.25">
      <c r="I106" s="3"/>
      <c r="J106" s="3"/>
    </row>
    <row r="107" spans="9:10" x14ac:dyDescent="0.25">
      <c r="I107" s="3"/>
      <c r="J107" s="3"/>
    </row>
    <row r="108" spans="9:10" x14ac:dyDescent="0.25">
      <c r="I108" s="3"/>
      <c r="J108" s="3"/>
    </row>
    <row r="109" spans="9:10" x14ac:dyDescent="0.25">
      <c r="I109" s="3"/>
      <c r="J109" s="3"/>
    </row>
    <row r="110" spans="9:10" x14ac:dyDescent="0.25">
      <c r="I110" s="3"/>
      <c r="J110" s="3"/>
    </row>
  </sheetData>
  <mergeCells count="7">
    <mergeCell ref="I9:L9"/>
    <mergeCell ref="I8:L8"/>
    <mergeCell ref="A1:F1"/>
    <mergeCell ref="A2:F2"/>
    <mergeCell ref="A3:F3"/>
    <mergeCell ref="A4:F4"/>
    <mergeCell ref="A5:F5"/>
  </mergeCells>
  <phoneticPr fontId="2" type="noConversion"/>
  <printOptions horizontalCentered="1"/>
  <pageMargins left="0.62" right="0.72" top="1.02" bottom="1" header="0.5" footer="0.5"/>
  <pageSetup scale="68" orientation="portrait" blackAndWhite="1" r:id="rId1"/>
  <headerFooter alignWithMargins="0">
    <oddHeader>&amp;R&amp;"Times New Roman,Bold"Exhibit B-1
Page 1 of 7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59999389629810485"/>
    <pageSetUpPr fitToPage="1"/>
  </sheetPr>
  <dimension ref="A1:U53"/>
  <sheetViews>
    <sheetView zoomScale="80" zoomScaleNormal="80" workbookViewId="0">
      <selection sqref="A1:N1"/>
    </sheetView>
  </sheetViews>
  <sheetFormatPr defaultColWidth="9.21875" defaultRowHeight="15" x14ac:dyDescent="0.25"/>
  <cols>
    <col min="1" max="1" width="7" style="2" customWidth="1"/>
    <col min="2" max="2" width="14.88671875" style="2" customWidth="1"/>
    <col min="3" max="3" width="3.21875" style="2" customWidth="1"/>
    <col min="4" max="4" width="13.33203125" style="2" customWidth="1"/>
    <col min="5" max="5" width="3" style="2" customWidth="1"/>
    <col min="6" max="6" width="13" style="2" customWidth="1"/>
    <col min="7" max="7" width="2.21875" style="2" customWidth="1"/>
    <col min="8" max="8" width="10.6640625" style="2" customWidth="1"/>
    <col min="9" max="9" width="2.33203125" style="2" customWidth="1"/>
    <col min="10" max="10" width="14.88671875" style="2" customWidth="1"/>
    <col min="11" max="11" width="2.44140625" style="2" customWidth="1"/>
    <col min="12" max="12" width="12.33203125" style="2" customWidth="1"/>
    <col min="13" max="13" width="11.88671875" style="2" customWidth="1"/>
    <col min="14" max="14" width="16.109375" style="2" customWidth="1"/>
    <col min="15" max="15" width="13.6640625" style="2" customWidth="1"/>
    <col min="16" max="16" width="11.33203125" style="2" customWidth="1"/>
    <col min="17" max="17" width="15.77734375" style="2" customWidth="1"/>
    <col min="18" max="19" width="13.21875" style="2" customWidth="1"/>
    <col min="20" max="20" width="8.77734375" style="2" customWidth="1"/>
    <col min="21" max="21" width="18" style="2" customWidth="1"/>
    <col min="22" max="16384" width="9.21875" style="2"/>
  </cols>
  <sheetData>
    <row r="1" spans="1:21" ht="18.75" x14ac:dyDescent="0.3">
      <c r="A1" s="585" t="s">
        <v>5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178"/>
      <c r="P1" s="178"/>
      <c r="Q1" s="178"/>
      <c r="R1" s="178"/>
      <c r="S1" s="178"/>
      <c r="T1" s="178"/>
      <c r="U1" s="178"/>
    </row>
    <row r="2" spans="1:21" ht="18.75" x14ac:dyDescent="0.3">
      <c r="A2" s="589" t="s">
        <v>297</v>
      </c>
      <c r="B2" s="589"/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  <c r="O2" s="105"/>
      <c r="P2" s="105"/>
      <c r="Q2" s="105"/>
      <c r="R2" s="105"/>
      <c r="S2" s="105"/>
      <c r="T2" s="105"/>
      <c r="U2" s="105"/>
    </row>
    <row r="3" spans="1:21" ht="18.75" x14ac:dyDescent="0.3">
      <c r="A3" s="589" t="s">
        <v>298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105"/>
      <c r="P3" s="105"/>
      <c r="Q3" s="105"/>
      <c r="R3" s="105"/>
      <c r="S3" s="105"/>
      <c r="T3" s="105"/>
      <c r="U3" s="105"/>
    </row>
    <row r="4" spans="1:21" ht="18.75" x14ac:dyDescent="0.3">
      <c r="A4" s="589" t="str">
        <f>CONCATENATE("For Service Rendered On and After ",'Input Data'!$D$4)</f>
        <v>For Service Rendered On and After August 1, 2019</v>
      </c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105"/>
      <c r="P4" s="105"/>
      <c r="Q4" s="105"/>
      <c r="R4" s="105"/>
      <c r="S4" s="105"/>
      <c r="T4" s="105"/>
      <c r="U4" s="105"/>
    </row>
    <row r="5" spans="1:21" ht="15.75" x14ac:dyDescent="0.25">
      <c r="A5" s="3"/>
      <c r="B5" s="3"/>
      <c r="C5" s="3"/>
      <c r="D5" s="3"/>
      <c r="E5" s="3"/>
      <c r="F5" s="3"/>
      <c r="G5" s="3"/>
      <c r="H5" s="3"/>
      <c r="I5" s="3"/>
      <c r="J5" s="531"/>
      <c r="K5" s="3"/>
      <c r="L5" s="531"/>
      <c r="M5" s="309"/>
    </row>
    <row r="6" spans="1:21" ht="87" customHeight="1" x14ac:dyDescent="0.25">
      <c r="A6" s="536" t="s">
        <v>250</v>
      </c>
      <c r="B6" s="537" t="s">
        <v>353</v>
      </c>
      <c r="C6" s="537"/>
      <c r="D6" s="536" t="s">
        <v>314</v>
      </c>
      <c r="E6" s="536"/>
      <c r="F6" s="536" t="s">
        <v>116</v>
      </c>
      <c r="G6" s="536"/>
      <c r="H6" s="537" t="s">
        <v>374</v>
      </c>
      <c r="I6" s="537"/>
      <c r="J6" s="537" t="s">
        <v>366</v>
      </c>
      <c r="K6" s="3"/>
      <c r="L6" s="537" t="s">
        <v>272</v>
      </c>
      <c r="M6" s="375" t="s">
        <v>426</v>
      </c>
      <c r="N6" s="143" t="s">
        <v>268</v>
      </c>
    </row>
    <row r="7" spans="1:21" ht="34.5" customHeight="1" x14ac:dyDescent="0.25">
      <c r="A7" s="376" t="s">
        <v>60</v>
      </c>
      <c r="B7" s="376" t="s">
        <v>61</v>
      </c>
      <c r="C7" s="376"/>
      <c r="D7" s="376" t="s">
        <v>62</v>
      </c>
      <c r="F7" s="376" t="s">
        <v>63</v>
      </c>
      <c r="G7" s="376"/>
      <c r="H7" s="376" t="s">
        <v>64</v>
      </c>
      <c r="I7" s="3"/>
      <c r="J7" s="376" t="s">
        <v>65</v>
      </c>
      <c r="L7" s="377" t="s">
        <v>66</v>
      </c>
      <c r="M7" s="377" t="s">
        <v>111</v>
      </c>
      <c r="N7" s="376" t="s">
        <v>479</v>
      </c>
      <c r="Q7" s="260"/>
      <c r="R7" s="260"/>
    </row>
    <row r="8" spans="1:21" ht="15.75" x14ac:dyDescent="0.25">
      <c r="A8" s="54"/>
      <c r="B8" s="378"/>
      <c r="C8" s="378"/>
      <c r="D8" s="378"/>
      <c r="E8" s="378"/>
      <c r="F8" s="378"/>
      <c r="G8" s="378"/>
      <c r="H8" s="378"/>
      <c r="I8" s="378"/>
      <c r="K8" s="1"/>
      <c r="L8" s="3"/>
      <c r="Q8" s="260"/>
      <c r="R8" s="260"/>
    </row>
    <row r="9" spans="1:21" ht="18.75" x14ac:dyDescent="0.25">
      <c r="A9" s="531">
        <v>1</v>
      </c>
      <c r="B9" s="147">
        <f>'Input Data'!C7</f>
        <v>43497</v>
      </c>
      <c r="C9" s="147"/>
      <c r="D9" s="147" t="s">
        <v>369</v>
      </c>
      <c r="E9" s="147"/>
      <c r="F9" s="147" t="str">
        <f>'Ex B-1 1 of 7'!C12</f>
        <v>2018-00403</v>
      </c>
      <c r="G9" s="147"/>
      <c r="H9" s="379">
        <f>VLOOKUP($B9,'Sales Volumes'!$A$1:$H$74,2,FALSE)</f>
        <v>5879594.9000000004</v>
      </c>
      <c r="I9" s="380">
        <v>1</v>
      </c>
      <c r="J9" s="381">
        <f>VLOOKUP($B9,'Sales Volumes'!$A$1:$H$74,4,FALSE)</f>
        <v>2936057.3</v>
      </c>
      <c r="K9" s="380">
        <v>2</v>
      </c>
      <c r="L9" s="382">
        <v>4.0709</v>
      </c>
      <c r="M9" s="157">
        <f>'Ex B-1 3 of 7'!L19</f>
        <v>0</v>
      </c>
      <c r="N9" s="157">
        <f>ROUND(J9*L9,0)+M9</f>
        <v>11952396</v>
      </c>
      <c r="Q9" s="260"/>
      <c r="R9" s="260"/>
    </row>
    <row r="10" spans="1:21" ht="18.75" x14ac:dyDescent="0.25">
      <c r="A10" s="531">
        <v>2</v>
      </c>
      <c r="B10" s="147">
        <f>EDATE(B9,1)</f>
        <v>43525</v>
      </c>
      <c r="C10" s="147"/>
      <c r="D10" s="147"/>
      <c r="E10" s="147"/>
      <c r="F10" s="147" t="str">
        <f>F9</f>
        <v>2018-00403</v>
      </c>
      <c r="G10" s="147"/>
      <c r="H10" s="379">
        <f>VLOOKUP($B10,'Sales Volumes'!$A$1:$H$74,2,FALSE)</f>
        <v>4866844.2</v>
      </c>
      <c r="I10" s="383"/>
      <c r="J10" s="381">
        <f>H10</f>
        <v>4866844.2</v>
      </c>
      <c r="K10" s="194"/>
      <c r="L10" s="382">
        <f>$L$9</f>
        <v>4.0709</v>
      </c>
      <c r="M10" s="157">
        <f>'Ex B-1 3 of 7'!L20</f>
        <v>0</v>
      </c>
      <c r="N10" s="157">
        <f>ROUND(J10*L10,0)+M10</f>
        <v>19812436</v>
      </c>
      <c r="Q10" s="260"/>
      <c r="R10" s="260"/>
    </row>
    <row r="11" spans="1:21" ht="18.75" x14ac:dyDescent="0.25">
      <c r="A11" s="531">
        <v>3</v>
      </c>
      <c r="B11" s="147">
        <f>EDATE(B10,1)</f>
        <v>43556</v>
      </c>
      <c r="C11" s="147"/>
      <c r="D11" s="147"/>
      <c r="E11" s="147"/>
      <c r="F11" s="147" t="str">
        <f>F9</f>
        <v>2018-00403</v>
      </c>
      <c r="G11" s="147"/>
      <c r="H11" s="379">
        <f>VLOOKUP($B11,'Sales Volumes'!$A$1:$H$74,2,FALSE)</f>
        <v>2742152.5</v>
      </c>
      <c r="I11" s="383"/>
      <c r="J11" s="381">
        <f>H11</f>
        <v>2742152.5</v>
      </c>
      <c r="K11" s="194"/>
      <c r="L11" s="382">
        <f t="shared" ref="L11:L12" si="0">$L$9</f>
        <v>4.0709</v>
      </c>
      <c r="M11" s="157">
        <f>'Ex B-1 3 of 7'!L21</f>
        <v>0</v>
      </c>
      <c r="N11" s="157">
        <f>ROUND(J11*L11,0)+M11</f>
        <v>11163029</v>
      </c>
      <c r="Q11" s="260"/>
      <c r="R11" s="260"/>
    </row>
    <row r="12" spans="1:21" ht="18.75" x14ac:dyDescent="0.25">
      <c r="A12" s="531">
        <v>4</v>
      </c>
      <c r="B12" s="147">
        <f>EDATE(B11,1)</f>
        <v>43586</v>
      </c>
      <c r="C12" s="147"/>
      <c r="D12" s="147" t="s">
        <v>369</v>
      </c>
      <c r="E12" s="147"/>
      <c r="F12" s="147" t="str">
        <f>F9</f>
        <v>2018-00403</v>
      </c>
      <c r="G12" s="147"/>
      <c r="H12" s="379">
        <f>VLOOKUP($B12,'Sales Volumes'!$A$1:$H$74,2,FALSE)</f>
        <v>1295028.3999999999</v>
      </c>
      <c r="I12" s="380">
        <v>1</v>
      </c>
      <c r="J12" s="384">
        <f>VLOOKUP($B12,'Sales Volumes'!$A$1:$H$74,3,FALSE)</f>
        <v>712344.8</v>
      </c>
      <c r="K12" s="380">
        <v>2</v>
      </c>
      <c r="L12" s="382">
        <f t="shared" si="0"/>
        <v>4.0709</v>
      </c>
      <c r="M12" s="385"/>
      <c r="N12" s="386">
        <f>ROUND(J12*L12,0)+M12</f>
        <v>2899884</v>
      </c>
    </row>
    <row r="13" spans="1:21" ht="18" customHeight="1" x14ac:dyDescent="0.25">
      <c r="A13" s="531">
        <v>5</v>
      </c>
      <c r="I13" s="1"/>
      <c r="J13" s="387">
        <f>SUM(J9:J12)</f>
        <v>11257398.800000001</v>
      </c>
      <c r="K13" s="388"/>
      <c r="L13" s="54"/>
      <c r="M13" s="157">
        <f>SUM(M9:M12)</f>
        <v>0</v>
      </c>
      <c r="N13" s="157">
        <f>SUM(N9:N12)</f>
        <v>45827745</v>
      </c>
    </row>
    <row r="14" spans="1:21" ht="16.5" customHeight="1" x14ac:dyDescent="0.25">
      <c r="I14" s="1"/>
      <c r="K14" s="3"/>
      <c r="L14" s="3"/>
    </row>
    <row r="15" spans="1:21" ht="15.75" x14ac:dyDescent="0.25">
      <c r="K15" s="3"/>
      <c r="L15" s="3"/>
    </row>
    <row r="16" spans="1:21" ht="51.75" customHeight="1" x14ac:dyDescent="0.25">
      <c r="D16" s="143" t="s">
        <v>451</v>
      </c>
      <c r="E16" s="380">
        <v>3</v>
      </c>
      <c r="F16" s="143" t="s">
        <v>445</v>
      </c>
      <c r="G16" s="380">
        <v>4</v>
      </c>
      <c r="H16" s="143" t="s">
        <v>269</v>
      </c>
      <c r="J16" s="143" t="s">
        <v>270</v>
      </c>
    </row>
    <row r="17" spans="1:21" ht="31.5" x14ac:dyDescent="0.25">
      <c r="D17" s="376" t="s">
        <v>113</v>
      </c>
      <c r="E17" s="376"/>
      <c r="F17" s="376" t="s">
        <v>380</v>
      </c>
      <c r="G17" s="376"/>
      <c r="H17" s="376" t="s">
        <v>370</v>
      </c>
      <c r="J17" s="389" t="s">
        <v>462</v>
      </c>
      <c r="K17" s="260"/>
      <c r="L17" s="260"/>
      <c r="M17" s="260"/>
      <c r="N17" s="260"/>
    </row>
    <row r="18" spans="1:21" ht="16.5" customHeight="1" x14ac:dyDescent="0.25">
      <c r="K18" s="260"/>
      <c r="L18" s="260"/>
      <c r="M18" s="260"/>
      <c r="N18" s="260"/>
    </row>
    <row r="19" spans="1:21" ht="18.75" customHeight="1" x14ac:dyDescent="0.25">
      <c r="A19" s="309">
        <v>6</v>
      </c>
      <c r="B19" s="147">
        <f>B9</f>
        <v>43497</v>
      </c>
      <c r="D19" s="157">
        <f>'Ex B-1 3 of 7'!N19</f>
        <v>4021</v>
      </c>
      <c r="F19" s="157">
        <f>'Ex B-1 4 of 7'!N19</f>
        <v>130962</v>
      </c>
      <c r="G19" s="157"/>
      <c r="H19" s="157">
        <v>0</v>
      </c>
      <c r="J19" s="157">
        <f>N9+D19+F19+H19</f>
        <v>12087379</v>
      </c>
      <c r="K19" s="260"/>
      <c r="L19" s="260"/>
      <c r="M19" s="260"/>
      <c r="N19" s="260"/>
    </row>
    <row r="20" spans="1:21" ht="18.75" customHeight="1" x14ac:dyDescent="0.25">
      <c r="A20" s="309">
        <v>7</v>
      </c>
      <c r="B20" s="147">
        <f t="shared" ref="B20:B22" si="1">B10</f>
        <v>43525</v>
      </c>
      <c r="D20" s="157">
        <f>'Ex B-1 3 of 7'!N20</f>
        <v>12311</v>
      </c>
      <c r="E20" s="390"/>
      <c r="F20" s="157">
        <f>'Ex B-1 4 of 7'!N20</f>
        <v>34633</v>
      </c>
      <c r="G20" s="157"/>
      <c r="H20" s="157">
        <v>0</v>
      </c>
      <c r="J20" s="157">
        <f>N10+D20+F20+H20</f>
        <v>19859380</v>
      </c>
      <c r="K20" s="260"/>
      <c r="L20" s="260"/>
      <c r="M20" s="260"/>
      <c r="N20" s="260"/>
    </row>
    <row r="21" spans="1:21" ht="18.75" customHeight="1" x14ac:dyDescent="0.25">
      <c r="A21" s="309">
        <v>8</v>
      </c>
      <c r="B21" s="147">
        <f t="shared" si="1"/>
        <v>43556</v>
      </c>
      <c r="D21" s="157">
        <f>'Ex B-1 3 of 7'!N21</f>
        <v>32925</v>
      </c>
      <c r="E21" s="390"/>
      <c r="F21" s="157">
        <f>'Ex B-1 4 of 7'!N21</f>
        <v>113347</v>
      </c>
      <c r="G21" s="157"/>
      <c r="H21" s="157">
        <v>0</v>
      </c>
      <c r="J21" s="157">
        <f>N11+D21+F21+H21</f>
        <v>11309301</v>
      </c>
      <c r="K21" s="260"/>
      <c r="L21" s="260"/>
      <c r="M21" s="260"/>
      <c r="N21" s="260"/>
    </row>
    <row r="22" spans="1:21" ht="18.75" customHeight="1" x14ac:dyDescent="0.25">
      <c r="A22" s="309">
        <v>9</v>
      </c>
      <c r="B22" s="147">
        <f t="shared" si="1"/>
        <v>43586</v>
      </c>
      <c r="D22" s="391"/>
      <c r="E22" s="392"/>
      <c r="F22" s="393"/>
      <c r="G22" s="394"/>
      <c r="H22" s="395"/>
      <c r="J22" s="386">
        <f>N12+D22+F22+H22</f>
        <v>2899884</v>
      </c>
      <c r="K22" s="260"/>
      <c r="L22" s="260"/>
      <c r="M22" s="260"/>
      <c r="N22" s="260"/>
    </row>
    <row r="23" spans="1:21" ht="18.75" customHeight="1" x14ac:dyDescent="0.25">
      <c r="A23" s="309">
        <v>10</v>
      </c>
      <c r="B23" s="147"/>
      <c r="D23" s="157">
        <f>SUM(D19:D22)</f>
        <v>49257</v>
      </c>
      <c r="E23" s="158"/>
      <c r="F23" s="157">
        <f>SUM(F19:F22)</f>
        <v>278942</v>
      </c>
      <c r="G23" s="157"/>
      <c r="H23" s="157">
        <f>SUM(H19:H22)</f>
        <v>0</v>
      </c>
      <c r="J23" s="157">
        <f>SUM(J19:J22)</f>
        <v>46155944</v>
      </c>
      <c r="K23" s="260"/>
      <c r="L23" s="260"/>
      <c r="M23" s="260"/>
      <c r="N23" s="260"/>
    </row>
    <row r="24" spans="1:21" ht="16.5" customHeight="1" x14ac:dyDescent="0.25">
      <c r="H24" s="396"/>
      <c r="K24" s="3"/>
      <c r="L24" s="3"/>
      <c r="N24" s="397"/>
    </row>
    <row r="25" spans="1:21" ht="16.5" customHeight="1" x14ac:dyDescent="0.25">
      <c r="K25" s="3"/>
      <c r="L25" s="3"/>
      <c r="N25" s="397"/>
    </row>
    <row r="26" spans="1:21" ht="18.75" x14ac:dyDescent="0.25">
      <c r="A26" s="398">
        <v>1</v>
      </c>
      <c r="B26" s="3" t="s">
        <v>463</v>
      </c>
      <c r="C26" s="3"/>
      <c r="D26" s="3"/>
      <c r="E26" s="3"/>
      <c r="F26" s="3"/>
      <c r="G26" s="3"/>
      <c r="H26" s="3"/>
      <c r="K26" s="3"/>
      <c r="L26" s="3"/>
      <c r="N26" s="397"/>
    </row>
    <row r="27" spans="1:21" ht="18.75" x14ac:dyDescent="0.25">
      <c r="A27" s="398">
        <v>2</v>
      </c>
      <c r="B27" s="3" t="s">
        <v>464</v>
      </c>
      <c r="C27" s="3"/>
      <c r="D27" s="3"/>
      <c r="E27" s="3"/>
      <c r="F27" s="3"/>
      <c r="G27" s="3"/>
      <c r="H27" s="3"/>
      <c r="K27" s="3"/>
      <c r="L27" s="3"/>
      <c r="N27" s="397"/>
    </row>
    <row r="28" spans="1:21" ht="18.75" x14ac:dyDescent="0.25">
      <c r="A28" s="398">
        <v>3</v>
      </c>
      <c r="B28" s="3" t="s">
        <v>465</v>
      </c>
      <c r="C28" s="3"/>
      <c r="D28" s="3"/>
      <c r="E28" s="3"/>
      <c r="F28" s="3"/>
      <c r="G28" s="3"/>
      <c r="H28" s="3"/>
      <c r="K28" s="3"/>
      <c r="L28" s="3"/>
      <c r="N28" s="397"/>
    </row>
    <row r="29" spans="1:21" ht="18.75" x14ac:dyDescent="0.25">
      <c r="A29" s="398">
        <v>4</v>
      </c>
      <c r="B29" s="3" t="s">
        <v>466</v>
      </c>
      <c r="C29" s="3"/>
      <c r="D29" s="3"/>
      <c r="E29" s="3"/>
      <c r="F29" s="3"/>
      <c r="G29" s="3"/>
      <c r="H29" s="3"/>
      <c r="I29" s="3"/>
      <c r="J29" s="3"/>
      <c r="K29" s="3"/>
      <c r="L29" s="3"/>
      <c r="Q29" s="260"/>
      <c r="R29" s="260"/>
      <c r="S29" s="260"/>
      <c r="T29" s="260"/>
      <c r="U29" s="260"/>
    </row>
    <row r="30" spans="1:21" ht="20.100000000000001" customHeight="1" x14ac:dyDescent="0.25">
      <c r="A30" s="398"/>
      <c r="B30" s="13"/>
      <c r="C30" s="13"/>
      <c r="D30" s="13"/>
      <c r="E30" s="13"/>
      <c r="F30" s="13"/>
      <c r="G30" s="13"/>
      <c r="H30" s="13"/>
      <c r="I30" s="13"/>
      <c r="J30" s="3"/>
      <c r="K30" s="3"/>
      <c r="L30" s="3"/>
    </row>
    <row r="31" spans="1:21" ht="20.100000000000001" customHeight="1" x14ac:dyDescent="0.25">
      <c r="I31" s="3"/>
      <c r="J31" s="3"/>
      <c r="K31" s="3"/>
      <c r="L31" s="3"/>
    </row>
    <row r="32" spans="1:21" ht="20.100000000000001" customHeight="1" x14ac:dyDescent="0.25">
      <c r="I32" s="3"/>
      <c r="J32" s="3"/>
      <c r="K32" s="3"/>
      <c r="L32" s="3"/>
    </row>
    <row r="33" spans="1:12" ht="20.100000000000001" customHeight="1" x14ac:dyDescent="0.25">
      <c r="I33" s="3"/>
      <c r="J33" s="3"/>
      <c r="K33" s="3"/>
      <c r="L33" s="3"/>
    </row>
    <row r="34" spans="1:12" ht="20.100000000000001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0.100000000000001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2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2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2" ht="15.75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12" ht="21" customHeight="1" x14ac:dyDescent="0.25">
      <c r="A39" s="3"/>
    </row>
    <row r="40" spans="1:12" ht="21.75" customHeight="1" x14ac:dyDescent="0.25">
      <c r="K40" s="3"/>
      <c r="L40" s="3"/>
    </row>
    <row r="41" spans="1:12" ht="15.75" x14ac:dyDescent="0.25">
      <c r="K41" s="3"/>
      <c r="L41" s="3"/>
    </row>
    <row r="42" spans="1:12" ht="15.75" x14ac:dyDescent="0.25">
      <c r="A42" s="3"/>
      <c r="B42" s="11"/>
      <c r="C42" s="11"/>
      <c r="D42" s="11"/>
      <c r="E42" s="11"/>
      <c r="F42" s="11"/>
      <c r="G42" s="11"/>
      <c r="H42" s="11"/>
      <c r="I42" s="11"/>
    </row>
    <row r="43" spans="1:12" ht="15.75" x14ac:dyDescent="0.25">
      <c r="A43" s="3"/>
      <c r="B43" s="13"/>
      <c r="C43" s="13"/>
      <c r="D43" s="13"/>
      <c r="E43" s="13"/>
      <c r="F43" s="13"/>
      <c r="G43" s="13"/>
      <c r="H43" s="13"/>
      <c r="I43" s="13"/>
    </row>
    <row r="44" spans="1:12" ht="15.75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12" ht="15.75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12" ht="15.75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12" ht="15.75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12" ht="15.75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ht="15.75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ht="15.75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.75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ht="15.75" x14ac:dyDescent="0.25">
      <c r="A52" s="3"/>
    </row>
    <row r="53" spans="1:9" ht="15.75" x14ac:dyDescent="0.25">
      <c r="A53" s="3"/>
    </row>
  </sheetData>
  <mergeCells count="4">
    <mergeCell ref="A1:N1"/>
    <mergeCell ref="A2:N2"/>
    <mergeCell ref="A3:N3"/>
    <mergeCell ref="A4:N4"/>
  </mergeCells>
  <phoneticPr fontId="2" type="noConversion"/>
  <pageMargins left="0.75" right="0.35" top="1.5" bottom="1" header="0.5" footer="0.5"/>
  <pageSetup scale="62" orientation="portrait" blackAndWhite="1" r:id="rId1"/>
  <headerFooter alignWithMargins="0">
    <oddHeader>&amp;R&amp;"Times New Roman,Bold"Exhibit B-1
Page 2 of 7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9" tint="0.59999389629810485"/>
    <pageSetUpPr fitToPage="1"/>
  </sheetPr>
  <dimension ref="A1:R34"/>
  <sheetViews>
    <sheetView zoomScale="80" zoomScaleNormal="80" workbookViewId="0">
      <selection sqref="A1:N1"/>
    </sheetView>
  </sheetViews>
  <sheetFormatPr defaultColWidth="8.88671875" defaultRowHeight="15.75" x14ac:dyDescent="0.25"/>
  <cols>
    <col min="1" max="1" width="7.109375" style="4" customWidth="1"/>
    <col min="2" max="2" width="10.44140625" style="121" customWidth="1"/>
    <col min="3" max="3" width="11.88671875" style="121" customWidth="1"/>
    <col min="4" max="4" width="11.21875" style="121" customWidth="1"/>
    <col min="5" max="5" width="10.77734375" style="121" customWidth="1"/>
    <col min="6" max="6" width="11.109375" style="121" customWidth="1"/>
    <col min="7" max="7" width="9.88671875" style="121" bestFit="1" customWidth="1"/>
    <col min="8" max="8" width="8.88671875" style="121"/>
    <col min="9" max="9" width="9.88671875" style="121" bestFit="1" customWidth="1"/>
    <col min="10" max="11" width="9.88671875" style="121" customWidth="1"/>
    <col min="12" max="12" width="10.6640625" style="121" customWidth="1"/>
    <col min="13" max="13" width="10.21875" style="121" customWidth="1"/>
    <col min="14" max="14" width="13.5546875" style="121" customWidth="1"/>
    <col min="15" max="15" width="13.88671875" style="121" customWidth="1"/>
    <col min="16" max="16384" width="8.88671875" style="121"/>
  </cols>
  <sheetData>
    <row r="1" spans="1:18" ht="18.75" x14ac:dyDescent="0.3">
      <c r="A1" s="601" t="s">
        <v>5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301"/>
      <c r="P1" s="301"/>
      <c r="Q1" s="301"/>
      <c r="R1" s="301"/>
    </row>
    <row r="2" spans="1:18" ht="18.75" x14ac:dyDescent="0.3">
      <c r="A2" s="602" t="s">
        <v>301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262"/>
      <c r="P2" s="262"/>
      <c r="Q2" s="262"/>
      <c r="R2" s="262"/>
    </row>
    <row r="3" spans="1:18" ht="18.75" x14ac:dyDescent="0.3">
      <c r="A3" s="602" t="s">
        <v>439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262"/>
      <c r="P3" s="262"/>
      <c r="Q3" s="262"/>
      <c r="R3" s="262"/>
    </row>
    <row r="4" spans="1:18" ht="18.75" x14ac:dyDescent="0.3">
      <c r="A4" s="602" t="str">
        <f>CONCATENATE("For Service Rendered On and After ",'Input Data'!$D$4)</f>
        <v>For Service Rendered On and After August 1, 2019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262"/>
      <c r="P4" s="262"/>
      <c r="Q4" s="262"/>
      <c r="R4" s="262"/>
    </row>
    <row r="5" spans="1:18" x14ac:dyDescent="0.25"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</row>
    <row r="6" spans="1:18" x14ac:dyDescent="0.25"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</row>
    <row r="7" spans="1:18" x14ac:dyDescent="0.25"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</row>
    <row r="8" spans="1:18" x14ac:dyDescent="0.25">
      <c r="B8" s="304"/>
      <c r="C8" s="304"/>
      <c r="D8" s="304"/>
      <c r="E8" s="280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</row>
    <row r="9" spans="1:18" x14ac:dyDescent="0.25"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</row>
    <row r="10" spans="1:18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8" x14ac:dyDescent="0.25">
      <c r="B14" s="4"/>
      <c r="C14" s="4"/>
      <c r="D14" s="30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303"/>
    </row>
    <row r="15" spans="1:18" x14ac:dyDescent="0.25">
      <c r="A15" s="303"/>
      <c r="B15" s="303"/>
      <c r="C15" s="303"/>
      <c r="D15" s="303"/>
      <c r="E15" s="303"/>
      <c r="F15" s="303"/>
      <c r="G15" s="303"/>
      <c r="H15" s="303"/>
      <c r="I15" s="175"/>
      <c r="J15" s="175"/>
      <c r="K15" s="175"/>
      <c r="L15" s="175"/>
      <c r="M15" s="303"/>
    </row>
    <row r="16" spans="1:18" ht="78.75" x14ac:dyDescent="0.25">
      <c r="A16" s="161" t="s">
        <v>250</v>
      </c>
      <c r="B16" s="292" t="s">
        <v>353</v>
      </c>
      <c r="C16" s="292" t="s">
        <v>0</v>
      </c>
      <c r="D16" s="300" t="s">
        <v>448</v>
      </c>
      <c r="E16" s="292" t="s">
        <v>449</v>
      </c>
      <c r="F16" s="299" t="s">
        <v>444</v>
      </c>
      <c r="G16" s="292" t="s">
        <v>440</v>
      </c>
      <c r="H16" s="292" t="s">
        <v>452</v>
      </c>
      <c r="I16" s="292" t="s">
        <v>441</v>
      </c>
      <c r="J16" s="292" t="s">
        <v>481</v>
      </c>
      <c r="K16" s="292" t="s">
        <v>453</v>
      </c>
      <c r="L16" s="292" t="s">
        <v>447</v>
      </c>
      <c r="M16" s="292" t="s">
        <v>442</v>
      </c>
      <c r="N16" s="292" t="s">
        <v>443</v>
      </c>
    </row>
    <row r="17" spans="1:18" ht="31.5" x14ac:dyDescent="0.25">
      <c r="B17" s="303" t="s">
        <v>60</v>
      </c>
      <c r="C17" s="303" t="s">
        <v>61</v>
      </c>
      <c r="D17" s="303" t="s">
        <v>62</v>
      </c>
      <c r="E17" s="399">
        <v>-4</v>
      </c>
      <c r="F17" s="400" t="s">
        <v>471</v>
      </c>
      <c r="G17" s="399">
        <v>-6</v>
      </c>
      <c r="H17" s="400">
        <v>-7</v>
      </c>
      <c r="I17" s="400" t="s">
        <v>111</v>
      </c>
      <c r="J17" s="399">
        <v>-9</v>
      </c>
      <c r="K17" s="399" t="s">
        <v>113</v>
      </c>
      <c r="L17" s="399" t="s">
        <v>380</v>
      </c>
      <c r="M17" s="399" t="s">
        <v>370</v>
      </c>
      <c r="N17" s="401" t="s">
        <v>454</v>
      </c>
    </row>
    <row r="18" spans="1:18" x14ac:dyDescent="0.25">
      <c r="B18" s="303"/>
      <c r="C18" s="162"/>
      <c r="D18" s="303"/>
      <c r="E18" s="402"/>
      <c r="G18" s="403"/>
      <c r="H18" s="403"/>
      <c r="I18" s="403"/>
      <c r="J18" s="403"/>
      <c r="K18" s="403"/>
      <c r="L18" s="403"/>
      <c r="M18" s="403"/>
      <c r="N18" s="17"/>
    </row>
    <row r="19" spans="1:18" x14ac:dyDescent="0.25">
      <c r="A19" s="303">
        <v>1</v>
      </c>
      <c r="B19" s="278">
        <f>'Input Data'!C7</f>
        <v>43497</v>
      </c>
      <c r="C19" s="303" t="str">
        <f>'Ex B-1 1 of 7'!C12</f>
        <v>2018-00403</v>
      </c>
      <c r="D19" s="404">
        <f>'TS-2 Data'!B5</f>
        <v>4909</v>
      </c>
      <c r="E19" s="565">
        <v>0.81710000000000005</v>
      </c>
      <c r="F19" s="405">
        <f>D19*E19</f>
        <v>4011.1439</v>
      </c>
      <c r="G19" s="334">
        <f>'TS-2 Data'!H5</f>
        <v>0</v>
      </c>
      <c r="H19" s="387">
        <f>'TS-2 Data'!P5</f>
        <v>0</v>
      </c>
      <c r="I19" s="406">
        <f>'TS-2 Data'!Q5</f>
        <v>0</v>
      </c>
      <c r="J19" s="452">
        <f>'TS-2 Data'!T5</f>
        <v>3.0999999999999943</v>
      </c>
      <c r="K19" s="406">
        <f>'TS-2 Data'!U5</f>
        <v>9.4700000000000006</v>
      </c>
      <c r="L19" s="408">
        <v>0</v>
      </c>
      <c r="M19" s="408">
        <f>'TS-2 Data'!I5</f>
        <v>0</v>
      </c>
      <c r="N19" s="256">
        <f>ROUND((F19+G19+I19+K19+L19+M19),0)</f>
        <v>4021</v>
      </c>
    </row>
    <row r="20" spans="1:18" x14ac:dyDescent="0.25">
      <c r="A20" s="303">
        <v>2</v>
      </c>
      <c r="B20" s="278">
        <f>EDATE(B19,1)</f>
        <v>43525</v>
      </c>
      <c r="C20" s="303" t="str">
        <f>C19</f>
        <v>2018-00403</v>
      </c>
      <c r="D20" s="404">
        <f>'TS-2 Data'!B6</f>
        <v>13299.199999999999</v>
      </c>
      <c r="E20" s="409">
        <f>E19</f>
        <v>0.81710000000000005</v>
      </c>
      <c r="F20" s="405">
        <f t="shared" ref="F20:F21" si="0">D20*E20</f>
        <v>10866.776319999999</v>
      </c>
      <c r="G20" s="334">
        <f>'TS-2 Data'!H6</f>
        <v>0</v>
      </c>
      <c r="H20" s="387">
        <f>'TS-2 Data'!P6</f>
        <v>0</v>
      </c>
      <c r="I20" s="406">
        <f>'TS-2 Data'!Q6</f>
        <v>0</v>
      </c>
      <c r="J20" s="452">
        <f>'TS-2 Data'!T6</f>
        <v>332.19999999999891</v>
      </c>
      <c r="K20" s="406">
        <f>'TS-2 Data'!U6</f>
        <v>1444.06</v>
      </c>
      <c r="L20" s="408">
        <v>0</v>
      </c>
      <c r="M20" s="408">
        <f>'TS-2 Data'!I6</f>
        <v>0</v>
      </c>
      <c r="N20" s="256">
        <f>ROUND((F20+G20+I20+K20+L20+M20),0)</f>
        <v>12311</v>
      </c>
    </row>
    <row r="21" spans="1:18" x14ac:dyDescent="0.25">
      <c r="A21" s="303">
        <v>3</v>
      </c>
      <c r="B21" s="339">
        <f>EDATE(B20,1)</f>
        <v>43556</v>
      </c>
      <c r="C21" s="294" t="str">
        <f>C19</f>
        <v>2018-00403</v>
      </c>
      <c r="D21" s="410">
        <f>'TS-2 Data'!B7</f>
        <v>36260.5</v>
      </c>
      <c r="E21" s="411">
        <f>E19</f>
        <v>0.81710000000000005</v>
      </c>
      <c r="F21" s="412">
        <f t="shared" si="0"/>
        <v>29628.454550000002</v>
      </c>
      <c r="G21" s="335">
        <f>'TS-2 Data'!H7</f>
        <v>499.77269999999999</v>
      </c>
      <c r="H21" s="413">
        <f>'TS-2 Data'!P7</f>
        <v>0</v>
      </c>
      <c r="I21" s="414">
        <f>'TS-2 Data'!Q7</f>
        <v>0</v>
      </c>
      <c r="J21" s="453">
        <f>'TS-2 Data'!T7</f>
        <v>1004.4999999999973</v>
      </c>
      <c r="K21" s="414">
        <f>'TS-2 Data'!U7</f>
        <v>2796.54</v>
      </c>
      <c r="L21" s="416">
        <v>0</v>
      </c>
      <c r="M21" s="416">
        <f>'TS-2 Data'!I7</f>
        <v>0</v>
      </c>
      <c r="N21" s="417">
        <f>ROUND((F21+G21+I21+K21+L21+M21),0)</f>
        <v>32925</v>
      </c>
    </row>
    <row r="22" spans="1:18" x14ac:dyDescent="0.25">
      <c r="B22" s="303"/>
      <c r="C22" s="303"/>
      <c r="D22" s="303"/>
      <c r="E22" s="418"/>
      <c r="F22" s="419"/>
      <c r="G22" s="418"/>
      <c r="H22" s="418"/>
      <c r="I22" s="420"/>
      <c r="J22" s="420"/>
      <c r="K22" s="420"/>
      <c r="L22" s="418"/>
      <c r="M22" s="418"/>
      <c r="N22" s="419"/>
      <c r="O22" s="102"/>
      <c r="P22" s="102"/>
      <c r="Q22" s="293"/>
      <c r="R22" s="256"/>
    </row>
    <row r="23" spans="1:18" x14ac:dyDescent="0.25">
      <c r="A23" s="303">
        <v>4</v>
      </c>
      <c r="B23" s="303"/>
      <c r="C23" s="303"/>
      <c r="D23" s="303"/>
      <c r="E23" s="418"/>
      <c r="F23" s="419"/>
      <c r="G23" s="418"/>
      <c r="H23" s="418"/>
      <c r="L23" s="418"/>
      <c r="M23" s="163" t="s">
        <v>385</v>
      </c>
      <c r="N23" s="256">
        <f>SUM(N19:N21)</f>
        <v>49257</v>
      </c>
      <c r="P23" s="163"/>
      <c r="Q23" s="157"/>
      <c r="R23" s="256"/>
    </row>
    <row r="24" spans="1:18" x14ac:dyDescent="0.25">
      <c r="B24" s="168"/>
      <c r="C24" s="4"/>
      <c r="D24" s="164"/>
      <c r="E24" s="165"/>
      <c r="F24" s="166"/>
      <c r="G24" s="165"/>
      <c r="H24" s="165"/>
      <c r="I24" s="167"/>
      <c r="J24" s="167"/>
      <c r="K24" s="167"/>
      <c r="L24" s="165"/>
      <c r="M24" s="165"/>
      <c r="N24" s="166"/>
      <c r="O24" s="40"/>
      <c r="P24" s="40"/>
      <c r="Q24" s="40"/>
      <c r="R24" s="19"/>
    </row>
    <row r="25" spans="1:18" x14ac:dyDescent="0.25">
      <c r="B25" s="168"/>
      <c r="C25" s="4"/>
      <c r="D25" s="164"/>
      <c r="E25" s="165"/>
      <c r="F25" s="166"/>
      <c r="G25" s="165"/>
      <c r="H25" s="165"/>
      <c r="I25" s="167"/>
      <c r="J25" s="167"/>
      <c r="K25" s="167"/>
      <c r="L25" s="4"/>
      <c r="M25" s="4"/>
    </row>
    <row r="26" spans="1:18" x14ac:dyDescent="0.25">
      <c r="B26" s="168"/>
      <c r="C26" s="4"/>
      <c r="D26" s="164"/>
      <c r="E26" s="165"/>
      <c r="F26" s="166"/>
      <c r="G26" s="165"/>
      <c r="H26" s="165"/>
      <c r="I26" s="167"/>
      <c r="J26" s="167"/>
      <c r="K26" s="167"/>
      <c r="L26" s="4"/>
      <c r="M26" s="4"/>
    </row>
    <row r="27" spans="1:18" x14ac:dyDescent="0.25">
      <c r="B27" s="168"/>
      <c r="C27" s="4"/>
      <c r="D27" s="164"/>
      <c r="E27" s="165"/>
      <c r="F27" s="166"/>
      <c r="G27" s="165"/>
      <c r="H27" s="165"/>
      <c r="I27" s="167"/>
      <c r="J27" s="167"/>
      <c r="K27" s="167"/>
      <c r="L27" s="4"/>
      <c r="M27" s="4"/>
    </row>
    <row r="28" spans="1:18" x14ac:dyDescent="0.25">
      <c r="B28" s="168"/>
      <c r="C28" s="4"/>
      <c r="D28" s="164"/>
      <c r="E28" s="165"/>
      <c r="F28" s="166"/>
      <c r="G28" s="165"/>
      <c r="H28" s="165"/>
      <c r="I28" s="167"/>
      <c r="J28" s="167"/>
      <c r="K28" s="167"/>
      <c r="L28" s="4"/>
      <c r="M28" s="4"/>
    </row>
    <row r="29" spans="1:18" x14ac:dyDescent="0.25">
      <c r="B29" s="168"/>
      <c r="C29" s="4"/>
      <c r="D29" s="164"/>
      <c r="E29" s="165"/>
      <c r="F29" s="166"/>
      <c r="G29" s="165"/>
      <c r="H29" s="165"/>
      <c r="I29" s="167"/>
      <c r="J29" s="167"/>
      <c r="K29" s="167"/>
      <c r="L29" s="4"/>
      <c r="M29" s="4"/>
    </row>
    <row r="30" spans="1:18" x14ac:dyDescent="0.25">
      <c r="B30" s="169" t="s">
        <v>469</v>
      </c>
      <c r="C30" s="4"/>
      <c r="D30" s="4"/>
      <c r="E30" s="4"/>
      <c r="F30" s="4"/>
      <c r="G30" s="4"/>
      <c r="H30" s="4"/>
      <c r="I30" s="4"/>
      <c r="J30" s="4"/>
      <c r="K30" s="167"/>
      <c r="L30" s="4"/>
      <c r="M30" s="4"/>
    </row>
    <row r="31" spans="1:18" x14ac:dyDescent="0.25">
      <c r="B31" s="4"/>
      <c r="C31" s="169" t="s">
        <v>470</v>
      </c>
      <c r="D31" s="4"/>
      <c r="E31" s="4"/>
      <c r="F31" s="4"/>
      <c r="G31" s="4"/>
      <c r="H31" s="4"/>
      <c r="I31" s="170"/>
      <c r="J31" s="18"/>
      <c r="K31" s="167"/>
      <c r="L31" s="4"/>
      <c r="M31" s="4"/>
    </row>
    <row r="32" spans="1:18" x14ac:dyDescent="0.25">
      <c r="B32" s="4"/>
      <c r="C32" s="4"/>
      <c r="D32" s="4"/>
      <c r="E32" s="4"/>
      <c r="F32" s="4"/>
      <c r="G32" s="4"/>
      <c r="H32" s="4"/>
      <c r="I32" s="170"/>
      <c r="J32" s="18"/>
    </row>
    <row r="33" spans="2:10" x14ac:dyDescent="0.25">
      <c r="B33" s="169" t="s">
        <v>88</v>
      </c>
      <c r="C33" s="4"/>
      <c r="D33" s="4"/>
      <c r="E33" s="4"/>
      <c r="F33" s="4"/>
      <c r="G33" s="4"/>
      <c r="H33" s="4"/>
      <c r="I33" s="170"/>
      <c r="J33" s="18"/>
    </row>
    <row r="34" spans="2:10" x14ac:dyDescent="0.25">
      <c r="B34" s="4"/>
      <c r="C34" s="169" t="s">
        <v>89</v>
      </c>
      <c r="D34" s="4"/>
      <c r="E34" s="4"/>
      <c r="F34" s="4"/>
      <c r="G34" s="4"/>
      <c r="H34" s="4"/>
      <c r="I34" s="170"/>
      <c r="J34" s="18"/>
    </row>
  </sheetData>
  <mergeCells count="4">
    <mergeCell ref="A1:N1"/>
    <mergeCell ref="A2:N2"/>
    <mergeCell ref="A3:N3"/>
    <mergeCell ref="A4:N4"/>
  </mergeCells>
  <pageMargins left="0.7" right="0.7" top="0.75" bottom="0.75" header="0.3" footer="0.3"/>
  <pageSetup scale="70" orientation="landscape" r:id="rId1"/>
  <headerFooter>
    <oddFooter>&amp;R&amp;"Times New Roman,Bold"Exhibit B-1
Page 3 of 7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59999389629810485"/>
  </sheetPr>
  <dimension ref="A1:T66"/>
  <sheetViews>
    <sheetView zoomScale="80" zoomScaleNormal="80" workbookViewId="0"/>
  </sheetViews>
  <sheetFormatPr defaultColWidth="6.109375" defaultRowHeight="15.75" x14ac:dyDescent="0.25"/>
  <cols>
    <col min="1" max="1" width="6.109375" style="4"/>
    <col min="2" max="2" width="16.33203125" style="4" customWidth="1"/>
    <col min="3" max="3" width="2.44140625" style="4" customWidth="1"/>
    <col min="4" max="4" width="18.77734375" style="4" customWidth="1"/>
    <col min="5" max="5" width="11.21875" style="4" customWidth="1"/>
    <col min="6" max="6" width="10.33203125" style="4" customWidth="1"/>
    <col min="7" max="7" width="12.21875" style="4" customWidth="1"/>
    <col min="8" max="8" width="11" style="4" customWidth="1"/>
    <col min="9" max="9" width="12" style="4" customWidth="1"/>
    <col min="10" max="10" width="11.44140625" style="4" customWidth="1"/>
    <col min="11" max="11" width="12.5546875" style="4" bestFit="1" customWidth="1"/>
    <col min="12" max="12" width="13.109375" style="4" customWidth="1"/>
    <col min="13" max="13" width="15.88671875" style="4" bestFit="1" customWidth="1"/>
    <col min="14" max="14" width="22" style="4" customWidth="1"/>
    <col min="15" max="16384" width="6.109375" style="4"/>
  </cols>
  <sheetData>
    <row r="1" spans="1:15" ht="18.75" x14ac:dyDescent="0.3">
      <c r="B1" s="601" t="s">
        <v>5</v>
      </c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</row>
    <row r="2" spans="1:15" ht="18.75" x14ac:dyDescent="0.3">
      <c r="B2" s="602" t="s">
        <v>301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</row>
    <row r="3" spans="1:15" ht="18.75" x14ac:dyDescent="0.3">
      <c r="B3" s="602" t="s">
        <v>302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</row>
    <row r="4" spans="1:15" ht="18.75" x14ac:dyDescent="0.3">
      <c r="B4" s="602" t="str">
        <f>CONCATENATE("For Service Rendered On and After ",'Input Data'!$D$4)</f>
        <v>For Service Rendered On and After August 1, 2019</v>
      </c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262"/>
    </row>
    <row r="5" spans="1:15" x14ac:dyDescent="0.25"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</row>
    <row r="6" spans="1:15" x14ac:dyDescent="0.25"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</row>
    <row r="7" spans="1:15" x14ac:dyDescent="0.25"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</row>
    <row r="8" spans="1:15" x14ac:dyDescent="0.25">
      <c r="B8" s="304"/>
      <c r="C8" s="304"/>
      <c r="D8" s="304"/>
      <c r="E8" s="304"/>
      <c r="F8" s="280"/>
      <c r="G8" s="304"/>
      <c r="H8" s="304"/>
      <c r="I8" s="304"/>
      <c r="J8" s="304"/>
      <c r="K8" s="304"/>
      <c r="L8" s="304"/>
      <c r="M8" s="304"/>
      <c r="N8" s="304"/>
    </row>
    <row r="9" spans="1:15" x14ac:dyDescent="0.25"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</row>
    <row r="14" spans="1:15" x14ac:dyDescent="0.25">
      <c r="E14" s="303" t="s">
        <v>69</v>
      </c>
      <c r="N14" s="303" t="s">
        <v>68</v>
      </c>
    </row>
    <row r="15" spans="1:15" x14ac:dyDescent="0.25">
      <c r="A15" s="303" t="s">
        <v>325</v>
      </c>
      <c r="B15" s="303" t="s">
        <v>377</v>
      </c>
      <c r="C15" s="303"/>
      <c r="D15" s="303" t="s">
        <v>72</v>
      </c>
      <c r="E15" s="303" t="s">
        <v>73</v>
      </c>
      <c r="F15" s="303" t="s">
        <v>74</v>
      </c>
      <c r="G15" s="303" t="s">
        <v>74</v>
      </c>
      <c r="H15" s="303" t="s">
        <v>75</v>
      </c>
      <c r="I15" s="303" t="s">
        <v>75</v>
      </c>
      <c r="J15" s="303" t="s">
        <v>69</v>
      </c>
      <c r="K15" s="303" t="s">
        <v>76</v>
      </c>
      <c r="M15" s="303" t="s">
        <v>421</v>
      </c>
      <c r="N15" s="303" t="s">
        <v>70</v>
      </c>
    </row>
    <row r="16" spans="1:15" x14ac:dyDescent="0.25">
      <c r="A16" s="161" t="s">
        <v>326</v>
      </c>
      <c r="B16" s="161" t="s">
        <v>267</v>
      </c>
      <c r="C16" s="161"/>
      <c r="D16" s="161" t="s">
        <v>79</v>
      </c>
      <c r="E16" s="161" t="s">
        <v>80</v>
      </c>
      <c r="F16" s="161" t="s">
        <v>81</v>
      </c>
      <c r="G16" s="161" t="s">
        <v>82</v>
      </c>
      <c r="H16" s="161" t="s">
        <v>83</v>
      </c>
      <c r="I16" s="161" t="s">
        <v>84</v>
      </c>
      <c r="J16" s="161" t="s">
        <v>11</v>
      </c>
      <c r="K16" s="161" t="s">
        <v>472</v>
      </c>
      <c r="L16" s="161" t="s">
        <v>77</v>
      </c>
      <c r="M16" s="143" t="s">
        <v>422</v>
      </c>
      <c r="N16" s="292" t="s">
        <v>446</v>
      </c>
    </row>
    <row r="17" spans="1:20" x14ac:dyDescent="0.25">
      <c r="B17" s="303" t="s">
        <v>60</v>
      </c>
      <c r="C17" s="303"/>
      <c r="D17" s="303" t="s">
        <v>61</v>
      </c>
      <c r="E17" s="303" t="s">
        <v>62</v>
      </c>
      <c r="F17" s="399">
        <v>-4</v>
      </c>
      <c r="G17" s="399">
        <v>-5</v>
      </c>
      <c r="H17" s="399">
        <v>-6</v>
      </c>
      <c r="I17" s="399">
        <v>-7</v>
      </c>
      <c r="J17" s="399">
        <v>-8</v>
      </c>
      <c r="K17" s="400" t="s">
        <v>112</v>
      </c>
      <c r="L17" s="399">
        <v>-10</v>
      </c>
      <c r="M17" s="376" t="s">
        <v>380</v>
      </c>
      <c r="N17" s="399">
        <v>-12</v>
      </c>
    </row>
    <row r="18" spans="1:20" x14ac:dyDescent="0.25">
      <c r="B18" s="303"/>
      <c r="C18" s="303"/>
      <c r="D18" s="303"/>
      <c r="E18" s="303"/>
      <c r="F18" s="399"/>
      <c r="G18" s="399"/>
      <c r="H18" s="399"/>
      <c r="I18" s="399"/>
      <c r="J18" s="399"/>
      <c r="K18" s="400"/>
      <c r="L18" s="399"/>
      <c r="M18" s="376"/>
      <c r="N18" s="399"/>
    </row>
    <row r="19" spans="1:20" ht="18.75" customHeight="1" x14ac:dyDescent="0.25">
      <c r="A19" s="303">
        <v>1</v>
      </c>
      <c r="B19" s="278">
        <f>'Input Data'!C7</f>
        <v>43497</v>
      </c>
      <c r="C19" s="278"/>
      <c r="D19" s="303" t="str">
        <f>'Ex B-1 1 of 7'!C12</f>
        <v>2018-00403</v>
      </c>
      <c r="E19" s="421">
        <v>0.1648</v>
      </c>
      <c r="F19" s="418">
        <f>'FT Data'!L5</f>
        <v>39833.100000000093</v>
      </c>
      <c r="G19" s="406">
        <f>'FT Data'!M5</f>
        <v>121630.37</v>
      </c>
      <c r="H19" s="418">
        <f>'FT Data'!U5</f>
        <v>0</v>
      </c>
      <c r="I19" s="406">
        <f>'FT Data'!V5</f>
        <v>0</v>
      </c>
      <c r="J19" s="407">
        <f>'FT Data'!AK5</f>
        <v>41338.400000000001</v>
      </c>
      <c r="K19" s="406">
        <f>ROUND(E19*J19,2)</f>
        <v>6812.57</v>
      </c>
      <c r="L19" s="406">
        <f>'FT Data'!Z5</f>
        <v>0</v>
      </c>
      <c r="M19" s="406">
        <f>'FT Data'!X5</f>
        <v>2518.8399000000004</v>
      </c>
      <c r="N19" s="256">
        <f>ROUND((G19+I19+K19+L19+M19),0)</f>
        <v>130962</v>
      </c>
    </row>
    <row r="20" spans="1:20" ht="18.75" customHeight="1" x14ac:dyDescent="0.25">
      <c r="A20" s="303">
        <v>2</v>
      </c>
      <c r="B20" s="278">
        <f>EDATE(B19,1)</f>
        <v>43525</v>
      </c>
      <c r="C20" s="278"/>
      <c r="D20" s="303" t="str">
        <f>D19</f>
        <v>2018-00403</v>
      </c>
      <c r="E20" s="421">
        <f>E19</f>
        <v>0.1648</v>
      </c>
      <c r="F20" s="418">
        <f>'FT Data'!L6</f>
        <v>100.70000000000073</v>
      </c>
      <c r="G20" s="406">
        <f>'FT Data'!M6</f>
        <v>432.98</v>
      </c>
      <c r="H20" s="418">
        <f>'FT Data'!U6</f>
        <v>0</v>
      </c>
      <c r="I20" s="406">
        <f>'FT Data'!V6</f>
        <v>0</v>
      </c>
      <c r="J20" s="407">
        <f>'FT Data'!AK6</f>
        <v>52352.700000000019</v>
      </c>
      <c r="K20" s="406">
        <f>ROUND(E20*J20,2)</f>
        <v>8627.7199999999993</v>
      </c>
      <c r="L20" s="406">
        <f>'FT Data'!Z6</f>
        <v>22884.560000000001</v>
      </c>
      <c r="M20" s="406">
        <f>'FT Data'!X6</f>
        <v>2687.2442999999998</v>
      </c>
      <c r="N20" s="256">
        <f t="shared" ref="N20:N21" si="0">ROUND((G20+I20+K20+L20+M20),0)</f>
        <v>34633</v>
      </c>
    </row>
    <row r="21" spans="1:20" ht="18.75" customHeight="1" x14ac:dyDescent="0.25">
      <c r="A21" s="303">
        <v>3</v>
      </c>
      <c r="B21" s="339">
        <f>EDATE(B20,1)</f>
        <v>43556</v>
      </c>
      <c r="C21" s="339"/>
      <c r="D21" s="294" t="str">
        <f>D19</f>
        <v>2018-00403</v>
      </c>
      <c r="E21" s="422">
        <f>E19</f>
        <v>0.1648</v>
      </c>
      <c r="F21" s="423">
        <f>'FT Data'!L7</f>
        <v>37317.699999999939</v>
      </c>
      <c r="G21" s="414">
        <f>'FT Data'!M7</f>
        <v>102367.90000000001</v>
      </c>
      <c r="H21" s="423">
        <f>'FT Data'!U7</f>
        <v>0</v>
      </c>
      <c r="I21" s="414">
        <f>'FT Data'!V7</f>
        <v>0</v>
      </c>
      <c r="J21" s="415">
        <f>'FT Data'!AK7</f>
        <v>51325.999999999993</v>
      </c>
      <c r="K21" s="414">
        <f>ROUND(E21*J21,2)</f>
        <v>8458.52</v>
      </c>
      <c r="L21" s="414">
        <f>'FT Data'!Z7</f>
        <v>0</v>
      </c>
      <c r="M21" s="414">
        <f>'FT Data'!X7</f>
        <v>2520.3883500000006</v>
      </c>
      <c r="N21" s="417">
        <f t="shared" si="0"/>
        <v>113347</v>
      </c>
    </row>
    <row r="22" spans="1:20" ht="16.5" customHeight="1" x14ac:dyDescent="0.25">
      <c r="B22" s="333"/>
      <c r="C22" s="333"/>
      <c r="D22" s="303"/>
      <c r="E22" s="303"/>
      <c r="F22" s="418"/>
      <c r="G22" s="419"/>
      <c r="H22" s="418"/>
      <c r="I22" s="420"/>
      <c r="J22" s="418"/>
      <c r="K22" s="419"/>
      <c r="L22" s="102"/>
      <c r="M22" s="293"/>
      <c r="N22" s="256"/>
    </row>
    <row r="23" spans="1:20" x14ac:dyDescent="0.25">
      <c r="A23" s="303">
        <v>4</v>
      </c>
      <c r="B23" s="303"/>
      <c r="C23" s="303"/>
      <c r="D23" s="303"/>
      <c r="E23" s="303"/>
      <c r="F23" s="418"/>
      <c r="G23" s="419"/>
      <c r="H23" s="418"/>
      <c r="I23" s="420"/>
      <c r="J23" s="418"/>
      <c r="K23" s="419"/>
      <c r="L23" s="163" t="s">
        <v>385</v>
      </c>
      <c r="M23" s="157"/>
      <c r="N23" s="256">
        <f>SUM(N19:N21)</f>
        <v>278942</v>
      </c>
    </row>
    <row r="24" spans="1:20" x14ac:dyDescent="0.25">
      <c r="B24" s="168"/>
      <c r="C24" s="168"/>
      <c r="E24" s="164"/>
      <c r="F24" s="165"/>
      <c r="G24" s="166"/>
      <c r="H24" s="165"/>
      <c r="I24" s="167"/>
      <c r="J24" s="165"/>
      <c r="K24" s="166"/>
      <c r="L24" s="40"/>
      <c r="M24" s="40"/>
      <c r="N24" s="19"/>
    </row>
    <row r="25" spans="1:20" x14ac:dyDescent="0.25">
      <c r="B25" s="168"/>
      <c r="C25" s="168"/>
      <c r="E25" s="164"/>
      <c r="F25" s="165"/>
      <c r="G25" s="166"/>
      <c r="H25" s="165"/>
      <c r="I25" s="167"/>
      <c r="K25" s="121"/>
      <c r="L25" s="121"/>
      <c r="M25" s="121"/>
      <c r="N25" s="121"/>
      <c r="O25" s="121"/>
      <c r="P25" s="121"/>
      <c r="Q25" s="121"/>
      <c r="R25" s="121"/>
      <c r="S25" s="121"/>
      <c r="T25" s="121"/>
    </row>
    <row r="26" spans="1:20" x14ac:dyDescent="0.25">
      <c r="B26" s="168"/>
      <c r="C26" s="168"/>
      <c r="E26" s="164"/>
      <c r="F26" s="165"/>
      <c r="G26" s="166"/>
      <c r="H26" s="165"/>
      <c r="I26" s="167"/>
      <c r="K26" s="121"/>
      <c r="L26" s="121"/>
      <c r="M26" s="121"/>
      <c r="N26" s="121"/>
      <c r="O26" s="121"/>
      <c r="P26" s="121"/>
      <c r="Q26" s="121"/>
      <c r="R26" s="121"/>
      <c r="S26" s="121"/>
      <c r="T26" s="121"/>
    </row>
    <row r="27" spans="1:20" x14ac:dyDescent="0.25">
      <c r="B27" s="169" t="s">
        <v>86</v>
      </c>
      <c r="C27" s="169"/>
    </row>
    <row r="28" spans="1:20" x14ac:dyDescent="0.25">
      <c r="D28" s="169" t="s">
        <v>87</v>
      </c>
      <c r="J28" s="170"/>
      <c r="K28" s="18"/>
    </row>
    <row r="29" spans="1:20" x14ac:dyDescent="0.25">
      <c r="J29" s="170"/>
      <c r="K29" s="18"/>
      <c r="N29" s="17"/>
    </row>
    <row r="30" spans="1:20" x14ac:dyDescent="0.25">
      <c r="B30" s="169" t="s">
        <v>88</v>
      </c>
      <c r="C30" s="169"/>
      <c r="J30" s="170"/>
      <c r="K30" s="18"/>
      <c r="N30" s="17"/>
    </row>
    <row r="31" spans="1:20" x14ac:dyDescent="0.25">
      <c r="D31" s="169" t="s">
        <v>89</v>
      </c>
      <c r="J31" s="170"/>
      <c r="K31" s="18"/>
      <c r="N31" s="19"/>
    </row>
    <row r="32" spans="1:20" x14ac:dyDescent="0.25">
      <c r="B32" s="169"/>
      <c r="C32" s="169"/>
      <c r="J32" s="170"/>
      <c r="K32" s="18"/>
      <c r="N32" s="19"/>
    </row>
    <row r="33" spans="2:14" x14ac:dyDescent="0.25">
      <c r="B33" s="169"/>
      <c r="C33" s="169"/>
      <c r="J33" s="170"/>
      <c r="K33" s="18"/>
      <c r="N33" s="19"/>
    </row>
    <row r="34" spans="2:14" x14ac:dyDescent="0.25">
      <c r="B34" s="169"/>
      <c r="C34" s="169"/>
      <c r="J34" s="170"/>
      <c r="K34" s="18"/>
      <c r="N34" s="19"/>
    </row>
    <row r="35" spans="2:14" x14ac:dyDescent="0.25">
      <c r="B35" s="169"/>
      <c r="C35" s="169"/>
      <c r="J35" s="170"/>
      <c r="K35" s="18"/>
      <c r="N35" s="19"/>
    </row>
    <row r="36" spans="2:14" x14ac:dyDescent="0.25">
      <c r="B36" s="169"/>
      <c r="C36" s="169"/>
      <c r="J36" s="170"/>
      <c r="K36" s="18"/>
    </row>
    <row r="37" spans="2:14" x14ac:dyDescent="0.25">
      <c r="B37" s="8"/>
      <c r="C37" s="8"/>
      <c r="D37" s="8"/>
      <c r="E37" s="8"/>
      <c r="F37" s="8"/>
      <c r="G37" s="8"/>
      <c r="H37" s="8"/>
      <c r="I37" s="8"/>
      <c r="J37" s="20"/>
      <c r="K37" s="21"/>
      <c r="L37" s="8"/>
      <c r="M37" s="8"/>
      <c r="N37" s="8"/>
    </row>
    <row r="38" spans="2:14" ht="18.75" x14ac:dyDescent="0.3">
      <c r="J38" s="20"/>
      <c r="K38" s="21"/>
      <c r="L38" s="8"/>
      <c r="M38" s="8"/>
      <c r="N38" s="16"/>
    </row>
    <row r="39" spans="2:14" ht="18.75" x14ac:dyDescent="0.3">
      <c r="B39" s="8"/>
      <c r="C39" s="8"/>
      <c r="D39" s="8"/>
      <c r="E39" s="8"/>
      <c r="F39" s="8"/>
      <c r="G39" s="8"/>
      <c r="H39" s="8"/>
      <c r="I39" s="8"/>
      <c r="J39" s="20"/>
      <c r="K39" s="21"/>
      <c r="L39" s="8"/>
      <c r="M39" s="8"/>
      <c r="N39" s="16"/>
    </row>
    <row r="40" spans="2:14" x14ac:dyDescent="0.25">
      <c r="B40" s="8"/>
      <c r="C40" s="8"/>
      <c r="D40" s="8"/>
      <c r="E40" s="8"/>
      <c r="F40" s="8"/>
      <c r="G40" s="8"/>
      <c r="H40" s="8"/>
      <c r="I40" s="8"/>
      <c r="J40" s="8"/>
      <c r="K40" s="22"/>
      <c r="L40" s="8"/>
      <c r="M40" s="8"/>
    </row>
    <row r="41" spans="2:14" x14ac:dyDescent="0.25">
      <c r="I41" s="8"/>
    </row>
    <row r="52" spans="2:14" x14ac:dyDescent="0.25">
      <c r="B52" s="8"/>
      <c r="C52" s="8"/>
      <c r="D52" s="8"/>
      <c r="E52" s="8"/>
      <c r="F52" s="8"/>
      <c r="G52" s="8"/>
      <c r="H52" s="8"/>
      <c r="I52" s="8"/>
    </row>
    <row r="58" spans="2:14" ht="18.75" x14ac:dyDescent="0.3">
      <c r="L58" s="9"/>
      <c r="M58" s="9"/>
      <c r="N58" s="9"/>
    </row>
    <row r="59" spans="2:14" ht="23.25" x14ac:dyDescent="0.35">
      <c r="L59" s="9"/>
      <c r="M59" s="9"/>
      <c r="N59" s="10"/>
    </row>
    <row r="60" spans="2:14" ht="23.25" x14ac:dyDescent="0.35">
      <c r="L60" s="9"/>
      <c r="M60" s="9"/>
      <c r="N60" s="10"/>
    </row>
    <row r="61" spans="2:14" ht="23.25" x14ac:dyDescent="0.35">
      <c r="L61" s="9"/>
      <c r="M61" s="9"/>
      <c r="N61" s="10"/>
    </row>
    <row r="62" spans="2:14" ht="23.25" x14ac:dyDescent="0.35">
      <c r="L62" s="9"/>
      <c r="M62" s="9"/>
      <c r="N62" s="10"/>
    </row>
    <row r="63" spans="2:14" ht="23.25" x14ac:dyDescent="0.35">
      <c r="L63" s="9"/>
      <c r="M63" s="9"/>
      <c r="N63" s="10"/>
    </row>
    <row r="64" spans="2:14" ht="23.25" x14ac:dyDescent="0.35">
      <c r="L64" s="9"/>
      <c r="M64" s="9"/>
      <c r="N64" s="10"/>
    </row>
    <row r="65" spans="12:14" ht="23.25" x14ac:dyDescent="0.35">
      <c r="L65" s="9"/>
      <c r="M65" s="9"/>
      <c r="N65" s="10"/>
    </row>
    <row r="66" spans="12:14" ht="23.25" x14ac:dyDescent="0.35">
      <c r="L66" s="9"/>
      <c r="M66" s="9"/>
      <c r="N66" s="10"/>
    </row>
  </sheetData>
  <mergeCells count="4">
    <mergeCell ref="B1:N1"/>
    <mergeCell ref="B2:N2"/>
    <mergeCell ref="B3:N3"/>
    <mergeCell ref="B4:N4"/>
  </mergeCells>
  <phoneticPr fontId="6" type="noConversion"/>
  <printOptions horizontalCentered="1"/>
  <pageMargins left="0.76" right="0.57999999999999996" top="0.81" bottom="0.69" header="0.54" footer="0.38"/>
  <pageSetup scale="57" orientation="landscape" r:id="rId1"/>
  <headerFooter alignWithMargins="0">
    <oddFooter>&amp;R&amp;"Times New Roman,Bold"Exhibit B-1
Page 4 of 7</oddFooter>
  </headerFooter>
  <rowBreaks count="1" manualBreakCount="1">
    <brk id="4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theme="9" tint="0.59999389629810485"/>
    <pageSetUpPr fitToPage="1"/>
  </sheetPr>
  <dimension ref="A1:S40"/>
  <sheetViews>
    <sheetView zoomScale="80" zoomScaleNormal="80" workbookViewId="0"/>
  </sheetViews>
  <sheetFormatPr defaultColWidth="9.77734375" defaultRowHeight="15.75" x14ac:dyDescent="0.25"/>
  <cols>
    <col min="1" max="1" width="5.44140625" style="5" customWidth="1"/>
    <col min="2" max="2" width="11.44140625" style="5" customWidth="1"/>
    <col min="3" max="3" width="13.33203125" style="5" customWidth="1"/>
    <col min="4" max="4" width="9.44140625" style="5" customWidth="1"/>
    <col min="5" max="5" width="12.88671875" style="5" customWidth="1"/>
    <col min="6" max="6" width="12.44140625" style="5" customWidth="1"/>
    <col min="7" max="7" width="11.5546875" style="5" customWidth="1"/>
    <col min="8" max="8" width="13.33203125" style="5" customWidth="1"/>
    <col min="9" max="9" width="17.33203125" style="5" customWidth="1"/>
    <col min="10" max="10" width="5.33203125" style="5" customWidth="1"/>
    <col min="11" max="11" width="12.88671875" style="5" customWidth="1"/>
    <col min="12" max="12" width="11.88671875" style="5" customWidth="1"/>
    <col min="13" max="13" width="15.88671875" style="5" customWidth="1"/>
    <col min="14" max="14" width="12.6640625" style="5" customWidth="1"/>
    <col min="15" max="15" width="11.6640625" style="5" customWidth="1"/>
    <col min="16" max="16" width="11.5546875" style="5" customWidth="1"/>
    <col min="17" max="17" width="13.77734375" style="5" customWidth="1"/>
    <col min="18" max="18" width="12.88671875" style="5" bestFit="1" customWidth="1"/>
    <col min="19" max="16384" width="9.77734375" style="5"/>
  </cols>
  <sheetData>
    <row r="1" spans="1:19" ht="18.75" x14ac:dyDescent="0.3">
      <c r="B1" s="604" t="s">
        <v>5</v>
      </c>
      <c r="C1" s="604"/>
      <c r="D1" s="604"/>
      <c r="E1" s="604"/>
      <c r="F1" s="604"/>
      <c r="G1" s="604"/>
      <c r="H1" s="604"/>
      <c r="I1" s="604"/>
      <c r="J1" s="24"/>
      <c r="K1" s="24"/>
      <c r="L1" s="24"/>
      <c r="M1" s="24"/>
      <c r="N1" s="24"/>
      <c r="O1" s="24"/>
      <c r="P1" s="24"/>
      <c r="Q1" s="24"/>
      <c r="R1" s="24"/>
    </row>
    <row r="2" spans="1:19" ht="18.75" x14ac:dyDescent="0.3">
      <c r="B2" s="605" t="s">
        <v>315</v>
      </c>
      <c r="C2" s="605"/>
      <c r="D2" s="605"/>
      <c r="E2" s="605"/>
      <c r="F2" s="605"/>
      <c r="G2" s="605"/>
      <c r="H2" s="605"/>
      <c r="I2" s="605"/>
    </row>
    <row r="3" spans="1:19" ht="18.75" x14ac:dyDescent="0.3">
      <c r="B3" s="605" t="str">
        <f>CONCATENATE("For Service Rendered On and After ",'Input Data'!$D$4)</f>
        <v>For Service Rendered On and After August 1, 2019</v>
      </c>
      <c r="C3" s="605"/>
      <c r="D3" s="605"/>
      <c r="E3" s="605"/>
      <c r="F3" s="605"/>
      <c r="G3" s="605"/>
      <c r="H3" s="605"/>
      <c r="I3" s="605"/>
    </row>
    <row r="4" spans="1:19" x14ac:dyDescent="0.25">
      <c r="B4" s="305"/>
      <c r="C4" s="305"/>
      <c r="D4" s="305"/>
      <c r="E4" s="305"/>
      <c r="F4" s="305"/>
      <c r="G4" s="305"/>
      <c r="H4" s="305"/>
      <c r="I4" s="305"/>
      <c r="J4" s="305"/>
      <c r="N4" s="171"/>
      <c r="O4" s="171"/>
      <c r="P4" s="171"/>
      <c r="R4" s="24"/>
    </row>
    <row r="5" spans="1:19" x14ac:dyDescent="0.25">
      <c r="B5" s="305"/>
      <c r="C5" s="305"/>
      <c r="D5" s="305"/>
      <c r="E5" s="305"/>
      <c r="F5" s="305"/>
      <c r="G5" s="305"/>
      <c r="H5" s="305"/>
      <c r="I5" s="305"/>
      <c r="J5" s="305"/>
      <c r="N5" s="171"/>
      <c r="O5" s="171"/>
      <c r="P5" s="171"/>
      <c r="R5" s="24"/>
    </row>
    <row r="6" spans="1:19" x14ac:dyDescent="0.25">
      <c r="B6" s="305"/>
      <c r="C6" s="305"/>
      <c r="D6" s="305"/>
      <c r="E6" s="305"/>
      <c r="F6" s="305"/>
      <c r="G6" s="305"/>
      <c r="H6" s="305"/>
      <c r="I6" s="305"/>
      <c r="J6" s="305"/>
      <c r="N6" s="171"/>
      <c r="O6" s="171"/>
      <c r="P6" s="171"/>
      <c r="R6" s="24"/>
    </row>
    <row r="7" spans="1:19" x14ac:dyDescent="0.25">
      <c r="B7" s="305"/>
      <c r="C7" s="305"/>
      <c r="D7" s="305"/>
      <c r="E7" s="305"/>
      <c r="F7" s="305"/>
      <c r="G7" s="305"/>
      <c r="H7" s="305"/>
      <c r="I7" s="305"/>
      <c r="J7" s="305"/>
      <c r="N7" s="171"/>
      <c r="O7" s="171"/>
      <c r="P7" s="171"/>
      <c r="R7" s="24"/>
    </row>
    <row r="8" spans="1:19" x14ac:dyDescent="0.25">
      <c r="D8" s="171"/>
      <c r="E8" s="171"/>
      <c r="F8" s="171"/>
      <c r="I8" s="24"/>
      <c r="J8" s="24"/>
      <c r="N8" s="171"/>
      <c r="O8" s="171"/>
      <c r="P8" s="171"/>
      <c r="R8" s="24"/>
    </row>
    <row r="9" spans="1:19" x14ac:dyDescent="0.25"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2"/>
      <c r="N9" s="171"/>
      <c r="O9" s="171"/>
      <c r="P9" s="171"/>
    </row>
    <row r="10" spans="1:19" x14ac:dyDescent="0.25">
      <c r="B10" s="171"/>
      <c r="C10" s="171"/>
      <c r="D10" s="171"/>
      <c r="E10" s="171"/>
      <c r="F10" s="171"/>
      <c r="G10" s="171"/>
      <c r="H10" s="171"/>
      <c r="I10" s="171"/>
      <c r="J10" s="3"/>
      <c r="K10" s="171"/>
      <c r="L10" s="171"/>
      <c r="M10" s="171"/>
      <c r="N10" s="171"/>
      <c r="O10" s="171"/>
      <c r="P10" s="171"/>
      <c r="Q10" s="171"/>
    </row>
    <row r="11" spans="1:19" ht="16.5" thickBot="1" x14ac:dyDescent="0.3">
      <c r="B11" s="603" t="s">
        <v>90</v>
      </c>
      <c r="C11" s="603"/>
      <c r="D11" s="603"/>
      <c r="E11" s="603"/>
      <c r="F11" s="603"/>
      <c r="G11" s="603"/>
      <c r="H11" s="603"/>
      <c r="I11" s="603"/>
      <c r="J11" s="3"/>
    </row>
    <row r="12" spans="1:19" x14ac:dyDescent="0.25">
      <c r="B12" s="171"/>
      <c r="C12" s="171"/>
      <c r="D12" s="171"/>
      <c r="E12" s="173" t="s">
        <v>92</v>
      </c>
      <c r="F12" s="173" t="s">
        <v>92</v>
      </c>
      <c r="G12" s="173" t="s">
        <v>93</v>
      </c>
      <c r="H12" s="171"/>
      <c r="I12" s="171"/>
      <c r="J12" s="3"/>
    </row>
    <row r="13" spans="1:19" x14ac:dyDescent="0.25">
      <c r="B13" s="171"/>
      <c r="C13" s="171"/>
      <c r="D13" s="171"/>
      <c r="E13" s="173" t="s">
        <v>94</v>
      </c>
      <c r="F13" s="173" t="s">
        <v>94</v>
      </c>
      <c r="G13" s="173" t="s">
        <v>11</v>
      </c>
      <c r="H13" s="171"/>
      <c r="I13" s="171"/>
      <c r="J13" s="3"/>
    </row>
    <row r="14" spans="1:19" x14ac:dyDescent="0.25">
      <c r="B14" s="171"/>
      <c r="C14" s="171"/>
      <c r="D14" s="171"/>
      <c r="E14" s="173" t="s">
        <v>96</v>
      </c>
      <c r="F14" s="173" t="s">
        <v>97</v>
      </c>
      <c r="G14" s="173" t="s">
        <v>98</v>
      </c>
      <c r="H14" s="173" t="s">
        <v>93</v>
      </c>
      <c r="I14" s="173" t="s">
        <v>11</v>
      </c>
      <c r="J14" s="173"/>
      <c r="K14" s="424"/>
      <c r="L14" s="424"/>
      <c r="M14" s="424"/>
      <c r="N14" s="424"/>
      <c r="O14" s="424"/>
      <c r="P14" s="424"/>
      <c r="Q14" s="424"/>
      <c r="R14" s="424"/>
      <c r="S14" s="424"/>
    </row>
    <row r="15" spans="1:19" x14ac:dyDescent="0.25">
      <c r="A15" s="303" t="s">
        <v>325</v>
      </c>
      <c r="B15" s="173" t="s">
        <v>377</v>
      </c>
      <c r="C15" s="173" t="s">
        <v>11</v>
      </c>
      <c r="D15" s="173" t="s">
        <v>94</v>
      </c>
      <c r="E15" s="173" t="s">
        <v>100</v>
      </c>
      <c r="F15" s="173" t="s">
        <v>101</v>
      </c>
      <c r="G15" s="173" t="s">
        <v>102</v>
      </c>
      <c r="H15" s="173" t="s">
        <v>103</v>
      </c>
      <c r="I15" s="173" t="s">
        <v>104</v>
      </c>
      <c r="J15" s="173"/>
      <c r="K15" s="424"/>
      <c r="L15" s="424"/>
      <c r="M15" s="424"/>
      <c r="N15" s="424"/>
      <c r="O15" s="424"/>
      <c r="P15" s="424"/>
      <c r="Q15" s="424"/>
      <c r="R15" s="424"/>
      <c r="S15" s="424"/>
    </row>
    <row r="16" spans="1:19" ht="15" customHeight="1" x14ac:dyDescent="0.25">
      <c r="A16" s="161" t="s">
        <v>326</v>
      </c>
      <c r="B16" s="425" t="s">
        <v>267</v>
      </c>
      <c r="C16" s="426" t="s">
        <v>94</v>
      </c>
      <c r="D16" s="425" t="s">
        <v>107</v>
      </c>
      <c r="E16" s="426" t="s">
        <v>108</v>
      </c>
      <c r="F16" s="426" t="s">
        <v>103</v>
      </c>
      <c r="G16" s="426" t="s">
        <v>103</v>
      </c>
      <c r="H16" s="425" t="s">
        <v>109</v>
      </c>
      <c r="I16" s="426" t="s">
        <v>468</v>
      </c>
      <c r="J16" s="174"/>
      <c r="K16" s="424"/>
      <c r="L16" s="424"/>
      <c r="M16" s="424"/>
      <c r="N16" s="424"/>
      <c r="O16" s="424"/>
      <c r="P16" s="424"/>
      <c r="Q16" s="424"/>
      <c r="R16" s="424"/>
      <c r="S16" s="424"/>
    </row>
    <row r="17" spans="1:19" ht="30" x14ac:dyDescent="0.25">
      <c r="A17" s="175"/>
      <c r="B17" s="427" t="s">
        <v>60</v>
      </c>
      <c r="C17" s="427" t="s">
        <v>61</v>
      </c>
      <c r="D17" s="427" t="s">
        <v>62</v>
      </c>
      <c r="E17" s="427" t="s">
        <v>63</v>
      </c>
      <c r="F17" s="427" t="s">
        <v>64</v>
      </c>
      <c r="G17" s="427" t="s">
        <v>65</v>
      </c>
      <c r="H17" s="427" t="s">
        <v>66</v>
      </c>
      <c r="I17" s="428" t="s">
        <v>424</v>
      </c>
      <c r="J17" s="174"/>
      <c r="K17" s="424"/>
      <c r="L17" s="424"/>
      <c r="M17" s="424"/>
      <c r="N17" s="424"/>
      <c r="O17" s="424"/>
      <c r="P17" s="424"/>
      <c r="Q17" s="424"/>
      <c r="R17" s="424"/>
      <c r="S17" s="424"/>
    </row>
    <row r="18" spans="1:19" ht="18.75" customHeight="1" x14ac:dyDescent="0.25">
      <c r="A18" s="4"/>
      <c r="B18" s="24"/>
      <c r="K18" s="424"/>
      <c r="L18" s="424"/>
      <c r="M18" s="424"/>
      <c r="N18" s="424"/>
      <c r="O18" s="424"/>
      <c r="P18" s="424"/>
      <c r="Q18" s="424"/>
      <c r="R18" s="424"/>
      <c r="S18" s="424"/>
    </row>
    <row r="19" spans="1:19" ht="18.75" customHeight="1" x14ac:dyDescent="0.25">
      <c r="A19" s="303">
        <v>1</v>
      </c>
      <c r="B19" s="429">
        <f>'Input Data'!C7</f>
        <v>43497</v>
      </c>
      <c r="C19" s="5">
        <f>1678097+658934-89625</f>
        <v>2247406</v>
      </c>
      <c r="D19" s="5">
        <v>0</v>
      </c>
      <c r="E19" s="5">
        <f>-(141+0+0+2926)</f>
        <v>-3067</v>
      </c>
      <c r="F19" s="5">
        <v>0</v>
      </c>
      <c r="G19" s="5">
        <v>2613917</v>
      </c>
      <c r="H19" s="5">
        <v>35985</v>
      </c>
      <c r="I19" s="176">
        <f>SUM(C19:H19)</f>
        <v>4894241</v>
      </c>
      <c r="J19" s="176"/>
      <c r="K19" s="424"/>
      <c r="L19" s="424"/>
      <c r="M19" s="424"/>
      <c r="N19" s="424"/>
      <c r="O19" s="424"/>
      <c r="P19" s="424"/>
      <c r="Q19" s="424"/>
      <c r="R19" s="424"/>
      <c r="S19" s="424"/>
    </row>
    <row r="20" spans="1:19" ht="18.75" customHeight="1" x14ac:dyDescent="0.25">
      <c r="A20" s="303">
        <v>2</v>
      </c>
      <c r="B20" s="429">
        <f>EDATE(B19,1)</f>
        <v>43525</v>
      </c>
      <c r="C20" s="5">
        <f>2348703+478306-184540</f>
        <v>2642469</v>
      </c>
      <c r="D20" s="5">
        <v>0</v>
      </c>
      <c r="E20" s="5">
        <f>-(345+0+0+2385)</f>
        <v>-2730</v>
      </c>
      <c r="F20" s="5">
        <v>0</v>
      </c>
      <c r="G20" s="5">
        <v>2050569</v>
      </c>
      <c r="H20" s="5">
        <v>31375</v>
      </c>
      <c r="I20" s="176">
        <f>SUM(C20:H20)</f>
        <v>4721683</v>
      </c>
      <c r="J20" s="176"/>
      <c r="K20" s="424"/>
      <c r="L20" s="424"/>
      <c r="M20" s="424"/>
      <c r="N20" s="424"/>
      <c r="O20" s="424"/>
      <c r="P20" s="424"/>
      <c r="Q20" s="424"/>
      <c r="R20" s="424"/>
      <c r="S20" s="424"/>
    </row>
    <row r="21" spans="1:19" ht="18.75" customHeight="1" x14ac:dyDescent="0.25">
      <c r="A21" s="303">
        <v>3</v>
      </c>
      <c r="B21" s="429">
        <f>EDATE(B20,1)</f>
        <v>43556</v>
      </c>
      <c r="C21" s="5">
        <f>1447030+39100-829151</f>
        <v>656979</v>
      </c>
      <c r="D21" s="5">
        <v>0</v>
      </c>
      <c r="E21" s="5">
        <f>-(929+0+0+1614)</f>
        <v>-2543</v>
      </c>
      <c r="F21" s="5">
        <v>-33648</v>
      </c>
      <c r="G21" s="5">
        <v>1070514</v>
      </c>
      <c r="H21" s="5">
        <v>27302</v>
      </c>
      <c r="I21" s="430">
        <f t="shared" ref="I21" si="0">SUM(C21:H21)</f>
        <v>1718604</v>
      </c>
      <c r="J21" s="176"/>
      <c r="K21" s="424"/>
      <c r="L21" s="424"/>
      <c r="M21" s="424"/>
      <c r="N21" s="424"/>
      <c r="O21" s="424"/>
      <c r="P21" s="424"/>
      <c r="Q21" s="424"/>
      <c r="R21" s="424"/>
      <c r="S21" s="424"/>
    </row>
    <row r="22" spans="1:19" ht="18.75" customHeight="1" x14ac:dyDescent="0.25">
      <c r="A22" s="4"/>
      <c r="B22" s="24"/>
      <c r="K22" s="424"/>
      <c r="L22" s="424"/>
      <c r="M22" s="424"/>
      <c r="N22" s="424"/>
      <c r="O22" s="424"/>
      <c r="P22" s="424"/>
      <c r="Q22" s="424"/>
      <c r="R22" s="424"/>
      <c r="S22" s="424"/>
    </row>
    <row r="23" spans="1:19" ht="18.75" customHeight="1" x14ac:dyDescent="0.25">
      <c r="A23" s="303">
        <v>4</v>
      </c>
      <c r="B23" s="24"/>
      <c r="I23" s="176">
        <f>SUM(I19:I22)</f>
        <v>11334528</v>
      </c>
      <c r="K23" s="424"/>
      <c r="L23" s="424"/>
      <c r="M23" s="424"/>
      <c r="N23" s="424"/>
      <c r="O23" s="424"/>
      <c r="P23" s="424"/>
      <c r="Q23" s="424"/>
      <c r="R23" s="424"/>
      <c r="S23" s="424"/>
    </row>
    <row r="24" spans="1:19" ht="18.75" customHeight="1" x14ac:dyDescent="0.25">
      <c r="B24" s="24"/>
      <c r="I24" s="24"/>
      <c r="J24" s="24"/>
      <c r="K24" s="424"/>
      <c r="L24" s="424"/>
      <c r="M24" s="424"/>
      <c r="N24" s="424"/>
      <c r="O24" s="424"/>
      <c r="P24" s="424"/>
      <c r="Q24" s="424"/>
      <c r="R24" s="424"/>
      <c r="S24" s="424"/>
    </row>
    <row r="25" spans="1:19" ht="18.75" customHeight="1" thickBot="1" x14ac:dyDescent="0.3">
      <c r="B25" s="603" t="s">
        <v>91</v>
      </c>
      <c r="C25" s="603"/>
      <c r="D25" s="603"/>
      <c r="E25" s="603"/>
      <c r="F25" s="603"/>
      <c r="G25" s="603"/>
      <c r="H25" s="603"/>
      <c r="I25" s="603"/>
      <c r="K25" s="424"/>
      <c r="L25" s="424"/>
      <c r="M25" s="424"/>
      <c r="N25" s="424"/>
      <c r="O25" s="424"/>
      <c r="P25" s="424"/>
      <c r="Q25" s="424"/>
      <c r="R25" s="424"/>
      <c r="S25" s="424"/>
    </row>
    <row r="26" spans="1:19" x14ac:dyDescent="0.25">
      <c r="B26" s="171"/>
      <c r="C26" s="171"/>
      <c r="D26" s="174"/>
      <c r="E26" s="173" t="s">
        <v>92</v>
      </c>
      <c r="F26" s="173" t="s">
        <v>93</v>
      </c>
      <c r="G26" s="174"/>
      <c r="H26" s="173"/>
      <c r="I26" s="173"/>
      <c r="K26" s="424"/>
      <c r="L26" s="424"/>
      <c r="M26" s="424"/>
      <c r="N26" s="424"/>
      <c r="O26" s="424"/>
      <c r="P26" s="424"/>
      <c r="Q26" s="424"/>
      <c r="R26" s="424"/>
      <c r="S26" s="424"/>
    </row>
    <row r="27" spans="1:19" x14ac:dyDescent="0.25">
      <c r="B27" s="171"/>
      <c r="C27" s="174"/>
      <c r="D27" s="173" t="s">
        <v>92</v>
      </c>
      <c r="E27" s="173" t="s">
        <v>94</v>
      </c>
      <c r="F27" s="173" t="s">
        <v>95</v>
      </c>
      <c r="G27" s="173"/>
      <c r="H27" s="173" t="s">
        <v>93</v>
      </c>
      <c r="I27" s="173"/>
      <c r="K27" s="424"/>
      <c r="L27" s="424"/>
      <c r="M27" s="424"/>
      <c r="N27" s="424"/>
      <c r="O27" s="424"/>
      <c r="P27" s="424"/>
      <c r="Q27" s="424"/>
      <c r="R27" s="424"/>
      <c r="S27" s="424"/>
    </row>
    <row r="28" spans="1:19" x14ac:dyDescent="0.25">
      <c r="B28" s="173"/>
      <c r="C28" s="173" t="s">
        <v>99</v>
      </c>
      <c r="D28" s="173" t="s">
        <v>94</v>
      </c>
      <c r="E28" s="173" t="s">
        <v>97</v>
      </c>
      <c r="F28" s="173" t="s">
        <v>98</v>
      </c>
      <c r="G28" s="173" t="s">
        <v>93</v>
      </c>
      <c r="H28" s="173" t="s">
        <v>360</v>
      </c>
      <c r="I28" s="173" t="s">
        <v>30</v>
      </c>
      <c r="K28" s="424"/>
      <c r="L28" s="424"/>
      <c r="M28" s="424"/>
      <c r="N28" s="424"/>
      <c r="O28" s="424"/>
      <c r="P28" s="424"/>
      <c r="Q28" s="424"/>
      <c r="R28" s="424"/>
      <c r="S28" s="424"/>
    </row>
    <row r="29" spans="1:19" x14ac:dyDescent="0.25">
      <c r="B29" s="173" t="s">
        <v>99</v>
      </c>
      <c r="C29" s="174" t="s">
        <v>105</v>
      </c>
      <c r="D29" s="173" t="s">
        <v>106</v>
      </c>
      <c r="E29" s="173" t="s">
        <v>101</v>
      </c>
      <c r="F29" s="173" t="s">
        <v>102</v>
      </c>
      <c r="G29" s="173" t="s">
        <v>103</v>
      </c>
      <c r="H29" s="173" t="s">
        <v>361</v>
      </c>
      <c r="I29" s="173" t="s">
        <v>67</v>
      </c>
      <c r="K29" s="424"/>
      <c r="L29" s="424"/>
      <c r="M29" s="424"/>
      <c r="N29" s="424"/>
      <c r="O29" s="424"/>
      <c r="P29" s="424"/>
      <c r="Q29" s="424"/>
      <c r="R29" s="424"/>
      <c r="S29" s="424"/>
    </row>
    <row r="30" spans="1:19" x14ac:dyDescent="0.25">
      <c r="B30" s="426" t="s">
        <v>105</v>
      </c>
      <c r="C30" s="426" t="s">
        <v>107</v>
      </c>
      <c r="D30" s="426" t="s">
        <v>467</v>
      </c>
      <c r="E30" s="426" t="s">
        <v>103</v>
      </c>
      <c r="F30" s="426" t="s">
        <v>103</v>
      </c>
      <c r="G30" s="425" t="s">
        <v>109</v>
      </c>
      <c r="H30" s="425" t="s">
        <v>362</v>
      </c>
      <c r="I30" s="426" t="s">
        <v>110</v>
      </c>
      <c r="K30" s="424"/>
      <c r="L30" s="424"/>
      <c r="M30" s="424"/>
      <c r="N30" s="424"/>
      <c r="O30" s="424"/>
      <c r="P30" s="424"/>
      <c r="Q30" s="424"/>
      <c r="R30" s="424"/>
      <c r="S30" s="424"/>
    </row>
    <row r="31" spans="1:19" ht="38.25" customHeight="1" x14ac:dyDescent="0.25">
      <c r="B31" s="427" t="s">
        <v>112</v>
      </c>
      <c r="C31" s="427" t="s">
        <v>113</v>
      </c>
      <c r="D31" s="427" t="s">
        <v>380</v>
      </c>
      <c r="E31" s="427" t="s">
        <v>370</v>
      </c>
      <c r="F31" s="427" t="s">
        <v>375</v>
      </c>
      <c r="G31" s="427" t="s">
        <v>381</v>
      </c>
      <c r="H31" s="427" t="s">
        <v>382</v>
      </c>
      <c r="I31" s="428" t="s">
        <v>425</v>
      </c>
      <c r="K31" s="424"/>
      <c r="L31" s="424"/>
      <c r="M31" s="424"/>
      <c r="N31" s="424"/>
      <c r="O31" s="424"/>
      <c r="P31" s="424"/>
      <c r="Q31" s="424"/>
      <c r="R31" s="424"/>
      <c r="S31" s="424"/>
    </row>
    <row r="32" spans="1:19" x14ac:dyDescent="0.25">
      <c r="K32" s="424"/>
      <c r="L32" s="424"/>
      <c r="M32" s="424"/>
      <c r="N32" s="424"/>
      <c r="O32" s="424"/>
      <c r="P32" s="424"/>
      <c r="Q32" s="424"/>
      <c r="R32" s="424"/>
      <c r="S32" s="424"/>
    </row>
    <row r="33" spans="1:19" x14ac:dyDescent="0.25">
      <c r="A33" s="5">
        <v>5</v>
      </c>
      <c r="B33" s="566">
        <v>9419185.3499999996</v>
      </c>
      <c r="C33" s="566">
        <v>0</v>
      </c>
      <c r="D33" s="566">
        <v>-10298.11</v>
      </c>
      <c r="E33" s="566">
        <v>0</v>
      </c>
      <c r="F33" s="566">
        <v>9201249.2300000004</v>
      </c>
      <c r="G33" s="566">
        <v>126670.8</v>
      </c>
      <c r="H33" s="566">
        <v>15371.01</v>
      </c>
      <c r="I33" s="431">
        <f>ROUND(SUM(B33:H33),0)</f>
        <v>18752178</v>
      </c>
      <c r="K33" s="424"/>
      <c r="L33" s="424"/>
      <c r="M33" s="424"/>
      <c r="N33" s="424"/>
      <c r="O33" s="424"/>
      <c r="P33" s="424"/>
      <c r="Q33" s="424"/>
      <c r="R33" s="424"/>
      <c r="S33" s="424"/>
    </row>
    <row r="34" spans="1:19" x14ac:dyDescent="0.25">
      <c r="A34" s="5">
        <v>6</v>
      </c>
      <c r="B34" s="566">
        <v>11313443.16</v>
      </c>
      <c r="C34" s="566">
        <v>0</v>
      </c>
      <c r="D34" s="566">
        <v>-8396.9699999999993</v>
      </c>
      <c r="E34" s="566">
        <v>0</v>
      </c>
      <c r="F34" s="566">
        <v>7218413</v>
      </c>
      <c r="G34" s="566">
        <v>110446.27</v>
      </c>
      <c r="H34" s="566">
        <v>-1830.96</v>
      </c>
      <c r="I34" s="431">
        <f>ROUND(SUM(B34:H34),0)</f>
        <v>18632075</v>
      </c>
      <c r="K34" s="424"/>
      <c r="L34" s="424"/>
      <c r="M34" s="424"/>
      <c r="N34" s="424"/>
      <c r="O34" s="424"/>
      <c r="P34" s="424"/>
      <c r="Q34" s="424"/>
      <c r="R34" s="424"/>
      <c r="S34" s="424"/>
    </row>
    <row r="35" spans="1:19" x14ac:dyDescent="0.25">
      <c r="A35" s="5">
        <v>7</v>
      </c>
      <c r="B35" s="566">
        <v>3361786.34</v>
      </c>
      <c r="C35" s="566">
        <v>0</v>
      </c>
      <c r="D35" s="566">
        <v>-5681.28</v>
      </c>
      <c r="E35" s="566">
        <v>-172176.82</v>
      </c>
      <c r="F35" s="566">
        <v>3781804.81</v>
      </c>
      <c r="G35" s="566">
        <v>96449.77</v>
      </c>
      <c r="H35" s="566">
        <v>39591.21</v>
      </c>
      <c r="I35" s="432">
        <f>ROUND(SUM(B35:H35),0)</f>
        <v>7101774</v>
      </c>
      <c r="K35" s="424"/>
      <c r="L35" s="424"/>
      <c r="M35" s="424"/>
      <c r="N35" s="424"/>
      <c r="O35" s="424"/>
      <c r="P35" s="424"/>
      <c r="Q35" s="424"/>
      <c r="R35" s="424"/>
      <c r="S35" s="424"/>
    </row>
    <row r="36" spans="1:19" x14ac:dyDescent="0.25">
      <c r="B36" s="74"/>
      <c r="C36" s="74"/>
      <c r="D36" s="74"/>
      <c r="E36" s="74"/>
      <c r="F36" s="74"/>
      <c r="G36" s="74"/>
      <c r="H36" s="74"/>
      <c r="I36" s="74"/>
      <c r="K36" s="424"/>
      <c r="L36" s="424"/>
      <c r="M36" s="424"/>
      <c r="N36" s="424"/>
      <c r="O36" s="424"/>
      <c r="P36" s="424"/>
      <c r="Q36" s="424"/>
      <c r="R36" s="424"/>
      <c r="S36" s="424"/>
    </row>
    <row r="37" spans="1:19" x14ac:dyDescent="0.25">
      <c r="A37" s="5">
        <v>8</v>
      </c>
      <c r="B37" s="74"/>
      <c r="C37" s="74"/>
      <c r="D37" s="74"/>
      <c r="E37" s="74"/>
      <c r="F37" s="74"/>
      <c r="G37" s="74"/>
      <c r="H37" s="433"/>
      <c r="I37" s="74">
        <f>I33+I34+I35</f>
        <v>44486027</v>
      </c>
      <c r="J37" s="74"/>
      <c r="K37" s="424"/>
      <c r="L37" s="424"/>
      <c r="M37" s="424"/>
      <c r="N37" s="424"/>
      <c r="O37" s="424"/>
      <c r="P37" s="424"/>
      <c r="Q37" s="424"/>
      <c r="R37" s="424"/>
      <c r="S37" s="424"/>
    </row>
    <row r="38" spans="1:19" x14ac:dyDescent="0.25">
      <c r="K38" s="424"/>
      <c r="L38" s="424"/>
      <c r="M38" s="424"/>
      <c r="N38" s="424"/>
      <c r="O38" s="424"/>
      <c r="P38" s="424"/>
      <c r="Q38" s="424"/>
      <c r="R38" s="424"/>
      <c r="S38" s="424"/>
    </row>
    <row r="39" spans="1:19" x14ac:dyDescent="0.25">
      <c r="K39" s="424"/>
      <c r="L39" s="424"/>
      <c r="M39" s="424"/>
      <c r="N39" s="424"/>
      <c r="O39" s="424"/>
      <c r="P39" s="424"/>
      <c r="Q39" s="424"/>
      <c r="R39" s="424"/>
      <c r="S39" s="424"/>
    </row>
    <row r="40" spans="1:19" x14ac:dyDescent="0.25">
      <c r="K40" s="424"/>
      <c r="L40" s="424"/>
      <c r="M40" s="424"/>
      <c r="N40" s="424"/>
      <c r="O40" s="424"/>
      <c r="P40" s="424"/>
      <c r="Q40" s="424"/>
      <c r="R40" s="424"/>
      <c r="S40" s="424"/>
    </row>
  </sheetData>
  <mergeCells count="5">
    <mergeCell ref="B25:I25"/>
    <mergeCell ref="B1:I1"/>
    <mergeCell ref="B2:I2"/>
    <mergeCell ref="B3:I3"/>
    <mergeCell ref="B11:I11"/>
  </mergeCells>
  <phoneticPr fontId="2" type="noConversion"/>
  <pageMargins left="0.72" right="0.78" top="1.47" bottom="1.25" header="0.64" footer="0.5"/>
  <pageSetup scale="69" orientation="portrait" r:id="rId1"/>
  <headerFooter alignWithMargins="0">
    <oddHeader>&amp;R&amp;"Times New Roman,Bold"Exhibit B-1
Page 5 of 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59999389629810485"/>
  </sheetPr>
  <dimension ref="A4"/>
  <sheetViews>
    <sheetView workbookViewId="0"/>
  </sheetViews>
  <sheetFormatPr defaultRowHeight="15.75" x14ac:dyDescent="0.25"/>
  <cols>
    <col min="1" max="16384" width="8.88671875" style="435"/>
  </cols>
  <sheetData>
    <row r="4" spans="1:1" x14ac:dyDescent="0.25">
      <c r="A4" s="435" t="s">
        <v>626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59999389629810485"/>
  </sheetPr>
  <dimension ref="A4"/>
  <sheetViews>
    <sheetView workbookViewId="0"/>
  </sheetViews>
  <sheetFormatPr defaultRowHeight="15.75" x14ac:dyDescent="0.25"/>
  <cols>
    <col min="1" max="16384" width="8.88671875" style="435"/>
  </cols>
  <sheetData>
    <row r="4" spans="1:1" x14ac:dyDescent="0.25">
      <c r="A4" s="435" t="s">
        <v>626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79998168889431442"/>
  </sheetPr>
  <dimension ref="B1:M20"/>
  <sheetViews>
    <sheetView workbookViewId="0"/>
  </sheetViews>
  <sheetFormatPr defaultColWidth="8.88671875" defaultRowHeight="15.75" x14ac:dyDescent="0.25"/>
  <cols>
    <col min="1" max="1" width="5.44140625" style="6" customWidth="1"/>
    <col min="2" max="2" width="23.109375" style="6" customWidth="1"/>
    <col min="3" max="3" width="17.5546875" style="6" customWidth="1"/>
    <col min="4" max="4" width="28.109375" style="6" customWidth="1"/>
    <col min="5" max="5" width="8.44140625" style="6" customWidth="1"/>
    <col min="6" max="6" width="12.109375" style="6" customWidth="1"/>
    <col min="7" max="16384" width="8.88671875" style="6"/>
  </cols>
  <sheetData>
    <row r="1" spans="2:13" x14ac:dyDescent="0.25">
      <c r="B1" s="6" t="s">
        <v>351</v>
      </c>
    </row>
    <row r="2" spans="2:13" x14ac:dyDescent="0.25">
      <c r="D2" s="435"/>
      <c r="E2" s="435"/>
      <c r="F2" s="435"/>
    </row>
    <row r="3" spans="2:13" x14ac:dyDescent="0.25">
      <c r="B3" s="78" t="s">
        <v>327</v>
      </c>
      <c r="C3" s="78" t="s">
        <v>371</v>
      </c>
      <c r="D3" s="78" t="s">
        <v>372</v>
      </c>
      <c r="E3" s="435"/>
      <c r="F3" s="435"/>
      <c r="G3" s="435"/>
    </row>
    <row r="4" spans="2:13" x14ac:dyDescent="0.25">
      <c r="B4" s="3" t="s">
        <v>349</v>
      </c>
      <c r="C4" s="88">
        <v>43678</v>
      </c>
      <c r="D4" s="555" t="s">
        <v>621</v>
      </c>
      <c r="E4" s="435"/>
      <c r="F4" s="435"/>
      <c r="G4" s="435"/>
    </row>
    <row r="5" spans="2:13" x14ac:dyDescent="0.25">
      <c r="B5" s="3" t="s">
        <v>350</v>
      </c>
      <c r="C5" s="88">
        <f>EOMONTH(C4,2)</f>
        <v>43769</v>
      </c>
      <c r="D5" s="555" t="s">
        <v>622</v>
      </c>
      <c r="E5" s="435"/>
      <c r="F5" s="435"/>
      <c r="G5" s="435"/>
      <c r="M5" s="7"/>
    </row>
    <row r="6" spans="2:13" x14ac:dyDescent="0.25">
      <c r="B6" s="13" t="s">
        <v>249</v>
      </c>
      <c r="C6" s="88">
        <f>EDATE(C4,-15)</f>
        <v>43221</v>
      </c>
      <c r="D6" s="3"/>
      <c r="E6" s="435"/>
      <c r="F6" s="435"/>
    </row>
    <row r="7" spans="2:13" x14ac:dyDescent="0.25">
      <c r="B7" s="13" t="s">
        <v>273</v>
      </c>
      <c r="C7" s="88">
        <f>EDATE(C4,-6)</f>
        <v>43497</v>
      </c>
      <c r="D7" s="3"/>
      <c r="E7" s="435"/>
      <c r="F7" s="435"/>
    </row>
    <row r="8" spans="2:13" x14ac:dyDescent="0.25">
      <c r="B8" s="3" t="s">
        <v>280</v>
      </c>
      <c r="C8" s="88">
        <f>C6</f>
        <v>43221</v>
      </c>
      <c r="D8" s="3"/>
      <c r="E8" s="435"/>
      <c r="F8" s="435"/>
    </row>
    <row r="9" spans="2:13" x14ac:dyDescent="0.25">
      <c r="B9" s="3" t="s">
        <v>205</v>
      </c>
      <c r="C9" s="3">
        <v>22</v>
      </c>
      <c r="E9" s="13" t="s">
        <v>615</v>
      </c>
      <c r="F9" s="435"/>
    </row>
    <row r="10" spans="2:13" x14ac:dyDescent="0.25">
      <c r="B10" s="3" t="s">
        <v>206</v>
      </c>
      <c r="C10" s="331">
        <v>43497</v>
      </c>
      <c r="D10" s="555" t="s">
        <v>617</v>
      </c>
      <c r="E10" s="13" t="s">
        <v>615</v>
      </c>
      <c r="F10" s="435"/>
    </row>
    <row r="11" spans="2:13" x14ac:dyDescent="0.25">
      <c r="B11" s="3" t="s">
        <v>356</v>
      </c>
      <c r="C11" s="331">
        <f>EDATE(C10,-12)</f>
        <v>43132</v>
      </c>
      <c r="D11" s="555" t="s">
        <v>591</v>
      </c>
      <c r="E11" s="13" t="s">
        <v>616</v>
      </c>
      <c r="F11" s="435"/>
    </row>
    <row r="12" spans="2:13" x14ac:dyDescent="0.25">
      <c r="B12" s="3" t="s">
        <v>127</v>
      </c>
      <c r="C12" s="556" t="s">
        <v>625</v>
      </c>
      <c r="E12" s="13"/>
      <c r="F12" s="435"/>
    </row>
    <row r="13" spans="2:13" x14ac:dyDescent="0.25">
      <c r="B13" s="3" t="s">
        <v>536</v>
      </c>
      <c r="C13" s="556" t="s">
        <v>619</v>
      </c>
      <c r="E13" s="13" t="s">
        <v>416</v>
      </c>
      <c r="F13" s="435"/>
    </row>
    <row r="14" spans="2:13" x14ac:dyDescent="0.25">
      <c r="B14" s="6" t="s">
        <v>352</v>
      </c>
      <c r="C14" s="114">
        <v>3.1156000000000001</v>
      </c>
      <c r="E14" s="13" t="s">
        <v>417</v>
      </c>
      <c r="F14" s="435"/>
    </row>
    <row r="15" spans="2:13" x14ac:dyDescent="0.25">
      <c r="B15" s="3" t="s">
        <v>396</v>
      </c>
      <c r="C15" s="103">
        <v>6910000</v>
      </c>
      <c r="E15" s="13" t="s">
        <v>417</v>
      </c>
      <c r="F15" s="3"/>
    </row>
    <row r="16" spans="2:13" x14ac:dyDescent="0.25">
      <c r="B16" s="3" t="s">
        <v>610</v>
      </c>
      <c r="C16" s="3">
        <v>1.0649999999999999</v>
      </c>
      <c r="D16" s="3"/>
      <c r="E16" s="3" t="s">
        <v>612</v>
      </c>
      <c r="F16" s="3"/>
    </row>
    <row r="17" spans="2:6" x14ac:dyDescent="0.25">
      <c r="B17" s="343" t="s">
        <v>613</v>
      </c>
      <c r="C17" s="3">
        <f>1-0.0254</f>
        <v>0.97460000000000002</v>
      </c>
      <c r="D17" s="343"/>
      <c r="E17" s="3" t="s">
        <v>611</v>
      </c>
      <c r="F17" s="3"/>
    </row>
    <row r="18" spans="2:6" x14ac:dyDescent="0.25">
      <c r="C18" s="3"/>
      <c r="D18" s="3"/>
      <c r="E18" s="3"/>
      <c r="F18" s="3"/>
    </row>
    <row r="19" spans="2:6" x14ac:dyDescent="0.25">
      <c r="B19" s="3"/>
      <c r="C19" s="3"/>
      <c r="D19" s="3"/>
      <c r="E19" s="3"/>
      <c r="F19" s="3"/>
    </row>
    <row r="20" spans="2:6" x14ac:dyDescent="0.25">
      <c r="B20" s="3"/>
      <c r="C20" s="3"/>
      <c r="D20" s="3"/>
      <c r="E20" s="3"/>
      <c r="F20" s="3"/>
    </row>
  </sheetData>
  <phoneticPr fontId="2" type="noConversion"/>
  <pageMargins left="0.75" right="0.75" top="1" bottom="1" header="0.5" footer="0.5"/>
  <pageSetup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theme="9" tint="0.59999389629810485"/>
    <pageSetUpPr fitToPage="1"/>
  </sheetPr>
  <dimension ref="A1:O39"/>
  <sheetViews>
    <sheetView zoomScale="80" zoomScaleNormal="80" workbookViewId="0"/>
  </sheetViews>
  <sheetFormatPr defaultColWidth="9.77734375" defaultRowHeight="18.75" x14ac:dyDescent="0.3"/>
  <cols>
    <col min="1" max="1" width="9.77734375" style="177"/>
    <col min="2" max="2" width="25.6640625" style="177" customWidth="1"/>
    <col min="3" max="3" width="27" style="177" customWidth="1"/>
    <col min="4" max="4" width="15.33203125" style="177" customWidth="1"/>
    <col min="5" max="11" width="22.33203125" style="177" customWidth="1"/>
    <col min="12" max="12" width="8.109375" style="177" customWidth="1"/>
    <col min="13" max="16384" width="9.77734375" style="177"/>
  </cols>
  <sheetData>
    <row r="1" spans="1:12" x14ac:dyDescent="0.3">
      <c r="B1" s="585" t="s">
        <v>5</v>
      </c>
      <c r="C1" s="585"/>
      <c r="D1" s="585"/>
      <c r="E1" s="178"/>
      <c r="F1" s="178"/>
      <c r="G1" s="178"/>
      <c r="H1" s="178"/>
      <c r="I1" s="178"/>
      <c r="J1" s="178"/>
      <c r="K1" s="178"/>
      <c r="L1" s="179"/>
    </row>
    <row r="2" spans="1:12" x14ac:dyDescent="0.3">
      <c r="B2" s="589" t="s">
        <v>309</v>
      </c>
      <c r="C2" s="589"/>
      <c r="D2" s="589"/>
      <c r="E2" s="178"/>
      <c r="F2" s="178"/>
      <c r="G2" s="178"/>
      <c r="H2" s="178"/>
      <c r="I2" s="178"/>
      <c r="J2" s="178"/>
      <c r="K2" s="178"/>
      <c r="L2" s="89"/>
    </row>
    <row r="3" spans="1:12" x14ac:dyDescent="0.3">
      <c r="B3" s="589" t="str">
        <f>CONCATENATE("For Service Rendered On and After ",'Input Data'!$D$4)</f>
        <v>For Service Rendered On and After August 1, 2019</v>
      </c>
      <c r="C3" s="589"/>
      <c r="D3" s="589"/>
      <c r="E3" s="178"/>
      <c r="F3" s="178"/>
      <c r="G3" s="178"/>
      <c r="H3" s="178"/>
      <c r="I3" s="178"/>
      <c r="J3" s="178"/>
      <c r="K3" s="178"/>
      <c r="L3" s="89"/>
    </row>
    <row r="4" spans="1:12" x14ac:dyDescent="0.3">
      <c r="B4" s="534"/>
      <c r="C4" s="534"/>
      <c r="D4" s="534"/>
      <c r="E4" s="178"/>
      <c r="F4" s="178"/>
      <c r="G4" s="178"/>
      <c r="H4" s="178"/>
      <c r="I4" s="178"/>
      <c r="J4" s="178"/>
      <c r="K4" s="178"/>
      <c r="L4" s="89"/>
    </row>
    <row r="5" spans="1:12" x14ac:dyDescent="0.3">
      <c r="B5" s="534"/>
      <c r="C5" s="534"/>
      <c r="D5" s="534"/>
      <c r="E5" s="178"/>
      <c r="F5" s="178"/>
      <c r="G5" s="178"/>
      <c r="H5" s="178"/>
      <c r="I5" s="178"/>
      <c r="J5" s="178"/>
      <c r="K5" s="178"/>
      <c r="L5" s="89"/>
    </row>
    <row r="6" spans="1:12" x14ac:dyDescent="0.3">
      <c r="L6" s="89"/>
    </row>
    <row r="7" spans="1:12" x14ac:dyDescent="0.3">
      <c r="A7" s="531" t="s">
        <v>325</v>
      </c>
      <c r="B7" s="3"/>
      <c r="C7" s="3"/>
      <c r="D7" s="531" t="s">
        <v>405</v>
      </c>
      <c r="L7" s="89"/>
    </row>
    <row r="8" spans="1:12" x14ac:dyDescent="0.3">
      <c r="A8" s="536" t="s">
        <v>326</v>
      </c>
      <c r="B8" s="606" t="s">
        <v>327</v>
      </c>
      <c r="C8" s="606"/>
      <c r="D8" s="536" t="s">
        <v>306</v>
      </c>
      <c r="L8" s="89"/>
    </row>
    <row r="9" spans="1:12" ht="21.95" customHeight="1" x14ac:dyDescent="0.3">
      <c r="A9" s="531">
        <v>1</v>
      </c>
      <c r="B9" s="3" t="s">
        <v>409</v>
      </c>
      <c r="C9" s="3"/>
      <c r="D9" s="273">
        <f>'Ex C-1 2 of 3'!G29</f>
        <v>1586</v>
      </c>
      <c r="L9" s="89"/>
    </row>
    <row r="10" spans="1:12" ht="21.95" customHeight="1" x14ac:dyDescent="0.3">
      <c r="A10" s="531">
        <v>2</v>
      </c>
      <c r="B10" s="3" t="s">
        <v>410</v>
      </c>
      <c r="C10" s="3"/>
      <c r="D10" s="273">
        <f>'Ex C-1 3 of 3'!G27</f>
        <v>-4103</v>
      </c>
      <c r="L10" s="89"/>
    </row>
    <row r="11" spans="1:12" ht="21.95" customHeight="1" x14ac:dyDescent="0.3">
      <c r="A11" s="531">
        <v>3</v>
      </c>
      <c r="B11" s="3" t="s">
        <v>411</v>
      </c>
      <c r="C11" s="3"/>
      <c r="D11" s="273">
        <f>'Ex D-1 2 of 2'!G31</f>
        <v>0</v>
      </c>
      <c r="L11" s="89"/>
    </row>
    <row r="12" spans="1:12" ht="21.95" customHeight="1" x14ac:dyDescent="0.3">
      <c r="A12" s="531">
        <v>4</v>
      </c>
      <c r="B12" s="3" t="s">
        <v>412</v>
      </c>
      <c r="C12" s="3"/>
      <c r="D12" s="567">
        <v>6642.7400000000489</v>
      </c>
      <c r="L12" s="89"/>
    </row>
    <row r="13" spans="1:12" ht="21.95" customHeight="1" x14ac:dyDescent="0.3">
      <c r="A13" s="531">
        <v>5</v>
      </c>
      <c r="B13" s="3" t="s">
        <v>310</v>
      </c>
      <c r="C13" s="3"/>
      <c r="D13" s="295">
        <f>SUM(D9:D12)</f>
        <v>4125.7400000000489</v>
      </c>
      <c r="L13" s="89"/>
    </row>
    <row r="14" spans="1:12" ht="21.95" customHeight="1" x14ac:dyDescent="0.3">
      <c r="A14" s="531"/>
      <c r="B14" s="3"/>
      <c r="C14" s="3"/>
      <c r="D14" s="3"/>
    </row>
    <row r="15" spans="1:12" ht="21.95" customHeight="1" x14ac:dyDescent="0.3">
      <c r="A15" s="531">
        <v>6</v>
      </c>
      <c r="B15" s="3" t="s">
        <v>413</v>
      </c>
      <c r="C15" s="3"/>
      <c r="D15" s="308">
        <f>'Ex A 1 of 2'!F74</f>
        <v>2877640.0202000001</v>
      </c>
    </row>
    <row r="16" spans="1:12" ht="21.95" customHeight="1" x14ac:dyDescent="0.3">
      <c r="A16" s="531"/>
      <c r="B16" s="3"/>
      <c r="C16" s="3"/>
      <c r="D16" s="3"/>
    </row>
    <row r="17" spans="1:15" ht="21.95" customHeight="1" x14ac:dyDescent="0.3">
      <c r="A17" s="531">
        <v>7</v>
      </c>
      <c r="B17" s="3" t="s">
        <v>311</v>
      </c>
      <c r="C17" s="3"/>
      <c r="D17" s="191">
        <f>ROUND(D13/D15,4)</f>
        <v>1.4E-3</v>
      </c>
    </row>
    <row r="18" spans="1:15" ht="21.95" customHeight="1" x14ac:dyDescent="0.3">
      <c r="A18" s="531"/>
      <c r="B18" s="3"/>
      <c r="C18" s="3"/>
      <c r="D18" s="3"/>
    </row>
    <row r="19" spans="1:15" ht="21.95" customHeight="1" x14ac:dyDescent="0.3">
      <c r="A19" s="531">
        <v>8</v>
      </c>
      <c r="B19" s="3" t="s">
        <v>312</v>
      </c>
      <c r="C19" s="3"/>
      <c r="D19" s="274">
        <f>ROUND(D17/10,5)</f>
        <v>1.3999999999999999E-4</v>
      </c>
    </row>
    <row r="20" spans="1:15" ht="21.95" customHeight="1" x14ac:dyDescent="0.3">
      <c r="A20" s="3"/>
      <c r="B20" s="3"/>
      <c r="C20" s="3"/>
      <c r="D20" s="3"/>
    </row>
    <row r="21" spans="1:15" x14ac:dyDescent="0.3">
      <c r="A21" s="3"/>
      <c r="B21" s="3"/>
      <c r="C21" s="3"/>
      <c r="D21" s="3"/>
    </row>
    <row r="22" spans="1:15" x14ac:dyDescent="0.3">
      <c r="A22" s="3"/>
      <c r="B22" s="3"/>
      <c r="C22" s="3"/>
      <c r="D22" s="3"/>
    </row>
    <row r="23" spans="1:15" x14ac:dyDescent="0.3">
      <c r="A23" s="3"/>
      <c r="B23" s="275"/>
      <c r="C23" s="55"/>
      <c r="D23" s="55"/>
      <c r="E23" s="180"/>
    </row>
    <row r="24" spans="1:15" x14ac:dyDescent="0.3">
      <c r="A24" s="3"/>
      <c r="B24" s="275"/>
      <c r="C24" s="55"/>
      <c r="D24" s="55"/>
      <c r="F24" s="49"/>
    </row>
    <row r="25" spans="1:15" ht="19.5" x14ac:dyDescent="0.3">
      <c r="A25" s="276">
        <v>1</v>
      </c>
      <c r="B25" s="13" t="s">
        <v>115</v>
      </c>
      <c r="C25" s="3"/>
      <c r="D25" s="3"/>
    </row>
    <row r="26" spans="1:15" ht="19.5" x14ac:dyDescent="0.3">
      <c r="A26" s="276">
        <v>2</v>
      </c>
      <c r="B26" s="13" t="s">
        <v>308</v>
      </c>
      <c r="C26" s="3"/>
      <c r="D26" s="3"/>
    </row>
    <row r="27" spans="1:15" ht="19.5" x14ac:dyDescent="0.3">
      <c r="A27" s="276">
        <v>3</v>
      </c>
      <c r="B27" s="13" t="s">
        <v>614</v>
      </c>
      <c r="C27" s="3"/>
      <c r="D27" s="3"/>
    </row>
    <row r="28" spans="1:15" ht="19.5" x14ac:dyDescent="0.3">
      <c r="A28" s="276">
        <v>4</v>
      </c>
      <c r="B28" s="13" t="s">
        <v>438</v>
      </c>
      <c r="C28" s="3"/>
      <c r="D28" s="3"/>
    </row>
    <row r="29" spans="1:15" ht="19.5" x14ac:dyDescent="0.3">
      <c r="A29" s="276">
        <v>5</v>
      </c>
      <c r="B29" s="13" t="s">
        <v>408</v>
      </c>
      <c r="C29" s="3"/>
      <c r="D29" s="3"/>
      <c r="G29" s="49"/>
      <c r="H29" s="49"/>
      <c r="J29" s="180"/>
      <c r="N29" s="568"/>
      <c r="O29" s="181"/>
    </row>
    <row r="30" spans="1:15" x14ac:dyDescent="0.3">
      <c r="A30" s="3"/>
      <c r="B30" s="3"/>
      <c r="C30" s="3"/>
      <c r="D30" s="3"/>
      <c r="N30" s="568"/>
      <c r="O30" s="181"/>
    </row>
    <row r="31" spans="1:15" hidden="1" x14ac:dyDescent="0.3">
      <c r="A31" s="3"/>
      <c r="B31" s="3"/>
      <c r="C31" s="3"/>
      <c r="D31" s="3"/>
      <c r="K31" s="182"/>
    </row>
    <row r="32" spans="1:15" hidden="1" x14ac:dyDescent="0.3">
      <c r="A32" s="3"/>
      <c r="B32" s="3"/>
      <c r="C32" s="3"/>
      <c r="D32" s="3"/>
    </row>
    <row r="33" spans="1:11" ht="19.5" hidden="1" x14ac:dyDescent="0.3">
      <c r="A33" s="276"/>
      <c r="B33" s="3"/>
      <c r="C33" s="3"/>
      <c r="D33" s="3"/>
    </row>
    <row r="34" spans="1:11" x14ac:dyDescent="0.3">
      <c r="K34" s="183"/>
    </row>
    <row r="38" spans="1:11" ht="14.25" customHeight="1" x14ac:dyDescent="0.3"/>
    <row r="39" spans="1:11" ht="14.25" customHeight="1" x14ac:dyDescent="0.3"/>
  </sheetData>
  <mergeCells count="4">
    <mergeCell ref="B1:D1"/>
    <mergeCell ref="B2:D2"/>
    <mergeCell ref="B8:C8"/>
    <mergeCell ref="B3:D3"/>
  </mergeCells>
  <phoneticPr fontId="2" type="noConversion"/>
  <printOptions horizontalCentered="1"/>
  <pageMargins left="0.73" right="0.67" top="1.72" bottom="1.25" header="0.5" footer="0.5"/>
  <pageSetup scale="97" orientation="portrait" r:id="rId1"/>
  <headerFooter alignWithMargins="0">
    <oddHeader>&amp;R&amp;"Times New Roman,Bold"Exhibit C-1
Page 1 of 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59999389629810485"/>
    <pageSetUpPr fitToPage="1"/>
  </sheetPr>
  <dimension ref="A1:P40"/>
  <sheetViews>
    <sheetView zoomScale="80" zoomScaleNormal="80" workbookViewId="0"/>
  </sheetViews>
  <sheetFormatPr defaultColWidth="9.77734375" defaultRowHeight="15.75" x14ac:dyDescent="0.25"/>
  <cols>
    <col min="1" max="1" width="5.88671875" style="3" customWidth="1"/>
    <col min="2" max="2" width="12.6640625" style="3" customWidth="1"/>
    <col min="3" max="3" width="15.44140625" style="3" customWidth="1"/>
    <col min="4" max="4" width="14.44140625" style="3" customWidth="1"/>
    <col min="5" max="5" width="13.5546875" style="3" customWidth="1"/>
    <col min="6" max="6" width="14" style="3" customWidth="1"/>
    <col min="7" max="7" width="14.5546875" style="3" customWidth="1"/>
    <col min="8" max="8" width="18.109375" style="3" customWidth="1"/>
    <col min="9" max="12" width="11.109375" style="3" customWidth="1"/>
    <col min="13" max="13" width="10.21875" style="3" customWidth="1"/>
    <col min="14" max="14" width="17.6640625" style="80" customWidth="1"/>
    <col min="15" max="15" width="13.6640625" style="3" customWidth="1"/>
    <col min="16" max="16" width="16.88671875" style="3" customWidth="1"/>
    <col min="17" max="16384" width="9.77734375" style="3"/>
  </cols>
  <sheetData>
    <row r="1" spans="1:16" ht="18.75" x14ac:dyDescent="0.3">
      <c r="B1" s="585" t="s">
        <v>5</v>
      </c>
      <c r="C1" s="585"/>
      <c r="D1" s="585"/>
      <c r="E1" s="585"/>
      <c r="F1" s="585"/>
      <c r="G1" s="585"/>
      <c r="H1" s="585"/>
    </row>
    <row r="2" spans="1:16" ht="18.75" x14ac:dyDescent="0.3">
      <c r="B2" s="589" t="s">
        <v>406</v>
      </c>
      <c r="C2" s="589"/>
      <c r="D2" s="589"/>
      <c r="E2" s="589"/>
      <c r="F2" s="589"/>
      <c r="G2" s="589"/>
      <c r="H2" s="589"/>
    </row>
    <row r="3" spans="1:16" ht="18.75" x14ac:dyDescent="0.3">
      <c r="B3" s="589" t="str">
        <f>CONCATENATE("For Service Rendered On and After ",'Input Data'!$D$4)</f>
        <v>For Service Rendered On and After August 1, 2019</v>
      </c>
      <c r="C3" s="589"/>
      <c r="D3" s="589"/>
      <c r="E3" s="589"/>
      <c r="F3" s="589"/>
      <c r="G3" s="589"/>
      <c r="H3" s="589"/>
      <c r="I3" s="105"/>
      <c r="J3" s="105"/>
      <c r="K3" s="105"/>
      <c r="L3" s="105"/>
      <c r="M3" s="105"/>
    </row>
    <row r="4" spans="1:16" ht="18.75" x14ac:dyDescent="0.3">
      <c r="A4" s="535"/>
      <c r="B4" s="535"/>
      <c r="C4" s="535"/>
      <c r="D4" s="535"/>
      <c r="E4" s="535"/>
      <c r="F4" s="535"/>
      <c r="G4" s="535"/>
      <c r="H4" s="535"/>
    </row>
    <row r="5" spans="1:16" x14ac:dyDescent="0.25">
      <c r="B5" s="13" t="s">
        <v>357</v>
      </c>
      <c r="C5" s="13" t="str">
        <f>VLOOKUP(B13,'Case Database'!$A$2:$D$200,4,FALSE)</f>
        <v>2017-00364</v>
      </c>
    </row>
    <row r="7" spans="1:16" x14ac:dyDescent="0.25">
      <c r="I7" s="186"/>
      <c r="J7" s="186"/>
      <c r="K7" s="186"/>
      <c r="L7" s="186"/>
      <c r="M7" s="186"/>
      <c r="N7" s="187"/>
    </row>
    <row r="8" spans="1:16" ht="47.25" x14ac:dyDescent="0.25">
      <c r="A8" s="537" t="s">
        <v>250</v>
      </c>
      <c r="B8" s="434" t="s">
        <v>353</v>
      </c>
      <c r="C8" s="184" t="s">
        <v>314</v>
      </c>
      <c r="D8" s="537" t="s">
        <v>374</v>
      </c>
      <c r="E8" s="111" t="s">
        <v>277</v>
      </c>
      <c r="F8" s="185" t="s">
        <v>276</v>
      </c>
      <c r="G8" s="185" t="s">
        <v>358</v>
      </c>
      <c r="H8" s="185" t="s">
        <v>275</v>
      </c>
      <c r="I8" s="186"/>
      <c r="J8" s="435"/>
      <c r="K8" s="435"/>
      <c r="L8" s="435"/>
      <c r="M8" s="435"/>
      <c r="N8" s="435"/>
      <c r="O8" s="435"/>
      <c r="P8" s="435"/>
    </row>
    <row r="9" spans="1:16" ht="18" customHeight="1" x14ac:dyDescent="0.25">
      <c r="A9" s="531"/>
      <c r="B9" s="188" t="s">
        <v>60</v>
      </c>
      <c r="C9" s="188" t="s">
        <v>61</v>
      </c>
      <c r="D9" s="188" t="s">
        <v>62</v>
      </c>
      <c r="E9" s="188" t="s">
        <v>63</v>
      </c>
      <c r="F9" s="188" t="s">
        <v>64</v>
      </c>
      <c r="G9" s="188" t="s">
        <v>473</v>
      </c>
      <c r="H9" s="188" t="s">
        <v>332</v>
      </c>
      <c r="I9" s="186"/>
      <c r="J9" s="435"/>
      <c r="K9" s="435"/>
      <c r="L9" s="435"/>
      <c r="M9" s="435"/>
      <c r="N9" s="435"/>
      <c r="O9" s="435"/>
      <c r="P9" s="435"/>
    </row>
    <row r="10" spans="1:16" x14ac:dyDescent="0.25">
      <c r="A10" s="531"/>
      <c r="B10" s="120"/>
      <c r="C10" s="120"/>
      <c r="D10" s="120"/>
      <c r="E10" s="103"/>
      <c r="G10" s="189"/>
      <c r="H10" s="189"/>
      <c r="I10" s="186"/>
      <c r="J10" s="435"/>
      <c r="K10" s="435"/>
      <c r="L10" s="435"/>
      <c r="M10" s="435"/>
      <c r="N10" s="435"/>
      <c r="O10" s="435"/>
      <c r="P10" s="435"/>
    </row>
    <row r="11" spans="1:16" ht="18" customHeight="1" x14ac:dyDescent="0.25">
      <c r="A11" s="531">
        <v>1</v>
      </c>
      <c r="E11" s="103"/>
      <c r="G11" s="157" t="s">
        <v>274</v>
      </c>
      <c r="H11" s="85">
        <v>-105866.98000000045</v>
      </c>
      <c r="I11" s="186"/>
      <c r="J11" s="435"/>
      <c r="K11" s="435"/>
      <c r="L11" s="435"/>
      <c r="M11" s="435"/>
      <c r="N11" s="435"/>
      <c r="O11" s="435"/>
      <c r="P11" s="435"/>
    </row>
    <row r="12" spans="1:16" x14ac:dyDescent="0.25">
      <c r="A12" s="531"/>
      <c r="E12" s="103"/>
      <c r="G12" s="85"/>
      <c r="H12" s="85"/>
      <c r="I12" s="186"/>
      <c r="J12" s="435"/>
      <c r="K12" s="435"/>
      <c r="L12" s="435"/>
      <c r="M12" s="435"/>
      <c r="N12" s="435"/>
      <c r="O12" s="435"/>
      <c r="P12" s="435"/>
    </row>
    <row r="13" spans="1:16" x14ac:dyDescent="0.25">
      <c r="A13" s="531">
        <v>2</v>
      </c>
      <c r="B13" s="120">
        <f>'Input Data'!C6</f>
        <v>43221</v>
      </c>
      <c r="C13" s="190" t="s">
        <v>369</v>
      </c>
      <c r="D13" s="332">
        <f>VLOOKUP(B13,'Sales Volumes'!$A$1:$H$100,2,FALSE)</f>
        <v>1717818.4</v>
      </c>
      <c r="E13" s="332">
        <f>VLOOKUP(B13,'Sales Volumes'!$A$1:$H$100,4,FALSE)</f>
        <v>718606.2</v>
      </c>
      <c r="F13" s="191">
        <v>-3.3999999999999998E-3</v>
      </c>
      <c r="G13" s="85">
        <f t="shared" ref="G13:G25" si="0">ROUND(E13*F13,0)</f>
        <v>-2443</v>
      </c>
      <c r="H13" s="85">
        <f>+H11-G13</f>
        <v>-103423.98000000045</v>
      </c>
      <c r="I13" s="186"/>
      <c r="J13" s="435"/>
      <c r="K13" s="435"/>
      <c r="L13" s="435"/>
      <c r="M13" s="435"/>
      <c r="N13" s="435"/>
      <c r="O13" s="435"/>
      <c r="P13" s="435"/>
    </row>
    <row r="14" spans="1:16" x14ac:dyDescent="0.25">
      <c r="A14" s="531">
        <v>3</v>
      </c>
      <c r="B14" s="120">
        <f>EDATE(B13,1)</f>
        <v>43252</v>
      </c>
      <c r="C14" s="190"/>
      <c r="D14" s="332">
        <f>VLOOKUP(B14,'Sales Volumes'!$A$1:$H$100,2,FALSE)</f>
        <v>804407.9</v>
      </c>
      <c r="E14" s="332">
        <f>D14</f>
        <v>804407.9</v>
      </c>
      <c r="F14" s="191">
        <f t="shared" ref="F14:F25" si="1">$F$13</f>
        <v>-3.3999999999999998E-3</v>
      </c>
      <c r="G14" s="85">
        <f t="shared" si="0"/>
        <v>-2735</v>
      </c>
      <c r="H14" s="85">
        <f t="shared" ref="H14:H25" si="2">+H13-G14</f>
        <v>-100688.98000000045</v>
      </c>
      <c r="I14" s="186"/>
      <c r="J14" s="435"/>
      <c r="K14" s="435"/>
      <c r="L14" s="435"/>
      <c r="M14" s="435"/>
      <c r="N14" s="435"/>
      <c r="O14" s="435"/>
      <c r="P14" s="435"/>
    </row>
    <row r="15" spans="1:16" x14ac:dyDescent="0.25">
      <c r="A15" s="531">
        <v>4</v>
      </c>
      <c r="B15" s="120">
        <f t="shared" ref="B15:B25" si="3">EDATE(B14,1)</f>
        <v>43282</v>
      </c>
      <c r="C15" s="190"/>
      <c r="D15" s="332">
        <f>VLOOKUP(B15,'Sales Volumes'!$A$1:$H$100,2,FALSE)</f>
        <v>711177.6</v>
      </c>
      <c r="E15" s="332">
        <f t="shared" ref="E15:E24" si="4">D15</f>
        <v>711177.6</v>
      </c>
      <c r="F15" s="191">
        <f t="shared" si="1"/>
        <v>-3.3999999999999998E-3</v>
      </c>
      <c r="G15" s="85">
        <f t="shared" si="0"/>
        <v>-2418</v>
      </c>
      <c r="H15" s="85">
        <f t="shared" si="2"/>
        <v>-98270.980000000447</v>
      </c>
      <c r="I15" s="186"/>
      <c r="J15" s="435"/>
      <c r="K15" s="435"/>
      <c r="L15" s="435"/>
      <c r="M15" s="435"/>
      <c r="N15" s="435"/>
      <c r="O15" s="435"/>
      <c r="P15" s="435"/>
    </row>
    <row r="16" spans="1:16" x14ac:dyDescent="0.25">
      <c r="A16" s="531">
        <v>5</v>
      </c>
      <c r="B16" s="120">
        <f t="shared" si="3"/>
        <v>43313</v>
      </c>
      <c r="C16" s="190"/>
      <c r="D16" s="332">
        <f>VLOOKUP(B16,'Sales Volumes'!$A$1:$H$100,2,FALSE)</f>
        <v>685611.4</v>
      </c>
      <c r="E16" s="332">
        <f t="shared" si="4"/>
        <v>685611.4</v>
      </c>
      <c r="F16" s="191">
        <f t="shared" si="1"/>
        <v>-3.3999999999999998E-3</v>
      </c>
      <c r="G16" s="85">
        <f t="shared" si="0"/>
        <v>-2331</v>
      </c>
      <c r="H16" s="85">
        <f t="shared" si="2"/>
        <v>-95939.980000000447</v>
      </c>
      <c r="I16" s="186"/>
      <c r="J16" s="435"/>
      <c r="K16" s="435"/>
      <c r="L16" s="435"/>
      <c r="M16" s="435"/>
      <c r="N16" s="435"/>
      <c r="O16" s="435"/>
      <c r="P16" s="435"/>
    </row>
    <row r="17" spans="1:16" x14ac:dyDescent="0.25">
      <c r="A17" s="531">
        <v>6</v>
      </c>
      <c r="B17" s="120">
        <f t="shared" si="3"/>
        <v>43344</v>
      </c>
      <c r="C17" s="190"/>
      <c r="D17" s="332">
        <f>VLOOKUP(B17,'Sales Volumes'!$A$1:$H$100,2,FALSE)</f>
        <v>715644</v>
      </c>
      <c r="E17" s="332">
        <f t="shared" si="4"/>
        <v>715644</v>
      </c>
      <c r="F17" s="191">
        <f t="shared" si="1"/>
        <v>-3.3999999999999998E-3</v>
      </c>
      <c r="G17" s="85">
        <f t="shared" si="0"/>
        <v>-2433</v>
      </c>
      <c r="H17" s="85">
        <f t="shared" si="2"/>
        <v>-93506.980000000447</v>
      </c>
      <c r="I17" s="186"/>
      <c r="J17" s="435"/>
      <c r="K17" s="435"/>
      <c r="L17" s="435"/>
      <c r="M17" s="435"/>
      <c r="N17" s="435"/>
      <c r="O17" s="435"/>
      <c r="P17" s="435"/>
    </row>
    <row r="18" spans="1:16" x14ac:dyDescent="0.25">
      <c r="A18" s="531">
        <v>7</v>
      </c>
      <c r="B18" s="120">
        <f t="shared" si="3"/>
        <v>43374</v>
      </c>
      <c r="C18" s="190"/>
      <c r="D18" s="332">
        <f>VLOOKUP(B18,'Sales Volumes'!$A$1:$H$100,2,FALSE)</f>
        <v>1074864.5999999999</v>
      </c>
      <c r="E18" s="332">
        <f t="shared" si="4"/>
        <v>1074864.5999999999</v>
      </c>
      <c r="F18" s="191">
        <f t="shared" si="1"/>
        <v>-3.3999999999999998E-3</v>
      </c>
      <c r="G18" s="85">
        <f t="shared" si="0"/>
        <v>-3655</v>
      </c>
      <c r="H18" s="85">
        <f t="shared" si="2"/>
        <v>-89851.980000000447</v>
      </c>
      <c r="I18" s="186"/>
      <c r="J18" s="435"/>
      <c r="K18" s="435"/>
      <c r="L18" s="435"/>
      <c r="M18" s="435"/>
      <c r="N18" s="435"/>
      <c r="O18" s="435"/>
      <c r="P18" s="435"/>
    </row>
    <row r="19" spans="1:16" x14ac:dyDescent="0.25">
      <c r="A19" s="531">
        <v>8</v>
      </c>
      <c r="B19" s="120">
        <f t="shared" si="3"/>
        <v>43405</v>
      </c>
      <c r="C19" s="190"/>
      <c r="D19" s="332">
        <f>VLOOKUP(B19,'Sales Volumes'!$A$1:$H$100,2,FALSE)</f>
        <v>2736023.9</v>
      </c>
      <c r="E19" s="332">
        <f t="shared" si="4"/>
        <v>2736023.9</v>
      </c>
      <c r="F19" s="191">
        <f t="shared" si="1"/>
        <v>-3.3999999999999998E-3</v>
      </c>
      <c r="G19" s="85">
        <f t="shared" si="0"/>
        <v>-9302</v>
      </c>
      <c r="H19" s="85">
        <f t="shared" si="2"/>
        <v>-80549.980000000447</v>
      </c>
      <c r="I19" s="186"/>
      <c r="J19" s="435"/>
      <c r="K19" s="435"/>
      <c r="L19" s="435"/>
      <c r="M19" s="435"/>
      <c r="N19" s="435"/>
      <c r="O19" s="435"/>
      <c r="P19" s="435"/>
    </row>
    <row r="20" spans="1:16" x14ac:dyDescent="0.25">
      <c r="A20" s="531">
        <v>9</v>
      </c>
      <c r="B20" s="120">
        <f t="shared" si="3"/>
        <v>43435</v>
      </c>
      <c r="C20" s="190"/>
      <c r="D20" s="332">
        <f>VLOOKUP(B20,'Sales Volumes'!$A$1:$H$100,2,FALSE)</f>
        <v>4747676.1000000006</v>
      </c>
      <c r="E20" s="332">
        <f t="shared" si="4"/>
        <v>4747676.1000000006</v>
      </c>
      <c r="F20" s="191">
        <f t="shared" si="1"/>
        <v>-3.3999999999999998E-3</v>
      </c>
      <c r="G20" s="85">
        <f t="shared" si="0"/>
        <v>-16142</v>
      </c>
      <c r="H20" s="85">
        <f t="shared" si="2"/>
        <v>-64407.980000000447</v>
      </c>
      <c r="I20" s="186"/>
      <c r="J20" s="435"/>
      <c r="K20" s="435"/>
      <c r="L20" s="435"/>
      <c r="M20" s="435"/>
      <c r="N20" s="435"/>
    </row>
    <row r="21" spans="1:16" x14ac:dyDescent="0.25">
      <c r="A21" s="531">
        <v>10</v>
      </c>
      <c r="B21" s="120">
        <f t="shared" si="3"/>
        <v>43466</v>
      </c>
      <c r="C21" s="190"/>
      <c r="D21" s="332">
        <f>VLOOKUP(B21,'Sales Volumes'!$A$1:$H$100,2,FALSE)</f>
        <v>5209144.6000000006</v>
      </c>
      <c r="E21" s="332">
        <f t="shared" si="4"/>
        <v>5209144.6000000006</v>
      </c>
      <c r="F21" s="191">
        <f t="shared" si="1"/>
        <v>-3.3999999999999998E-3</v>
      </c>
      <c r="G21" s="85">
        <f>ROUND(E21*F21,0)</f>
        <v>-17711</v>
      </c>
      <c r="H21" s="85">
        <f t="shared" si="2"/>
        <v>-46696.980000000447</v>
      </c>
      <c r="I21" s="186"/>
      <c r="J21" s="435"/>
      <c r="K21" s="435"/>
      <c r="L21" s="435"/>
      <c r="M21" s="435"/>
      <c r="N21" s="435"/>
    </row>
    <row r="22" spans="1:16" x14ac:dyDescent="0.25">
      <c r="A22" s="531">
        <v>11</v>
      </c>
      <c r="B22" s="120">
        <f t="shared" si="3"/>
        <v>43497</v>
      </c>
      <c r="C22" s="190"/>
      <c r="D22" s="332">
        <f>VLOOKUP(B22,'Sales Volumes'!$A$1:$H$100,2,FALSE)</f>
        <v>5879594.9000000004</v>
      </c>
      <c r="E22" s="332">
        <f t="shared" si="4"/>
        <v>5879594.9000000004</v>
      </c>
      <c r="F22" s="191">
        <f t="shared" si="1"/>
        <v>-3.3999999999999998E-3</v>
      </c>
      <c r="G22" s="85">
        <f t="shared" si="0"/>
        <v>-19991</v>
      </c>
      <c r="H22" s="85">
        <f t="shared" si="2"/>
        <v>-26705.980000000447</v>
      </c>
      <c r="I22" s="186"/>
      <c r="J22" s="435"/>
      <c r="K22" s="435"/>
      <c r="L22" s="435"/>
      <c r="M22" s="435"/>
      <c r="N22" s="435"/>
    </row>
    <row r="23" spans="1:16" x14ac:dyDescent="0.25">
      <c r="A23" s="531">
        <v>12</v>
      </c>
      <c r="B23" s="120">
        <f t="shared" si="3"/>
        <v>43525</v>
      </c>
      <c r="C23" s="190"/>
      <c r="D23" s="332">
        <f>VLOOKUP(B23,'Sales Volumes'!$A$1:$H$100,2,FALSE)</f>
        <v>4866844.2</v>
      </c>
      <c r="E23" s="332">
        <f t="shared" si="4"/>
        <v>4866844.2</v>
      </c>
      <c r="F23" s="191">
        <f t="shared" si="1"/>
        <v>-3.3999999999999998E-3</v>
      </c>
      <c r="G23" s="85">
        <f t="shared" si="0"/>
        <v>-16547</v>
      </c>
      <c r="H23" s="85">
        <f t="shared" si="2"/>
        <v>-10158.980000000447</v>
      </c>
      <c r="I23" s="186"/>
      <c r="J23" s="435"/>
      <c r="K23" s="435"/>
      <c r="L23" s="435"/>
      <c r="M23" s="435"/>
      <c r="N23" s="435"/>
    </row>
    <row r="24" spans="1:16" x14ac:dyDescent="0.25">
      <c r="A24" s="531">
        <v>13</v>
      </c>
      <c r="B24" s="120">
        <f t="shared" si="3"/>
        <v>43556</v>
      </c>
      <c r="C24" s="190"/>
      <c r="D24" s="332">
        <f>VLOOKUP(B24,'Sales Volumes'!$A$1:$H$100,2,FALSE)</f>
        <v>2742152.5</v>
      </c>
      <c r="E24" s="332">
        <f t="shared" si="4"/>
        <v>2742152.5</v>
      </c>
      <c r="F24" s="191">
        <f t="shared" si="1"/>
        <v>-3.3999999999999998E-3</v>
      </c>
      <c r="G24" s="85">
        <f t="shared" si="0"/>
        <v>-9323</v>
      </c>
      <c r="H24" s="85">
        <f t="shared" si="2"/>
        <v>-835.98000000044703</v>
      </c>
      <c r="I24" s="186"/>
      <c r="J24" s="435"/>
      <c r="K24" s="435"/>
      <c r="L24" s="435"/>
      <c r="M24" s="435"/>
      <c r="N24" s="435"/>
    </row>
    <row r="25" spans="1:16" x14ac:dyDescent="0.25">
      <c r="A25" s="531">
        <v>14</v>
      </c>
      <c r="B25" s="120">
        <f t="shared" si="3"/>
        <v>43586</v>
      </c>
      <c r="C25" s="190" t="str">
        <f t="shared" ref="C25" si="5">$C$13</f>
        <v>Prorated</v>
      </c>
      <c r="D25" s="332">
        <f>VLOOKUP(B25,'Sales Volumes'!$A$1:$H$100,2,FALSE)</f>
        <v>1295028.3999999999</v>
      </c>
      <c r="E25" s="332">
        <f>VLOOKUP(B25,'Sales Volumes'!$A$1:$H$100,3,FALSE)</f>
        <v>712344.8</v>
      </c>
      <c r="F25" s="191">
        <f t="shared" si="1"/>
        <v>-3.3999999999999998E-3</v>
      </c>
      <c r="G25" s="148">
        <f t="shared" si="0"/>
        <v>-2422</v>
      </c>
      <c r="H25" s="85">
        <f t="shared" si="2"/>
        <v>1586.019999999553</v>
      </c>
      <c r="I25" s="186"/>
      <c r="J25" s="435"/>
      <c r="K25" s="435"/>
      <c r="L25" s="435"/>
      <c r="M25" s="435"/>
      <c r="N25" s="435"/>
    </row>
    <row r="26" spans="1:16" x14ac:dyDescent="0.25">
      <c r="A26" s="531"/>
      <c r="B26" s="120"/>
      <c r="C26" s="190"/>
      <c r="E26" s="103"/>
      <c r="F26" s="103"/>
      <c r="H26" s="189"/>
      <c r="I26" s="186"/>
      <c r="J26" s="435"/>
      <c r="K26" s="435"/>
      <c r="L26" s="435"/>
      <c r="M26" s="435"/>
      <c r="N26" s="435"/>
    </row>
    <row r="27" spans="1:16" ht="20.25" customHeight="1" x14ac:dyDescent="0.25">
      <c r="A27" s="531">
        <v>15</v>
      </c>
      <c r="E27" s="103"/>
      <c r="F27" s="192" t="s">
        <v>530</v>
      </c>
      <c r="G27" s="85">
        <f>SUM(G13:G25)</f>
        <v>-107453</v>
      </c>
      <c r="H27" s="189"/>
      <c r="I27" s="186"/>
      <c r="J27" s="435"/>
      <c r="K27" s="435"/>
      <c r="L27" s="435"/>
      <c r="M27" s="435"/>
      <c r="N27" s="435"/>
    </row>
    <row r="28" spans="1:16" ht="20.25" customHeight="1" x14ac:dyDescent="0.25">
      <c r="E28" s="103"/>
      <c r="F28" s="103"/>
      <c r="G28" s="85"/>
      <c r="I28" s="186"/>
      <c r="J28" s="435"/>
      <c r="K28" s="435"/>
      <c r="L28" s="435"/>
      <c r="M28" s="435"/>
      <c r="N28" s="435"/>
    </row>
    <row r="29" spans="1:16" x14ac:dyDescent="0.25">
      <c r="A29" s="531">
        <v>16</v>
      </c>
      <c r="F29" s="54" t="s">
        <v>307</v>
      </c>
      <c r="G29" s="85">
        <f>ROUND(H25,0)</f>
        <v>1586</v>
      </c>
      <c r="J29" s="435"/>
      <c r="K29" s="435"/>
      <c r="L29" s="435"/>
      <c r="M29" s="435"/>
      <c r="N29" s="435"/>
    </row>
    <row r="30" spans="1:16" x14ac:dyDescent="0.25">
      <c r="J30" s="435"/>
      <c r="K30" s="435"/>
      <c r="L30" s="435"/>
      <c r="M30" s="435"/>
      <c r="N30" s="435"/>
    </row>
    <row r="31" spans="1:16" x14ac:dyDescent="0.25">
      <c r="A31" s="531"/>
      <c r="J31" s="435"/>
      <c r="K31" s="435"/>
      <c r="L31" s="435"/>
      <c r="M31" s="435"/>
      <c r="N31" s="435"/>
    </row>
    <row r="32" spans="1:16" x14ac:dyDescent="0.25">
      <c r="J32" s="435"/>
      <c r="K32" s="435"/>
      <c r="L32" s="435"/>
      <c r="M32" s="435"/>
      <c r="N32" s="435"/>
    </row>
    <row r="33" spans="2:14" x14ac:dyDescent="0.25">
      <c r="J33" s="435"/>
      <c r="K33" s="435"/>
      <c r="L33" s="435"/>
      <c r="M33" s="435"/>
      <c r="N33" s="435"/>
    </row>
    <row r="34" spans="2:14" x14ac:dyDescent="0.25">
      <c r="D34" s="54"/>
      <c r="E34" s="13"/>
      <c r="J34" s="435"/>
      <c r="K34" s="435"/>
      <c r="L34" s="435"/>
      <c r="M34" s="435"/>
      <c r="N34" s="435"/>
    </row>
    <row r="35" spans="2:14" x14ac:dyDescent="0.25">
      <c r="B35" s="54"/>
      <c r="C35" s="54"/>
      <c r="D35" s="54"/>
      <c r="E35" s="194"/>
    </row>
    <row r="36" spans="2:14" x14ac:dyDescent="0.25">
      <c r="B36" s="54"/>
      <c r="C36" s="54"/>
      <c r="D36" s="54"/>
      <c r="E36" s="13"/>
    </row>
    <row r="37" spans="2:14" x14ac:dyDescent="0.25">
      <c r="B37" s="54"/>
      <c r="C37" s="54"/>
      <c r="D37" s="195"/>
      <c r="E37" s="13"/>
      <c r="H37" s="15"/>
      <c r="I37" s="15"/>
      <c r="J37" s="15"/>
      <c r="K37" s="15"/>
      <c r="L37" s="15"/>
      <c r="M37" s="15"/>
    </row>
    <row r="38" spans="2:14" x14ac:dyDescent="0.25">
      <c r="B38" s="195"/>
      <c r="C38" s="195"/>
    </row>
    <row r="39" spans="2:14" x14ac:dyDescent="0.25">
      <c r="D39" s="13"/>
    </row>
    <row r="40" spans="2:14" x14ac:dyDescent="0.25">
      <c r="B40" s="13"/>
      <c r="C40" s="13"/>
      <c r="E40" s="13"/>
    </row>
  </sheetData>
  <mergeCells count="3">
    <mergeCell ref="B1:H1"/>
    <mergeCell ref="B2:H2"/>
    <mergeCell ref="B3:H3"/>
  </mergeCells>
  <phoneticPr fontId="2" type="noConversion"/>
  <pageMargins left="0.75" right="1.02" top="1" bottom="1" header="0.5" footer="0.5"/>
  <pageSetup scale="90" orientation="landscape" r:id="rId1"/>
  <headerFooter alignWithMargins="0">
    <oddFooter>&amp;R&amp;"Times New Roman,Bold"Exhibit C-1
Page 2 of 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0.59999389629810485"/>
  </sheetPr>
  <dimension ref="A6:M30"/>
  <sheetViews>
    <sheetView zoomScale="80" zoomScaleNormal="80" workbookViewId="0"/>
  </sheetViews>
  <sheetFormatPr defaultColWidth="8.88671875" defaultRowHeight="15.75" x14ac:dyDescent="0.25"/>
  <cols>
    <col min="1" max="1" width="8.88671875" style="3"/>
    <col min="2" max="2" width="11.109375" style="3" customWidth="1"/>
    <col min="3" max="4" width="13.5546875" style="3" customWidth="1"/>
    <col min="5" max="5" width="13.88671875" style="3" customWidth="1"/>
    <col min="6" max="6" width="11.88671875" style="3" customWidth="1"/>
    <col min="7" max="7" width="15.77734375" style="3" bestFit="1" customWidth="1"/>
    <col min="8" max="8" width="14.77734375" style="3" bestFit="1" customWidth="1"/>
    <col min="9" max="9" width="13.5546875" style="3" bestFit="1" customWidth="1"/>
    <col min="10" max="10" width="13.6640625" style="3" customWidth="1"/>
    <col min="11" max="11" width="16.109375" style="3" customWidth="1"/>
    <col min="12" max="12" width="14.33203125" style="3" customWidth="1"/>
    <col min="13" max="16384" width="8.88671875" style="3"/>
  </cols>
  <sheetData>
    <row r="6" spans="1:13" ht="18.75" x14ac:dyDescent="0.3">
      <c r="B6" s="585" t="s">
        <v>5</v>
      </c>
      <c r="C6" s="585"/>
      <c r="D6" s="585"/>
      <c r="E6" s="585"/>
      <c r="F6" s="585"/>
      <c r="G6" s="585"/>
      <c r="H6" s="585"/>
    </row>
    <row r="7" spans="1:13" ht="18.75" x14ac:dyDescent="0.3">
      <c r="B7" s="589" t="s">
        <v>316</v>
      </c>
      <c r="C7" s="589"/>
      <c r="D7" s="589"/>
      <c r="E7" s="589"/>
      <c r="F7" s="589"/>
      <c r="G7" s="589"/>
      <c r="H7" s="589"/>
    </row>
    <row r="8" spans="1:13" ht="18.75" x14ac:dyDescent="0.3">
      <c r="B8" s="589" t="str">
        <f>CONCATENATE("For Service Rendered On and After ",'Input Data'!$D$4)</f>
        <v>For Service Rendered On and After August 1, 2019</v>
      </c>
      <c r="C8" s="589"/>
      <c r="D8" s="589"/>
      <c r="E8" s="589"/>
      <c r="F8" s="589"/>
      <c r="G8" s="589"/>
      <c r="H8" s="589"/>
    </row>
    <row r="9" spans="1:13" x14ac:dyDescent="0.25">
      <c r="A9" s="158"/>
      <c r="B9" s="196"/>
      <c r="C9" s="540"/>
      <c r="D9" s="540"/>
      <c r="E9" s="540"/>
      <c r="F9" s="540"/>
      <c r="G9" s="540"/>
      <c r="H9" s="540"/>
    </row>
    <row r="10" spans="1:13" x14ac:dyDescent="0.25">
      <c r="A10" s="158"/>
      <c r="B10" s="196"/>
      <c r="C10" s="540"/>
      <c r="D10" s="540"/>
      <c r="E10" s="540"/>
      <c r="F10" s="540"/>
      <c r="G10" s="540"/>
      <c r="H10" s="540"/>
    </row>
    <row r="11" spans="1:13" x14ac:dyDescent="0.25">
      <c r="A11" s="158"/>
      <c r="B11" s="196"/>
      <c r="C11" s="540"/>
      <c r="D11" s="540"/>
      <c r="E11" s="540"/>
      <c r="F11" s="540"/>
      <c r="G11" s="540"/>
      <c r="H11" s="540"/>
    </row>
    <row r="12" spans="1:13" x14ac:dyDescent="0.25">
      <c r="A12" s="158"/>
      <c r="B12" s="196"/>
      <c r="C12" s="540"/>
      <c r="D12" s="540"/>
      <c r="E12" s="540"/>
      <c r="F12" s="540"/>
      <c r="G12" s="540"/>
      <c r="H12" s="540"/>
    </row>
    <row r="13" spans="1:13" x14ac:dyDescent="0.25">
      <c r="A13" s="15" t="s">
        <v>116</v>
      </c>
      <c r="B13" s="531" t="str">
        <f>VLOOKUP(B20,'Case Database'!$A$2:$D$200,3,FALSE)</f>
        <v>2018-00403</v>
      </c>
      <c r="C13" s="540"/>
      <c r="D13" s="540"/>
      <c r="E13" s="540"/>
      <c r="F13" s="540"/>
      <c r="G13" s="540"/>
      <c r="H13" s="540"/>
    </row>
    <row r="14" spans="1:13" x14ac:dyDescent="0.25">
      <c r="J14" s="435"/>
      <c r="K14" s="435"/>
      <c r="L14" s="435"/>
      <c r="M14" s="435"/>
    </row>
    <row r="15" spans="1:13" ht="47.25" x14ac:dyDescent="0.25">
      <c r="A15" s="185" t="s">
        <v>250</v>
      </c>
      <c r="B15" s="185" t="s">
        <v>353</v>
      </c>
      <c r="C15" s="185" t="s">
        <v>314</v>
      </c>
      <c r="D15" s="537" t="s">
        <v>374</v>
      </c>
      <c r="E15" s="185" t="s">
        <v>303</v>
      </c>
      <c r="F15" s="185" t="s">
        <v>304</v>
      </c>
      <c r="G15" s="185" t="s">
        <v>358</v>
      </c>
      <c r="H15" s="185" t="s">
        <v>275</v>
      </c>
      <c r="J15" s="435"/>
      <c r="K15" s="435"/>
      <c r="L15" s="435"/>
      <c r="M15" s="435"/>
    </row>
    <row r="16" spans="1:13" x14ac:dyDescent="0.25">
      <c r="A16" s="531"/>
      <c r="B16" s="190" t="s">
        <v>60</v>
      </c>
      <c r="C16" s="190" t="s">
        <v>61</v>
      </c>
      <c r="D16" s="190" t="s">
        <v>62</v>
      </c>
      <c r="E16" s="190" t="s">
        <v>63</v>
      </c>
      <c r="F16" s="197" t="s">
        <v>64</v>
      </c>
      <c r="G16" s="190" t="s">
        <v>473</v>
      </c>
      <c r="H16" s="188" t="s">
        <v>332</v>
      </c>
      <c r="J16" s="435"/>
      <c r="K16" s="435"/>
      <c r="L16" s="435"/>
      <c r="M16" s="435"/>
    </row>
    <row r="17" spans="1:13" x14ac:dyDescent="0.25">
      <c r="A17" s="531"/>
      <c r="B17" s="120"/>
      <c r="C17" s="120"/>
      <c r="D17" s="120"/>
      <c r="E17" s="198"/>
      <c r="J17" s="435"/>
      <c r="K17" s="435"/>
      <c r="L17" s="435"/>
      <c r="M17" s="435"/>
    </row>
    <row r="18" spans="1:13" x14ac:dyDescent="0.25">
      <c r="A18" s="531">
        <v>1</v>
      </c>
      <c r="E18" s="198"/>
      <c r="G18" s="199" t="s">
        <v>274</v>
      </c>
      <c r="H18" s="160">
        <v>-59265</v>
      </c>
      <c r="J18" s="435"/>
      <c r="K18" s="435"/>
      <c r="L18" s="435"/>
      <c r="M18" s="435"/>
    </row>
    <row r="19" spans="1:13" x14ac:dyDescent="0.25">
      <c r="A19" s="531"/>
      <c r="E19" s="198"/>
      <c r="G19" s="120"/>
      <c r="H19" s="189"/>
      <c r="J19" s="435"/>
      <c r="K19" s="435"/>
      <c r="L19" s="435"/>
      <c r="M19" s="435"/>
    </row>
    <row r="20" spans="1:13" x14ac:dyDescent="0.25">
      <c r="A20" s="531">
        <v>2</v>
      </c>
      <c r="B20" s="147">
        <f>'Input Data'!C7</f>
        <v>43497</v>
      </c>
      <c r="C20" s="190" t="s">
        <v>369</v>
      </c>
      <c r="D20" s="390">
        <f>VLOOKUP($B20,'Sales Volumes'!$A$1:$H$100,2,FALSE)</f>
        <v>5879594.9000000004</v>
      </c>
      <c r="E20" s="390">
        <f>VLOOKUP($B20,'Sales Volumes'!$A$1:$H$100,4,FALSE)</f>
        <v>2936057.3</v>
      </c>
      <c r="F20" s="159">
        <v>-4.8999999999999998E-3</v>
      </c>
      <c r="G20" s="157">
        <f>ROUND(E20*F20,0)</f>
        <v>-14387</v>
      </c>
      <c r="H20" s="160">
        <f>+H18-G20</f>
        <v>-44878</v>
      </c>
      <c r="J20" s="435"/>
      <c r="K20" s="435"/>
      <c r="L20" s="435"/>
      <c r="M20" s="435"/>
    </row>
    <row r="21" spans="1:13" x14ac:dyDescent="0.25">
      <c r="A21" s="531">
        <v>3</v>
      </c>
      <c r="B21" s="147">
        <f t="shared" ref="B21:B23" si="0">EDATE(B20,1)</f>
        <v>43525</v>
      </c>
      <c r="C21" s="190"/>
      <c r="D21" s="390">
        <f>VLOOKUP($B21,'Sales Volumes'!$A$1:$H$100,2,FALSE)</f>
        <v>4866844.2</v>
      </c>
      <c r="E21" s="390">
        <f>D21</f>
        <v>4866844.2</v>
      </c>
      <c r="F21" s="159">
        <f>F20</f>
        <v>-4.8999999999999998E-3</v>
      </c>
      <c r="G21" s="157">
        <f>ROUND(E21*F21,0)</f>
        <v>-23848</v>
      </c>
      <c r="H21" s="160">
        <f>+H20-G21</f>
        <v>-21030</v>
      </c>
      <c r="J21" s="435"/>
      <c r="K21" s="435"/>
      <c r="L21" s="435"/>
      <c r="M21" s="435"/>
    </row>
    <row r="22" spans="1:13" x14ac:dyDescent="0.25">
      <c r="A22" s="531">
        <v>4</v>
      </c>
      <c r="B22" s="147">
        <f t="shared" si="0"/>
        <v>43556</v>
      </c>
      <c r="C22" s="190"/>
      <c r="D22" s="390">
        <f>VLOOKUP($B22,'Sales Volumes'!$A$1:$H$100,2,FALSE)</f>
        <v>2742152.5</v>
      </c>
      <c r="E22" s="390">
        <f>D22</f>
        <v>2742152.5</v>
      </c>
      <c r="F22" s="159">
        <f>F20</f>
        <v>-4.8999999999999998E-3</v>
      </c>
      <c r="G22" s="157">
        <f>ROUND(E22*F22,0)</f>
        <v>-13437</v>
      </c>
      <c r="H22" s="160">
        <f>+H21-G22</f>
        <v>-7593</v>
      </c>
      <c r="J22" s="435"/>
      <c r="K22" s="435"/>
      <c r="L22" s="435"/>
      <c r="M22" s="435"/>
    </row>
    <row r="23" spans="1:13" x14ac:dyDescent="0.25">
      <c r="A23" s="531">
        <v>5</v>
      </c>
      <c r="B23" s="147">
        <f t="shared" si="0"/>
        <v>43586</v>
      </c>
      <c r="C23" s="190" t="s">
        <v>369</v>
      </c>
      <c r="D23" s="390">
        <f>VLOOKUP($B23,'Sales Volumes'!$A$1:$H$100,2,FALSE)</f>
        <v>1295028.3999999999</v>
      </c>
      <c r="E23" s="390">
        <f>VLOOKUP($B23,'Sales Volumes'!$A$1:$H$100,3,FALSE)</f>
        <v>712344.8</v>
      </c>
      <c r="F23" s="159">
        <f>F20</f>
        <v>-4.8999999999999998E-3</v>
      </c>
      <c r="G23" s="157">
        <f>ROUND(E23*F23,0)</f>
        <v>-3490</v>
      </c>
      <c r="H23" s="160">
        <f>+H22-G23</f>
        <v>-4103</v>
      </c>
      <c r="J23" s="435"/>
      <c r="K23" s="435"/>
      <c r="L23" s="435"/>
      <c r="M23" s="435"/>
    </row>
    <row r="24" spans="1:13" x14ac:dyDescent="0.25">
      <c r="A24" s="531"/>
      <c r="E24" s="189"/>
      <c r="F24" s="196"/>
      <c r="H24" s="196"/>
      <c r="J24" s="435"/>
      <c r="K24" s="435"/>
      <c r="L24" s="435"/>
      <c r="M24" s="435"/>
    </row>
    <row r="25" spans="1:13" x14ac:dyDescent="0.25">
      <c r="A25" s="531">
        <v>6</v>
      </c>
      <c r="E25" s="198"/>
      <c r="F25" s="192" t="s">
        <v>530</v>
      </c>
      <c r="G25" s="160">
        <f>SUM(G20:G23)</f>
        <v>-55162</v>
      </c>
      <c r="H25" s="189"/>
      <c r="J25" s="435"/>
      <c r="K25" s="435"/>
      <c r="L25" s="435"/>
      <c r="M25" s="435"/>
    </row>
    <row r="26" spans="1:13" x14ac:dyDescent="0.25">
      <c r="A26" s="531"/>
      <c r="E26" s="198"/>
      <c r="F26" s="198"/>
      <c r="J26" s="435"/>
      <c r="K26" s="435"/>
      <c r="L26" s="435"/>
      <c r="M26" s="435"/>
    </row>
    <row r="27" spans="1:13" ht="18" customHeight="1" x14ac:dyDescent="0.35">
      <c r="A27" s="531">
        <v>7</v>
      </c>
      <c r="F27" s="54" t="s">
        <v>307</v>
      </c>
      <c r="G27" s="160">
        <f>ROUND(H23,0)</f>
        <v>-4103</v>
      </c>
      <c r="H27" s="75"/>
      <c r="J27" s="435"/>
      <c r="K27" s="435"/>
      <c r="L27" s="435"/>
      <c r="M27" s="435"/>
    </row>
    <row r="28" spans="1:13" x14ac:dyDescent="0.25">
      <c r="J28" s="435"/>
      <c r="K28" s="435"/>
      <c r="L28" s="435"/>
      <c r="M28" s="435"/>
    </row>
    <row r="29" spans="1:13" x14ac:dyDescent="0.25">
      <c r="J29" s="435"/>
      <c r="K29" s="435"/>
      <c r="L29" s="435"/>
      <c r="M29" s="435"/>
    </row>
    <row r="30" spans="1:13" x14ac:dyDescent="0.25">
      <c r="J30" s="435"/>
      <c r="K30" s="435"/>
      <c r="L30" s="435"/>
      <c r="M30" s="435"/>
    </row>
  </sheetData>
  <mergeCells count="3">
    <mergeCell ref="B8:H8"/>
    <mergeCell ref="B6:H6"/>
    <mergeCell ref="B7:H7"/>
  </mergeCells>
  <pageMargins left="0.7" right="0.7" top="1" bottom="0.75" header="0.3" footer="0.3"/>
  <pageSetup scale="73" orientation="portrait" r:id="rId1"/>
  <headerFooter>
    <oddHeader>&amp;R&amp;"Times New Roman,Bold"Exhibit C-1
Page 3 of 3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59999389629810485"/>
    <pageSetUpPr fitToPage="1"/>
  </sheetPr>
  <dimension ref="A2:CG164"/>
  <sheetViews>
    <sheetView zoomScale="80" zoomScaleNormal="80" workbookViewId="0"/>
  </sheetViews>
  <sheetFormatPr defaultColWidth="8.88671875" defaultRowHeight="15.75" x14ac:dyDescent="0.25"/>
  <cols>
    <col min="1" max="1" width="8.88671875" style="3"/>
    <col min="2" max="2" width="10.77734375" style="3" customWidth="1"/>
    <col min="3" max="3" width="20.5546875" style="3" customWidth="1"/>
    <col min="4" max="4" width="16.77734375" style="3" customWidth="1"/>
    <col min="5" max="5" width="13" style="3" customWidth="1"/>
    <col min="6" max="6" width="13.33203125" style="3" customWidth="1"/>
    <col min="7" max="7" width="12.44140625" style="103" customWidth="1"/>
    <col min="8" max="8" width="13.77734375" style="3" customWidth="1"/>
    <col min="9" max="9" width="12.5546875" style="3" customWidth="1"/>
    <col min="10" max="10" width="1.6640625" style="3" hidden="1" customWidth="1"/>
    <col min="11" max="11" width="10.21875" style="3" hidden="1" customWidth="1"/>
    <col min="12" max="12" width="15.44140625" style="3" hidden="1" customWidth="1"/>
    <col min="13" max="13" width="14.109375" style="3" hidden="1" customWidth="1"/>
    <col min="14" max="14" width="14.77734375" style="3" hidden="1" customWidth="1"/>
    <col min="15" max="15" width="20.88671875" style="3" hidden="1" customWidth="1"/>
    <col min="16" max="16" width="12.44140625" style="3" hidden="1" customWidth="1"/>
    <col min="17" max="17" width="14.21875" style="3" customWidth="1"/>
    <col min="18" max="18" width="10.21875" style="3" customWidth="1"/>
    <col min="19" max="19" width="6.88671875" style="3" customWidth="1"/>
    <col min="20" max="20" width="8.88671875" style="3"/>
    <col min="21" max="21" width="7.77734375" style="3" customWidth="1"/>
    <col min="22" max="16384" width="8.88671875" style="3"/>
  </cols>
  <sheetData>
    <row r="2" spans="1:22" ht="18.75" customHeight="1" x14ac:dyDescent="0.3">
      <c r="B2" s="611" t="s">
        <v>5</v>
      </c>
      <c r="C2" s="611"/>
      <c r="D2" s="611"/>
      <c r="E2" s="611"/>
      <c r="F2" s="611"/>
      <c r="G2" s="611"/>
      <c r="H2" s="611"/>
      <c r="I2" s="611"/>
      <c r="J2" s="611"/>
    </row>
    <row r="3" spans="1:22" ht="18.75" customHeight="1" x14ac:dyDescent="0.3">
      <c r="B3" s="611" t="s">
        <v>117</v>
      </c>
      <c r="C3" s="611"/>
      <c r="D3" s="611"/>
      <c r="E3" s="611"/>
      <c r="F3" s="611"/>
      <c r="G3" s="611"/>
      <c r="H3" s="611"/>
      <c r="I3" s="611"/>
      <c r="J3" s="611"/>
    </row>
    <row r="4" spans="1:22" ht="18.75" x14ac:dyDescent="0.3">
      <c r="B4" s="589" t="str">
        <f>CONCATENATE("For Service Rendered On and After ",'Input Data'!$D$4)</f>
        <v>For Service Rendered On and After August 1, 2019</v>
      </c>
      <c r="C4" s="589"/>
      <c r="D4" s="589"/>
      <c r="E4" s="589"/>
      <c r="F4" s="589"/>
      <c r="G4" s="589"/>
      <c r="H4" s="589"/>
      <c r="I4" s="589"/>
      <c r="J4" s="261"/>
    </row>
    <row r="5" spans="1:22" ht="18.75" x14ac:dyDescent="0.3">
      <c r="B5" s="89"/>
      <c r="D5" s="89"/>
      <c r="E5" s="89"/>
      <c r="F5" s="89"/>
      <c r="G5" s="104"/>
      <c r="H5" s="89"/>
      <c r="I5" s="89"/>
      <c r="J5" s="89"/>
      <c r="L5" s="266" t="s">
        <v>279</v>
      </c>
      <c r="M5" s="35"/>
      <c r="N5" s="35"/>
      <c r="O5" s="35"/>
      <c r="P5" s="35"/>
    </row>
    <row r="6" spans="1:22" ht="18.75" x14ac:dyDescent="0.3">
      <c r="C6" s="105"/>
      <c r="D6" s="105"/>
      <c r="E6" s="105"/>
      <c r="F6" s="105"/>
      <c r="G6" s="106"/>
      <c r="H6" s="105"/>
      <c r="I6" s="105"/>
      <c r="J6" s="105"/>
      <c r="L6" s="266" t="s">
        <v>231</v>
      </c>
      <c r="M6" s="33"/>
      <c r="N6" s="33"/>
      <c r="O6" s="33"/>
      <c r="P6" s="33"/>
      <c r="Q6" s="35"/>
      <c r="R6" s="35"/>
    </row>
    <row r="7" spans="1:22" ht="25.5" x14ac:dyDescent="0.35">
      <c r="C7" s="3" t="s">
        <v>529</v>
      </c>
      <c r="F7" s="107"/>
      <c r="G7" s="107"/>
      <c r="H7" s="107"/>
      <c r="I7" s="107"/>
      <c r="J7" s="108"/>
      <c r="L7" s="608" t="s">
        <v>213</v>
      </c>
      <c r="M7" s="609"/>
      <c r="N7" s="609"/>
      <c r="O7" s="609"/>
      <c r="P7" s="610"/>
    </row>
    <row r="8" spans="1:22" x14ac:dyDescent="0.25">
      <c r="B8" s="109"/>
      <c r="C8" s="109"/>
      <c r="D8" s="109"/>
      <c r="E8" s="109"/>
      <c r="F8" s="109"/>
      <c r="G8" s="110"/>
      <c r="H8" s="109"/>
      <c r="I8" s="109"/>
      <c r="J8" s="108"/>
      <c r="L8" s="612" t="s">
        <v>248</v>
      </c>
      <c r="M8" s="613"/>
      <c r="N8" s="613"/>
      <c r="O8" s="613"/>
      <c r="P8" s="614"/>
    </row>
    <row r="9" spans="1:22" ht="63" x14ac:dyDescent="0.25">
      <c r="A9" s="537" t="s">
        <v>250</v>
      </c>
      <c r="B9" s="537" t="s">
        <v>376</v>
      </c>
      <c r="C9" s="537" t="s">
        <v>0</v>
      </c>
      <c r="D9" s="537" t="s">
        <v>218</v>
      </c>
      <c r="E9" s="537" t="s">
        <v>219</v>
      </c>
      <c r="F9" s="537" t="s">
        <v>220</v>
      </c>
      <c r="G9" s="111" t="s">
        <v>221</v>
      </c>
      <c r="H9" s="537" t="s">
        <v>233</v>
      </c>
      <c r="I9" s="607" t="s">
        <v>599</v>
      </c>
      <c r="J9" s="607"/>
      <c r="L9" s="84"/>
      <c r="M9" s="297" t="s">
        <v>212</v>
      </c>
      <c r="N9" s="298" t="s">
        <v>234</v>
      </c>
      <c r="O9" s="297" t="s">
        <v>214</v>
      </c>
      <c r="P9" s="267" t="s">
        <v>30</v>
      </c>
    </row>
    <row r="10" spans="1:22" ht="21.75" customHeight="1" x14ac:dyDescent="0.3">
      <c r="A10" s="201"/>
      <c r="B10" s="109" t="s">
        <v>60</v>
      </c>
      <c r="C10" s="107" t="s">
        <v>61</v>
      </c>
      <c r="D10" s="107" t="s">
        <v>62</v>
      </c>
      <c r="E10" s="107" t="s">
        <v>63</v>
      </c>
      <c r="F10" s="107" t="s">
        <v>478</v>
      </c>
      <c r="G10" s="112" t="s">
        <v>65</v>
      </c>
      <c r="H10" s="107" t="s">
        <v>474</v>
      </c>
      <c r="I10" s="107" t="s">
        <v>111</v>
      </c>
      <c r="L10" s="283">
        <f>'Input Data'!C4</f>
        <v>43678</v>
      </c>
      <c r="M10" s="82">
        <f>VLOOKUP(L10,Forecast!A$1:K$200,9)</f>
        <v>654640</v>
      </c>
      <c r="N10" s="82">
        <f>VLOOKUP(L10,Forecast!A$19:$K$200,10)</f>
        <v>26424</v>
      </c>
      <c r="O10" s="82">
        <f>VLOOKUP(L10,Forecast!A$1:K$200,3)</f>
        <v>38339</v>
      </c>
      <c r="P10" s="284">
        <f>SUM(M10:O10)</f>
        <v>719403</v>
      </c>
      <c r="R10" s="47"/>
      <c r="T10" s="47"/>
      <c r="V10" s="47"/>
    </row>
    <row r="11" spans="1:22" ht="18.75" x14ac:dyDescent="0.3">
      <c r="A11" s="535"/>
      <c r="B11" s="109"/>
      <c r="C11" s="109"/>
      <c r="D11" s="109"/>
      <c r="E11" s="109"/>
      <c r="F11" s="109"/>
      <c r="G11" s="110"/>
      <c r="H11" s="109"/>
      <c r="I11" s="109"/>
      <c r="L11" s="118">
        <f>EDATE(L10,1)</f>
        <v>43709</v>
      </c>
      <c r="M11" s="82">
        <f>VLOOKUP(L11,Forecast!A$1:K$200,9)</f>
        <v>703381</v>
      </c>
      <c r="N11" s="82">
        <f>VLOOKUP(L11,Forecast!A$19:$K$200,10)</f>
        <v>43243</v>
      </c>
      <c r="O11" s="82">
        <f>VLOOKUP(L11,Forecast!A$1:K$200,3)</f>
        <v>41958</v>
      </c>
      <c r="P11" s="285">
        <f t="shared" ref="P11:P21" si="0">SUM(M11:O11)</f>
        <v>788582</v>
      </c>
      <c r="R11" s="47"/>
      <c r="T11" s="47"/>
      <c r="V11" s="47"/>
    </row>
    <row r="12" spans="1:22" x14ac:dyDescent="0.25">
      <c r="A12" s="531">
        <v>1</v>
      </c>
      <c r="B12" s="113">
        <f>'Input Data'!C4</f>
        <v>43678</v>
      </c>
      <c r="C12" s="309" t="str">
        <f>VLOOKUP(B12,'Case Database'!$A$2:$F$200,3,FALSE)</f>
        <v>2019-00179</v>
      </c>
      <c r="D12" s="18">
        <v>0</v>
      </c>
      <c r="E12" s="18">
        <v>0</v>
      </c>
      <c r="F12" s="18">
        <f>+D12+E12</f>
        <v>0</v>
      </c>
      <c r="G12" s="103">
        <f>P23</f>
        <v>31691585</v>
      </c>
      <c r="H12" s="114">
        <f>+ROUND(F12/G12,4)</f>
        <v>0</v>
      </c>
      <c r="I12" s="523">
        <f>H12/10</f>
        <v>0</v>
      </c>
      <c r="J12" s="13" t="s">
        <v>217</v>
      </c>
      <c r="L12" s="118">
        <f t="shared" ref="L12:L20" si="1">EDATE(L11,1)</f>
        <v>43739</v>
      </c>
      <c r="M12" s="82">
        <f>VLOOKUP(L12,Forecast!A$1:K$200,9)</f>
        <v>1230186</v>
      </c>
      <c r="N12" s="82">
        <f>VLOOKUP(L12,Forecast!A$19:$K$200,10)</f>
        <v>20722</v>
      </c>
      <c r="O12" s="82">
        <f>VLOOKUP(L12,Forecast!A$1:K$200,3)</f>
        <v>48541</v>
      </c>
      <c r="P12" s="285">
        <f t="shared" si="0"/>
        <v>1299449</v>
      </c>
      <c r="R12" s="47"/>
      <c r="T12" s="47"/>
      <c r="V12" s="47"/>
    </row>
    <row r="13" spans="1:22" ht="14.25" customHeight="1" x14ac:dyDescent="0.25">
      <c r="A13" s="531">
        <v>2</v>
      </c>
      <c r="B13" s="113">
        <f>EDATE(B12,-3)</f>
        <v>43586</v>
      </c>
      <c r="C13" s="309" t="str">
        <f>VLOOKUP(B13,'Case Database'!$A$2:$F$200,3,FALSE)</f>
        <v>2019-00078</v>
      </c>
      <c r="D13" s="18">
        <v>0</v>
      </c>
      <c r="E13" s="18">
        <v>0</v>
      </c>
      <c r="F13" s="18">
        <f>+D13+E13</f>
        <v>0</v>
      </c>
      <c r="G13" s="103">
        <v>32911082</v>
      </c>
      <c r="H13" s="114">
        <f>+ROUND(F13/G13,4)</f>
        <v>0</v>
      </c>
      <c r="I13" s="523">
        <f t="shared" ref="I13:I15" si="2">H13/10</f>
        <v>0</v>
      </c>
      <c r="J13" s="13" t="s">
        <v>217</v>
      </c>
      <c r="L13" s="118">
        <f>EDATE(L12,1)</f>
        <v>43770</v>
      </c>
      <c r="M13" s="82">
        <f>VLOOKUP(L13,Forecast!A$1:K$200,9)</f>
        <v>2812765</v>
      </c>
      <c r="N13" s="82">
        <f>VLOOKUP(L13,Forecast!A$19:$K$200,10)</f>
        <v>30607</v>
      </c>
      <c r="O13" s="82">
        <f>VLOOKUP(L13,Forecast!A$1:K$200,3)</f>
        <v>55632</v>
      </c>
      <c r="P13" s="285">
        <f t="shared" si="0"/>
        <v>2899004</v>
      </c>
      <c r="R13" s="47"/>
      <c r="T13" s="47"/>
      <c r="V13" s="47"/>
    </row>
    <row r="14" spans="1:22" x14ac:dyDescent="0.25">
      <c r="A14" s="531">
        <v>3</v>
      </c>
      <c r="B14" s="113">
        <f t="shared" ref="B14:B15" si="3">EDATE(B13,-3)</f>
        <v>43497</v>
      </c>
      <c r="C14" s="309" t="str">
        <f>VLOOKUP(B14,'Case Database'!$A$2:$F$200,3,FALSE)</f>
        <v>2018-00403</v>
      </c>
      <c r="D14" s="18">
        <v>0</v>
      </c>
      <c r="E14" s="18">
        <v>0</v>
      </c>
      <c r="F14" s="18">
        <f>+D14+E14</f>
        <v>0</v>
      </c>
      <c r="G14" s="103">
        <v>31558041</v>
      </c>
      <c r="H14" s="114">
        <f>+ROUND(F14/G14,4)</f>
        <v>0</v>
      </c>
      <c r="I14" s="523">
        <f t="shared" si="2"/>
        <v>0</v>
      </c>
      <c r="J14" s="13" t="s">
        <v>217</v>
      </c>
      <c r="L14" s="118">
        <f t="shared" si="1"/>
        <v>43800</v>
      </c>
      <c r="M14" s="82">
        <f>VLOOKUP(L14,Forecast!A$1:K$200,9)</f>
        <v>5088368</v>
      </c>
      <c r="N14" s="82">
        <f>VLOOKUP(L14,Forecast!A$19:$K$200,10)</f>
        <v>42544</v>
      </c>
      <c r="O14" s="82">
        <f>VLOOKUP(L14,Forecast!A$1:K$200,3)</f>
        <v>40146</v>
      </c>
      <c r="P14" s="285">
        <f t="shared" si="0"/>
        <v>5171058</v>
      </c>
      <c r="R14" s="47"/>
      <c r="T14" s="47"/>
      <c r="V14" s="47"/>
    </row>
    <row r="15" spans="1:22" ht="15" customHeight="1" x14ac:dyDescent="0.25">
      <c r="A15" s="531">
        <v>4</v>
      </c>
      <c r="B15" s="113">
        <f t="shared" si="3"/>
        <v>43405</v>
      </c>
      <c r="C15" s="309" t="str">
        <f>VLOOKUP(B15,'Case Database'!$A$2:$F$200,3,FALSE)</f>
        <v>2018-00302</v>
      </c>
      <c r="D15" s="18">
        <v>0</v>
      </c>
      <c r="E15" s="18">
        <v>0</v>
      </c>
      <c r="F15" s="18">
        <f>+D15+E15</f>
        <v>0</v>
      </c>
      <c r="G15" s="103">
        <v>31579302</v>
      </c>
      <c r="H15" s="115">
        <f>+ROUND(F15/G15,4)</f>
        <v>0</v>
      </c>
      <c r="I15" s="523">
        <f t="shared" si="2"/>
        <v>0</v>
      </c>
      <c r="J15" s="13" t="s">
        <v>217</v>
      </c>
      <c r="L15" s="118">
        <f t="shared" si="1"/>
        <v>43831</v>
      </c>
      <c r="M15" s="82">
        <f>VLOOKUP(L15,Forecast!A$1:K$200,9)</f>
        <v>6426676</v>
      </c>
      <c r="N15" s="82">
        <f>VLOOKUP(L15,Forecast!A$19:$K$200,10)</f>
        <v>34500</v>
      </c>
      <c r="O15" s="82">
        <f>VLOOKUP(L15,Forecast!A$1:K$200,3)</f>
        <v>15248</v>
      </c>
      <c r="P15" s="285">
        <f t="shared" si="0"/>
        <v>6476424</v>
      </c>
      <c r="R15" s="47"/>
      <c r="T15" s="47"/>
      <c r="V15" s="47"/>
    </row>
    <row r="16" spans="1:22" ht="15" customHeight="1" x14ac:dyDescent="0.25">
      <c r="A16" s="531"/>
      <c r="L16" s="118">
        <f t="shared" si="1"/>
        <v>43862</v>
      </c>
      <c r="M16" s="82">
        <f>VLOOKUP(L16,Forecast!A$1:K$200,9)</f>
        <v>5609047</v>
      </c>
      <c r="N16" s="82">
        <f>VLOOKUP(L16,Forecast!A$19:$K$200,10)</f>
        <v>36668</v>
      </c>
      <c r="O16" s="82">
        <f>VLOOKUP(L16,Forecast!A$1:K$200,3)</f>
        <v>13677</v>
      </c>
      <c r="P16" s="285">
        <f t="shared" si="0"/>
        <v>5659392</v>
      </c>
      <c r="R16" s="47"/>
      <c r="T16" s="47"/>
      <c r="V16" s="47"/>
    </row>
    <row r="17" spans="1:85" x14ac:dyDescent="0.25">
      <c r="A17" s="531">
        <v>5</v>
      </c>
      <c r="G17" s="54" t="s">
        <v>318</v>
      </c>
      <c r="H17" s="524">
        <f>SUM(H12:H15)</f>
        <v>0</v>
      </c>
      <c r="L17" s="118">
        <f t="shared" si="1"/>
        <v>43891</v>
      </c>
      <c r="M17" s="82">
        <f>VLOOKUP(L17,Forecast!A$1:K$200,9)</f>
        <v>3874874</v>
      </c>
      <c r="N17" s="82">
        <f>VLOOKUP(L17,Forecast!A$19:$K$200,10)</f>
        <v>34438</v>
      </c>
      <c r="O17" s="82">
        <f>VLOOKUP(L17,Forecast!A$1:K$200,3)</f>
        <v>24361</v>
      </c>
      <c r="P17" s="285">
        <f t="shared" si="0"/>
        <v>3933673</v>
      </c>
      <c r="R17" s="47"/>
      <c r="T17" s="47"/>
      <c r="V17" s="47"/>
    </row>
    <row r="18" spans="1:85" ht="18.75" x14ac:dyDescent="0.3">
      <c r="A18" s="535"/>
      <c r="L18" s="118">
        <f t="shared" si="1"/>
        <v>43922</v>
      </c>
      <c r="M18" s="82">
        <f>VLOOKUP(L18,Forecast!A$1:K$200,9)</f>
        <v>1958621</v>
      </c>
      <c r="N18" s="82">
        <f>VLOOKUP(L18,Forecast!A$19:$K$200,10)</f>
        <v>35072</v>
      </c>
      <c r="O18" s="82">
        <f>VLOOKUP(L18,Forecast!A$1:K$200,3)</f>
        <v>27305</v>
      </c>
      <c r="P18" s="285">
        <f t="shared" si="0"/>
        <v>2020998</v>
      </c>
      <c r="R18" s="47"/>
      <c r="T18" s="47"/>
      <c r="V18" s="47"/>
    </row>
    <row r="19" spans="1:85" ht="18.75" x14ac:dyDescent="0.3">
      <c r="A19" s="535"/>
      <c r="L19" s="118">
        <f t="shared" si="1"/>
        <v>43952</v>
      </c>
      <c r="M19" s="82">
        <f>VLOOKUP(L19,Forecast!A$1:K$200,9)</f>
        <v>1101869</v>
      </c>
      <c r="N19" s="82">
        <f>VLOOKUP(L19,Forecast!A$19:$K$200,10)</f>
        <v>36522</v>
      </c>
      <c r="O19" s="82">
        <f>VLOOKUP(L19,Forecast!A$1:K$200,3)</f>
        <v>32305</v>
      </c>
      <c r="P19" s="285">
        <f t="shared" si="0"/>
        <v>1170696</v>
      </c>
      <c r="R19" s="47"/>
      <c r="T19" s="47"/>
      <c r="V19" s="47"/>
    </row>
    <row r="20" spans="1:85" ht="18.75" x14ac:dyDescent="0.3">
      <c r="A20" s="535"/>
      <c r="L20" s="118">
        <f t="shared" si="1"/>
        <v>43983</v>
      </c>
      <c r="M20" s="82">
        <f>VLOOKUP(L20,Forecast!A$1:K$200,9)</f>
        <v>738768</v>
      </c>
      <c r="N20" s="82">
        <f>VLOOKUP(L20,Forecast!A$19:$K$200,10)</f>
        <v>34438</v>
      </c>
      <c r="O20" s="82">
        <f>VLOOKUP(L20,Forecast!A$1:K$200,3)</f>
        <v>40699</v>
      </c>
      <c r="P20" s="285">
        <f t="shared" si="0"/>
        <v>813905</v>
      </c>
      <c r="R20" s="47"/>
      <c r="T20" s="47"/>
      <c r="V20" s="47"/>
    </row>
    <row r="21" spans="1:85" ht="18.75" x14ac:dyDescent="0.3">
      <c r="A21" s="535"/>
      <c r="F21" s="116"/>
      <c r="H21" s="116"/>
      <c r="L21" s="118">
        <f>EDATE(L20,1)</f>
        <v>44013</v>
      </c>
      <c r="M21" s="82">
        <f>VLOOKUP(L21,Forecast!A$1:K$200,9)</f>
        <v>662332</v>
      </c>
      <c r="N21" s="82">
        <f>VLOOKUP(L21,Forecast!A$19:$K$200,10)</f>
        <v>34438</v>
      </c>
      <c r="O21" s="82">
        <f>VLOOKUP(L21,Forecast!A$1:K$200,3)</f>
        <v>42231</v>
      </c>
      <c r="P21" s="285">
        <f t="shared" si="0"/>
        <v>739001</v>
      </c>
      <c r="R21" s="47"/>
      <c r="T21" s="47"/>
      <c r="V21" s="47"/>
    </row>
    <row r="22" spans="1:85" ht="19.5" thickBot="1" x14ac:dyDescent="0.35">
      <c r="A22" s="535"/>
      <c r="B22" s="113"/>
      <c r="D22" s="18"/>
      <c r="E22" s="18"/>
      <c r="F22" s="18"/>
      <c r="K22" s="30"/>
      <c r="L22" s="286"/>
      <c r="M22" s="287"/>
      <c r="N22" s="287"/>
      <c r="O22" s="287"/>
      <c r="P22" s="288"/>
      <c r="T22" s="47"/>
      <c r="V22" s="47"/>
    </row>
    <row r="23" spans="1:85" ht="16.5" thickBot="1" x14ac:dyDescent="0.3">
      <c r="B23" s="113"/>
      <c r="D23" s="18"/>
      <c r="E23" s="18"/>
      <c r="F23" s="18"/>
      <c r="L23" s="289"/>
      <c r="M23" s="290"/>
      <c r="N23" s="290"/>
      <c r="O23" s="536"/>
      <c r="P23" s="291">
        <f>SUM(P10:P22)</f>
        <v>31691585</v>
      </c>
      <c r="R23" s="47"/>
      <c r="T23" s="47"/>
      <c r="V23" s="47"/>
      <c r="W23" s="47"/>
    </row>
    <row r="24" spans="1:85" x14ac:dyDescent="0.25">
      <c r="B24" s="113"/>
      <c r="D24" s="18"/>
      <c r="E24" s="18"/>
      <c r="F24" s="18"/>
      <c r="L24" s="36"/>
      <c r="M24" s="36"/>
      <c r="N24" s="36"/>
      <c r="O24" s="36"/>
      <c r="P24" s="36"/>
      <c r="Q24" s="36"/>
      <c r="R24" s="36"/>
    </row>
    <row r="25" spans="1:85" x14ac:dyDescent="0.25">
      <c r="D25" s="18"/>
      <c r="E25" s="18"/>
      <c r="F25" s="18"/>
      <c r="M25" s="36"/>
      <c r="N25" s="36"/>
      <c r="O25" s="36"/>
      <c r="P25" s="36"/>
      <c r="Q25" s="36"/>
      <c r="R25" s="36"/>
    </row>
    <row r="26" spans="1:85" x14ac:dyDescent="0.25">
      <c r="D26" s="18"/>
      <c r="E26" s="18"/>
      <c r="F26" s="18"/>
    </row>
    <row r="27" spans="1:85" x14ac:dyDescent="0.25">
      <c r="D27" s="18"/>
      <c r="E27" s="18"/>
      <c r="F27" s="18"/>
    </row>
    <row r="28" spans="1:85" x14ac:dyDescent="0.25">
      <c r="D28" s="18"/>
      <c r="E28" s="18"/>
      <c r="F28" s="18"/>
    </row>
    <row r="29" spans="1:85" x14ac:dyDescent="0.25">
      <c r="D29" s="18"/>
      <c r="E29" s="18"/>
      <c r="F29" s="18"/>
      <c r="CG29" s="3" t="s">
        <v>275</v>
      </c>
    </row>
    <row r="30" spans="1:85" x14ac:dyDescent="0.25">
      <c r="D30" s="18"/>
      <c r="E30" s="18"/>
      <c r="F30" s="18"/>
      <c r="CG30" s="3" t="s">
        <v>278</v>
      </c>
    </row>
    <row r="31" spans="1:85" x14ac:dyDescent="0.25">
      <c r="D31" s="18"/>
      <c r="E31" s="18"/>
      <c r="F31" s="18"/>
    </row>
    <row r="32" spans="1:85" x14ac:dyDescent="0.25">
      <c r="D32" s="18"/>
      <c r="E32" s="18"/>
      <c r="F32" s="18"/>
      <c r="CG32" s="3">
        <v>-411623</v>
      </c>
    </row>
    <row r="33" spans="7:85" x14ac:dyDescent="0.25">
      <c r="G33" s="3"/>
    </row>
    <row r="34" spans="7:85" x14ac:dyDescent="0.25">
      <c r="G34" s="3"/>
      <c r="CA34" s="3" t="e">
        <v>#REF!</v>
      </c>
      <c r="CB34" s="3" t="s">
        <v>61</v>
      </c>
      <c r="CC34" s="3" t="e">
        <v>#REF!</v>
      </c>
      <c r="CD34" s="3" t="s">
        <v>60</v>
      </c>
      <c r="CE34" s="3" t="e">
        <v>#REF!</v>
      </c>
      <c r="CF34" s="3" t="s">
        <v>60</v>
      </c>
      <c r="CG34" s="3">
        <v>-402587.94319999998</v>
      </c>
    </row>
    <row r="35" spans="7:85" x14ac:dyDescent="0.25">
      <c r="G35" s="3"/>
      <c r="CC35" s="3" t="e">
        <v>#REF!</v>
      </c>
      <c r="CD35" s="3" t="s">
        <v>60</v>
      </c>
      <c r="CE35" s="3" t="e">
        <v>#REF!</v>
      </c>
      <c r="CF35" s="3" t="s">
        <v>60</v>
      </c>
      <c r="CG35" s="3">
        <v>-389209.51574</v>
      </c>
    </row>
    <row r="36" spans="7:85" x14ac:dyDescent="0.25">
      <c r="G36" s="3"/>
      <c r="CC36" s="3" t="e">
        <v>#REF!</v>
      </c>
      <c r="CD36" s="3" t="s">
        <v>60</v>
      </c>
      <c r="CE36" s="3" t="e">
        <v>#REF!</v>
      </c>
      <c r="CF36" s="3" t="s">
        <v>60</v>
      </c>
      <c r="CG36" s="3">
        <v>-379257.88942999998</v>
      </c>
    </row>
    <row r="37" spans="7:85" x14ac:dyDescent="0.25">
      <c r="G37" s="3"/>
      <c r="CC37" s="3" t="e">
        <v>#REF!</v>
      </c>
      <c r="CD37" s="3" t="s">
        <v>61</v>
      </c>
      <c r="CE37" s="3" t="e">
        <v>#REF!</v>
      </c>
      <c r="CF37" s="3" t="s">
        <v>60</v>
      </c>
      <c r="CG37" s="3">
        <v>-369315.90457999997</v>
      </c>
    </row>
    <row r="38" spans="7:85" x14ac:dyDescent="0.25">
      <c r="G38" s="3"/>
      <c r="CE38" s="3" t="e">
        <v>#REF!</v>
      </c>
      <c r="CF38" s="3" t="s">
        <v>60</v>
      </c>
      <c r="CG38" s="3">
        <v>-359018.76595999999</v>
      </c>
    </row>
    <row r="39" spans="7:85" x14ac:dyDescent="0.25">
      <c r="G39" s="3"/>
      <c r="CE39" s="3" t="e">
        <v>#REF!</v>
      </c>
      <c r="CF39" s="3" t="s">
        <v>60</v>
      </c>
      <c r="CG39" s="3">
        <v>-345075.15596</v>
      </c>
    </row>
    <row r="40" spans="7:85" x14ac:dyDescent="0.25">
      <c r="G40" s="3"/>
      <c r="CE40" s="3" t="e">
        <v>#REF!</v>
      </c>
      <c r="CF40" s="3" t="s">
        <v>61</v>
      </c>
      <c r="CG40" s="3">
        <v>-318552.39218000002</v>
      </c>
    </row>
    <row r="41" spans="7:85" x14ac:dyDescent="0.25">
      <c r="G41" s="3"/>
      <c r="CG41" s="3">
        <v>-272826.39557000005</v>
      </c>
    </row>
    <row r="42" spans="7:85" x14ac:dyDescent="0.25">
      <c r="G42" s="3"/>
      <c r="CG42" s="3">
        <v>-205104.66959000006</v>
      </c>
    </row>
    <row r="43" spans="7:85" x14ac:dyDescent="0.25">
      <c r="G43" s="3"/>
      <c r="CG43" s="3">
        <v>-140806.26692000008</v>
      </c>
    </row>
    <row r="44" spans="7:85" x14ac:dyDescent="0.25">
      <c r="G44" s="3"/>
      <c r="CG44" s="3">
        <v>-95338.527020000081</v>
      </c>
    </row>
    <row r="45" spans="7:85" x14ac:dyDescent="0.25">
      <c r="G45" s="3"/>
      <c r="CG45" s="3">
        <v>-76782.608450000087</v>
      </c>
    </row>
    <row r="46" spans="7:85" x14ac:dyDescent="0.25">
      <c r="G46" s="3"/>
      <c r="CG46" s="3">
        <v>-68418.687050000095</v>
      </c>
    </row>
    <row r="47" spans="7:85" x14ac:dyDescent="0.25">
      <c r="G47" s="3"/>
    </row>
    <row r="48" spans="7:85" x14ac:dyDescent="0.25">
      <c r="G48" s="3"/>
    </row>
    <row r="49" spans="7:85" x14ac:dyDescent="0.25">
      <c r="G49" s="3"/>
    </row>
    <row r="50" spans="7:85" x14ac:dyDescent="0.25">
      <c r="G50" s="3"/>
      <c r="CG50" s="3">
        <v>-68418.687050000095</v>
      </c>
    </row>
    <row r="51" spans="7:85" x14ac:dyDescent="0.25">
      <c r="G51" s="3"/>
    </row>
    <row r="52" spans="7:85" x14ac:dyDescent="0.25">
      <c r="G52" s="3"/>
    </row>
    <row r="53" spans="7:85" x14ac:dyDescent="0.25">
      <c r="G53" s="3"/>
    </row>
    <row r="54" spans="7:85" x14ac:dyDescent="0.25">
      <c r="G54" s="3"/>
    </row>
    <row r="55" spans="7:85" x14ac:dyDescent="0.25">
      <c r="G55" s="3"/>
    </row>
    <row r="56" spans="7:85" x14ac:dyDescent="0.25">
      <c r="G56" s="3"/>
    </row>
    <row r="57" spans="7:85" x14ac:dyDescent="0.25">
      <c r="G57" s="3"/>
    </row>
    <row r="58" spans="7:85" x14ac:dyDescent="0.25">
      <c r="G58" s="3"/>
      <c r="L58" s="36"/>
      <c r="M58" s="36"/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7:85" x14ac:dyDescent="0.25">
      <c r="G59" s="3"/>
      <c r="L59" s="268"/>
      <c r="M59" s="268"/>
      <c r="N59" s="30"/>
      <c r="O59" s="30"/>
      <c r="P59" s="30"/>
      <c r="Q59" s="30"/>
      <c r="R59" s="30"/>
      <c r="S59" s="30"/>
      <c r="T59" s="30"/>
      <c r="U59" s="30"/>
      <c r="V59" s="30"/>
      <c r="W59" s="30"/>
    </row>
    <row r="60" spans="7:85" ht="15.75" customHeight="1" x14ac:dyDescent="0.25">
      <c r="G60" s="3"/>
      <c r="L60" s="30"/>
      <c r="M60" s="268"/>
      <c r="N60" s="30"/>
      <c r="O60" s="30"/>
      <c r="P60" s="30"/>
      <c r="Q60" s="30"/>
      <c r="R60" s="30"/>
      <c r="S60" s="30"/>
      <c r="T60" s="30"/>
      <c r="U60" s="30"/>
      <c r="V60" s="30"/>
      <c r="W60" s="30"/>
    </row>
    <row r="61" spans="7:85" x14ac:dyDescent="0.25">
      <c r="G61" s="3"/>
      <c r="L61" s="269"/>
      <c r="M61" s="36"/>
      <c r="N61" s="30"/>
      <c r="O61" s="30"/>
      <c r="P61" s="30"/>
      <c r="Q61" s="30"/>
      <c r="R61" s="30"/>
      <c r="S61" s="30"/>
      <c r="T61" s="30"/>
      <c r="U61" s="30"/>
      <c r="V61" s="30"/>
      <c r="W61" s="30"/>
    </row>
    <row r="62" spans="7:85" x14ac:dyDescent="0.25">
      <c r="G62" s="3"/>
      <c r="L62" s="269"/>
      <c r="M62" s="36"/>
      <c r="N62" s="30"/>
      <c r="O62" s="30"/>
      <c r="P62" s="30"/>
      <c r="Q62" s="30"/>
      <c r="R62" s="30"/>
      <c r="S62" s="30"/>
      <c r="T62" s="30"/>
      <c r="U62" s="30"/>
      <c r="V62" s="30"/>
      <c r="W62" s="30"/>
    </row>
    <row r="63" spans="7:85" x14ac:dyDescent="0.25">
      <c r="G63" s="3"/>
      <c r="L63" s="269"/>
      <c r="M63" s="36"/>
      <c r="N63" s="30"/>
      <c r="O63" s="30"/>
      <c r="P63" s="30"/>
      <c r="Q63" s="30"/>
      <c r="R63" s="30"/>
      <c r="S63" s="30"/>
      <c r="T63" s="30"/>
      <c r="U63" s="30"/>
      <c r="V63" s="30"/>
      <c r="W63" s="30"/>
    </row>
    <row r="64" spans="7:85" x14ac:dyDescent="0.25">
      <c r="G64" s="3"/>
      <c r="L64" s="269"/>
      <c r="M64" s="36"/>
      <c r="N64" s="30"/>
      <c r="O64" s="30"/>
      <c r="P64" s="30"/>
      <c r="Q64" s="30"/>
      <c r="R64" s="30"/>
      <c r="S64" s="30"/>
      <c r="T64" s="30"/>
      <c r="U64" s="30"/>
      <c r="V64" s="30"/>
      <c r="W64" s="30"/>
    </row>
    <row r="65" spans="7:23" x14ac:dyDescent="0.25">
      <c r="G65" s="3"/>
      <c r="L65" s="269"/>
      <c r="M65" s="36"/>
      <c r="N65" s="30"/>
      <c r="O65" s="30"/>
      <c r="P65" s="30"/>
      <c r="Q65" s="30"/>
      <c r="R65" s="30"/>
      <c r="S65" s="30"/>
      <c r="T65" s="30"/>
      <c r="U65" s="30"/>
      <c r="V65" s="30"/>
      <c r="W65" s="30"/>
    </row>
    <row r="66" spans="7:23" x14ac:dyDescent="0.25">
      <c r="G66" s="3"/>
      <c r="L66" s="269"/>
      <c r="M66" s="36"/>
      <c r="N66" s="30"/>
      <c r="O66" s="30"/>
      <c r="P66" s="30"/>
      <c r="Q66" s="30"/>
      <c r="R66" s="30"/>
      <c r="S66" s="30"/>
      <c r="T66" s="30"/>
      <c r="U66" s="30"/>
      <c r="V66" s="30"/>
      <c r="W66" s="30"/>
    </row>
    <row r="67" spans="7:23" x14ac:dyDescent="0.25">
      <c r="G67" s="3"/>
      <c r="L67" s="269"/>
      <c r="M67" s="36"/>
      <c r="N67" s="30"/>
      <c r="O67" s="30"/>
      <c r="P67" s="30"/>
      <c r="Q67" s="30"/>
      <c r="R67" s="30"/>
      <c r="S67" s="30"/>
      <c r="T67" s="30"/>
      <c r="U67" s="30"/>
      <c r="V67" s="30"/>
      <c r="W67" s="30"/>
    </row>
    <row r="68" spans="7:23" x14ac:dyDescent="0.25">
      <c r="G68" s="3"/>
      <c r="L68" s="269"/>
      <c r="M68" s="36"/>
      <c r="N68" s="30"/>
      <c r="O68" s="30"/>
      <c r="P68" s="30"/>
      <c r="Q68" s="30"/>
      <c r="R68" s="30"/>
      <c r="S68" s="30"/>
      <c r="T68" s="30"/>
      <c r="U68" s="30"/>
      <c r="V68" s="30"/>
      <c r="W68" s="30"/>
    </row>
    <row r="69" spans="7:23" x14ac:dyDescent="0.25">
      <c r="G69" s="3"/>
      <c r="L69" s="269"/>
      <c r="M69" s="36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7:23" x14ac:dyDescent="0.25">
      <c r="G70" s="3"/>
      <c r="L70" s="269"/>
      <c r="M70" s="36"/>
      <c r="N70" s="30"/>
      <c r="O70" s="30"/>
      <c r="P70" s="30"/>
      <c r="Q70" s="30"/>
      <c r="R70" s="30"/>
      <c r="S70" s="30"/>
      <c r="T70" s="30"/>
      <c r="U70" s="30"/>
      <c r="V70" s="30"/>
      <c r="W70" s="30"/>
    </row>
    <row r="71" spans="7:23" x14ac:dyDescent="0.25">
      <c r="G71" s="3"/>
      <c r="L71" s="269"/>
      <c r="M71" s="36"/>
      <c r="N71" s="30"/>
      <c r="O71" s="30"/>
      <c r="P71" s="30"/>
      <c r="Q71" s="30"/>
      <c r="R71" s="30"/>
      <c r="S71" s="30"/>
      <c r="T71" s="30"/>
      <c r="U71" s="30"/>
      <c r="V71" s="30"/>
      <c r="W71" s="30"/>
    </row>
    <row r="72" spans="7:23" x14ac:dyDescent="0.25">
      <c r="G72" s="3"/>
      <c r="L72" s="269"/>
      <c r="M72" s="270"/>
      <c r="N72" s="36"/>
      <c r="O72" s="30"/>
      <c r="P72" s="30"/>
      <c r="Q72" s="30"/>
      <c r="R72" s="30"/>
      <c r="S72" s="30"/>
      <c r="T72" s="30"/>
      <c r="U72" s="30"/>
      <c r="V72" s="30"/>
      <c r="W72" s="30"/>
    </row>
    <row r="73" spans="7:23" x14ac:dyDescent="0.25">
      <c r="G73" s="3"/>
      <c r="L73" s="269"/>
      <c r="M73" s="270"/>
      <c r="N73" s="36"/>
      <c r="O73" s="30"/>
      <c r="P73" s="30"/>
      <c r="Q73" s="30"/>
      <c r="R73" s="30"/>
      <c r="S73" s="30"/>
      <c r="T73" s="30"/>
      <c r="U73" s="30"/>
      <c r="V73" s="30"/>
      <c r="W73" s="30"/>
    </row>
    <row r="74" spans="7:23" x14ac:dyDescent="0.25">
      <c r="G74" s="3"/>
      <c r="L74" s="269"/>
      <c r="M74" s="270"/>
      <c r="N74" s="36"/>
      <c r="O74" s="30"/>
      <c r="P74" s="30"/>
      <c r="Q74" s="30"/>
      <c r="R74" s="30"/>
      <c r="S74" s="30"/>
      <c r="T74" s="30"/>
      <c r="U74" s="30"/>
      <c r="V74" s="30"/>
      <c r="W74" s="30"/>
    </row>
    <row r="75" spans="7:23" x14ac:dyDescent="0.25">
      <c r="G75" s="3"/>
      <c r="L75" s="269"/>
      <c r="M75" s="270"/>
      <c r="N75" s="36"/>
      <c r="O75" s="30"/>
      <c r="P75" s="30"/>
      <c r="Q75" s="30"/>
      <c r="R75" s="30"/>
      <c r="S75" s="30"/>
      <c r="T75" s="30"/>
      <c r="U75" s="30"/>
      <c r="V75" s="30"/>
      <c r="W75" s="30"/>
    </row>
    <row r="76" spans="7:23" x14ac:dyDescent="0.25">
      <c r="G76" s="3"/>
      <c r="L76" s="269"/>
      <c r="M76" s="270"/>
      <c r="N76" s="36"/>
      <c r="O76" s="30"/>
      <c r="P76" s="30"/>
      <c r="Q76" s="30"/>
      <c r="R76" s="30"/>
      <c r="S76" s="30"/>
      <c r="T76" s="30"/>
      <c r="U76" s="30"/>
      <c r="V76" s="30"/>
      <c r="W76" s="30"/>
    </row>
    <row r="77" spans="7:23" x14ac:dyDescent="0.25">
      <c r="G77" s="3"/>
      <c r="L77" s="269"/>
      <c r="M77" s="270"/>
      <c r="N77" s="36"/>
      <c r="O77" s="30"/>
      <c r="P77" s="30"/>
      <c r="Q77" s="30"/>
      <c r="R77" s="30"/>
      <c r="S77" s="30"/>
      <c r="T77" s="30"/>
      <c r="U77" s="30"/>
      <c r="V77" s="30"/>
      <c r="W77" s="30"/>
    </row>
    <row r="78" spans="7:23" x14ac:dyDescent="0.25">
      <c r="G78" s="3"/>
      <c r="L78" s="269"/>
      <c r="M78" s="270"/>
      <c r="N78" s="36"/>
      <c r="O78" s="30"/>
      <c r="P78" s="30"/>
      <c r="Q78" s="30"/>
      <c r="R78" s="30"/>
      <c r="S78" s="30"/>
      <c r="T78" s="30"/>
      <c r="U78" s="30"/>
      <c r="V78" s="30"/>
      <c r="W78" s="30"/>
    </row>
    <row r="79" spans="7:23" x14ac:dyDescent="0.25">
      <c r="G79" s="3"/>
      <c r="L79" s="269"/>
      <c r="M79" s="270"/>
      <c r="N79" s="36"/>
      <c r="O79" s="30"/>
      <c r="P79" s="30"/>
      <c r="Q79" s="30"/>
      <c r="R79" s="30"/>
      <c r="S79" s="30"/>
      <c r="T79" s="30"/>
      <c r="U79" s="30"/>
      <c r="V79" s="30"/>
      <c r="W79" s="30"/>
    </row>
    <row r="80" spans="7:23" x14ac:dyDescent="0.25">
      <c r="G80" s="3"/>
      <c r="L80" s="269"/>
      <c r="M80" s="270"/>
      <c r="N80" s="36"/>
      <c r="O80" s="30"/>
      <c r="P80" s="30"/>
      <c r="Q80" s="30"/>
      <c r="R80" s="30"/>
      <c r="S80" s="30"/>
      <c r="T80" s="30"/>
      <c r="U80" s="30"/>
      <c r="V80" s="30"/>
      <c r="W80" s="30"/>
    </row>
    <row r="81" spans="7:23" x14ac:dyDescent="0.25">
      <c r="G81" s="3"/>
      <c r="L81" s="269"/>
      <c r="M81" s="270"/>
      <c r="N81" s="36"/>
      <c r="O81" s="30"/>
      <c r="P81" s="30"/>
      <c r="Q81" s="30"/>
      <c r="R81" s="30"/>
      <c r="S81" s="30"/>
      <c r="T81" s="30"/>
      <c r="U81" s="30"/>
      <c r="V81" s="30"/>
      <c r="W81" s="30"/>
    </row>
    <row r="82" spans="7:23" x14ac:dyDescent="0.25">
      <c r="G82" s="3"/>
      <c r="L82" s="269"/>
      <c r="M82" s="270"/>
      <c r="N82" s="36"/>
      <c r="O82" s="30"/>
      <c r="P82" s="30"/>
      <c r="Q82" s="30"/>
      <c r="R82" s="30"/>
      <c r="S82" s="30"/>
      <c r="T82" s="30"/>
      <c r="U82" s="30"/>
      <c r="V82" s="30"/>
      <c r="W82" s="30"/>
    </row>
    <row r="83" spans="7:23" x14ac:dyDescent="0.25">
      <c r="G83" s="3"/>
      <c r="L83" s="36"/>
      <c r="M83" s="36"/>
      <c r="N83" s="30"/>
      <c r="O83" s="30"/>
      <c r="P83" s="30"/>
      <c r="Q83" s="30"/>
      <c r="R83" s="30"/>
      <c r="S83" s="30"/>
      <c r="T83" s="30"/>
      <c r="U83" s="30"/>
      <c r="V83" s="30"/>
      <c r="W83" s="30"/>
    </row>
    <row r="84" spans="7:23" x14ac:dyDescent="0.25">
      <c r="G84" s="3"/>
      <c r="L84" s="30"/>
      <c r="M84" s="36"/>
      <c r="N84" s="30"/>
      <c r="O84" s="30"/>
      <c r="P84" s="30"/>
      <c r="Q84" s="30"/>
      <c r="R84" s="30"/>
      <c r="S84" s="30"/>
      <c r="T84" s="30"/>
      <c r="U84" s="30"/>
      <c r="V84" s="30"/>
      <c r="W84" s="30"/>
    </row>
    <row r="85" spans="7:23" x14ac:dyDescent="0.25">
      <c r="G85" s="3"/>
      <c r="L85" s="36"/>
      <c r="M85" s="36"/>
      <c r="N85" s="30"/>
      <c r="O85" s="30"/>
      <c r="P85" s="30"/>
      <c r="Q85" s="30"/>
      <c r="R85" s="30"/>
      <c r="S85" s="30"/>
      <c r="T85" s="30"/>
      <c r="U85" s="30"/>
      <c r="V85" s="30"/>
      <c r="W85" s="30"/>
    </row>
    <row r="86" spans="7:23" x14ac:dyDescent="0.25">
      <c r="G86" s="3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</row>
    <row r="87" spans="7:23" x14ac:dyDescent="0.25">
      <c r="G87" s="3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</row>
    <row r="88" spans="7:23" x14ac:dyDescent="0.25">
      <c r="G88" s="3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</row>
    <row r="89" spans="7:23" x14ac:dyDescent="0.25">
      <c r="G89" s="3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</row>
    <row r="90" spans="7:23" x14ac:dyDescent="0.25">
      <c r="G90" s="3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</row>
    <row r="91" spans="7:23" x14ac:dyDescent="0.25">
      <c r="G91" s="3"/>
    </row>
    <row r="92" spans="7:23" x14ac:dyDescent="0.25">
      <c r="G92" s="3"/>
    </row>
    <row r="93" spans="7:23" x14ac:dyDescent="0.25">
      <c r="G93" s="3"/>
    </row>
    <row r="94" spans="7:23" x14ac:dyDescent="0.25">
      <c r="G94" s="3"/>
    </row>
    <row r="95" spans="7:23" x14ac:dyDescent="0.25">
      <c r="G95" s="3"/>
    </row>
    <row r="96" spans="7:23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</sheetData>
  <mergeCells count="6">
    <mergeCell ref="I9:J9"/>
    <mergeCell ref="L7:P7"/>
    <mergeCell ref="B2:J2"/>
    <mergeCell ref="B3:J3"/>
    <mergeCell ref="L8:P8"/>
    <mergeCell ref="B4:I4"/>
  </mergeCells>
  <phoneticPr fontId="2" type="noConversion"/>
  <printOptions horizontalCentered="1"/>
  <pageMargins left="0.92" right="1" top="1" bottom="1" header="0.5" footer="0.5"/>
  <pageSetup scale="79" orientation="landscape" r:id="rId1"/>
  <headerFooter alignWithMargins="0">
    <oddFooter>&amp;R&amp;"Times New Roman,Bold"Exhibit D-1
Page 1 of 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 tint="0.59999389629810485"/>
    <pageSetUpPr fitToPage="1"/>
  </sheetPr>
  <dimension ref="A1:BY43"/>
  <sheetViews>
    <sheetView zoomScale="80" zoomScaleNormal="80" workbookViewId="0"/>
  </sheetViews>
  <sheetFormatPr defaultColWidth="8.88671875" defaultRowHeight="23.25" x14ac:dyDescent="0.35"/>
  <cols>
    <col min="1" max="1" width="9" style="3" bestFit="1" customWidth="1"/>
    <col min="2" max="2" width="12" style="3" customWidth="1"/>
    <col min="3" max="3" width="12.44140625" style="3" customWidth="1"/>
    <col min="4" max="4" width="14.33203125" style="3" customWidth="1"/>
    <col min="5" max="5" width="15.5546875" style="3" customWidth="1"/>
    <col min="6" max="6" width="14.44140625" style="3" customWidth="1"/>
    <col min="7" max="7" width="16.5546875" style="3" customWidth="1"/>
    <col min="8" max="8" width="16.109375" style="75" customWidth="1"/>
    <col min="9" max="70" width="8.88671875" style="3"/>
    <col min="71" max="71" width="9" style="3" bestFit="1" customWidth="1"/>
    <col min="72" max="72" width="8.88671875" style="3"/>
    <col min="73" max="73" width="9" style="3" bestFit="1" customWidth="1"/>
    <col min="74" max="74" width="8.88671875" style="3"/>
    <col min="75" max="75" width="9" style="3" bestFit="1" customWidth="1"/>
    <col min="76" max="76" width="8.88671875" style="3"/>
    <col min="77" max="77" width="10.77734375" style="3" bestFit="1" customWidth="1"/>
    <col min="78" max="16384" width="8.88671875" style="3"/>
  </cols>
  <sheetData>
    <row r="1" spans="1:77" ht="15.75" customHeight="1" x14ac:dyDescent="0.35"/>
    <row r="2" spans="1:77" ht="18.75" x14ac:dyDescent="0.3">
      <c r="B2" s="611" t="s">
        <v>5</v>
      </c>
      <c r="C2" s="611"/>
      <c r="D2" s="611"/>
      <c r="E2" s="611"/>
      <c r="F2" s="611"/>
      <c r="G2" s="611"/>
      <c r="H2" s="611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3" spans="1:77" ht="18.75" customHeight="1" x14ac:dyDescent="0.3">
      <c r="B3" s="615" t="s">
        <v>383</v>
      </c>
      <c r="C3" s="615"/>
      <c r="D3" s="615"/>
      <c r="E3" s="615"/>
      <c r="F3" s="615"/>
      <c r="G3" s="615"/>
      <c r="H3" s="615"/>
    </row>
    <row r="4" spans="1:77" ht="15.75" customHeight="1" x14ac:dyDescent="0.3">
      <c r="B4" s="589" t="str">
        <f>CONCATENATE("For Service Rendered On and After ",'Input Data'!$D$4)</f>
        <v>For Service Rendered On and After August 1, 2019</v>
      </c>
      <c r="C4" s="589"/>
      <c r="D4" s="589"/>
      <c r="E4" s="589"/>
      <c r="F4" s="589"/>
      <c r="G4" s="589"/>
      <c r="H4" s="589"/>
    </row>
    <row r="5" spans="1:77" ht="15.75" customHeight="1" x14ac:dyDescent="0.35"/>
    <row r="6" spans="1:77" ht="15.75" customHeight="1" x14ac:dyDescent="0.35">
      <c r="I6" s="569"/>
    </row>
    <row r="7" spans="1:77" x14ac:dyDescent="0.35">
      <c r="A7" s="15" t="s">
        <v>116</v>
      </c>
      <c r="B7" s="540" t="str">
        <f>VLOOKUP(B15,'Case Database'!$A$2:$D$200,3,FALSE)</f>
        <v>2018-00088</v>
      </c>
    </row>
    <row r="8" spans="1:77" ht="15.75" customHeight="1" x14ac:dyDescent="0.35"/>
    <row r="9" spans="1:77" ht="15.75" customHeight="1" x14ac:dyDescent="0.35"/>
    <row r="10" spans="1:77" ht="31.5" x14ac:dyDescent="0.25">
      <c r="A10" s="536" t="s">
        <v>250</v>
      </c>
      <c r="B10" s="185" t="s">
        <v>353</v>
      </c>
      <c r="C10" s="185" t="s">
        <v>314</v>
      </c>
      <c r="D10" s="185" t="s">
        <v>330</v>
      </c>
      <c r="E10" s="185" t="s">
        <v>331</v>
      </c>
      <c r="F10" s="185" t="s">
        <v>281</v>
      </c>
      <c r="G10" s="185" t="s">
        <v>305</v>
      </c>
      <c r="H10" s="185" t="s">
        <v>306</v>
      </c>
      <c r="I10" s="79"/>
      <c r="J10" s="203"/>
      <c r="K10" s="79"/>
      <c r="N10" s="204"/>
      <c r="Q10" s="204"/>
      <c r="R10" s="204"/>
      <c r="S10" s="186"/>
      <c r="T10" s="186"/>
      <c r="W10" s="204"/>
      <c r="X10" s="204"/>
      <c r="Y10" s="204"/>
      <c r="Z10" s="204"/>
      <c r="AA10" s="186"/>
      <c r="AB10" s="186"/>
      <c r="AC10" s="186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186"/>
      <c r="BS10" s="204"/>
      <c r="BT10" s="186"/>
      <c r="BU10" s="204"/>
      <c r="BV10" s="186"/>
      <c r="BW10" s="204"/>
      <c r="BX10" s="186"/>
      <c r="BY10" s="189" t="s">
        <v>275</v>
      </c>
    </row>
    <row r="11" spans="1:77" ht="15.75" x14ac:dyDescent="0.25">
      <c r="A11" s="531"/>
      <c r="B11" s="190" t="s">
        <v>60</v>
      </c>
      <c r="C11" s="190" t="s">
        <v>61</v>
      </c>
      <c r="D11" s="190" t="s">
        <v>62</v>
      </c>
      <c r="E11" s="190" t="s">
        <v>63</v>
      </c>
      <c r="F11" s="197" t="s">
        <v>64</v>
      </c>
      <c r="G11" s="190" t="s">
        <v>475</v>
      </c>
      <c r="H11" s="188" t="s">
        <v>332</v>
      </c>
      <c r="I11" s="79"/>
      <c r="J11" s="203"/>
      <c r="K11" s="79"/>
      <c r="N11" s="204"/>
      <c r="Q11" s="204"/>
      <c r="R11" s="204"/>
      <c r="S11" s="186"/>
      <c r="T11" s="186"/>
      <c r="W11" s="204"/>
      <c r="X11" s="204"/>
      <c r="Y11" s="204"/>
      <c r="Z11" s="204"/>
      <c r="AA11" s="186"/>
      <c r="AB11" s="186"/>
      <c r="AC11" s="186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186"/>
      <c r="BS11" s="204"/>
      <c r="BT11" s="186"/>
      <c r="BU11" s="204"/>
      <c r="BV11" s="186"/>
      <c r="BW11" s="204"/>
      <c r="BX11" s="186"/>
      <c r="BY11" s="120" t="s">
        <v>278</v>
      </c>
    </row>
    <row r="12" spans="1:77" x14ac:dyDescent="0.35">
      <c r="A12" s="531"/>
      <c r="B12" s="120"/>
      <c r="C12" s="120"/>
      <c r="D12" s="198"/>
      <c r="E12" s="198"/>
      <c r="G12" s="189"/>
      <c r="H12" s="253"/>
      <c r="I12" s="79"/>
      <c r="J12" s="203"/>
      <c r="K12" s="79"/>
      <c r="N12" s="204"/>
      <c r="Q12" s="204"/>
      <c r="R12" s="204"/>
      <c r="S12" s="186"/>
      <c r="T12" s="186"/>
      <c r="W12" s="204"/>
      <c r="X12" s="204"/>
      <c r="Y12" s="204"/>
      <c r="Z12" s="204"/>
      <c r="AA12" s="186"/>
      <c r="AB12" s="186"/>
      <c r="AC12" s="186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186"/>
      <c r="BS12" s="204"/>
      <c r="BT12" s="186"/>
      <c r="BU12" s="204"/>
      <c r="BV12" s="186"/>
      <c r="BW12" s="204"/>
      <c r="BX12" s="186"/>
      <c r="BY12" s="189"/>
    </row>
    <row r="13" spans="1:77" ht="15.75" x14ac:dyDescent="0.25">
      <c r="A13" s="531">
        <v>1</v>
      </c>
      <c r="D13" s="198"/>
      <c r="E13" s="198"/>
      <c r="G13" s="199" t="s">
        <v>274</v>
      </c>
      <c r="H13" s="196">
        <v>0</v>
      </c>
      <c r="I13" s="79"/>
      <c r="J13" s="203"/>
      <c r="K13" s="79"/>
      <c r="N13" s="204"/>
      <c r="Q13" s="204"/>
      <c r="R13" s="204"/>
      <c r="S13" s="186"/>
      <c r="T13" s="186"/>
      <c r="W13" s="204"/>
      <c r="X13" s="204"/>
      <c r="Y13" s="204"/>
      <c r="Z13" s="204"/>
      <c r="AA13" s="186"/>
      <c r="AB13" s="186"/>
      <c r="AC13" s="186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186"/>
      <c r="BS13" s="204"/>
      <c r="BT13" s="186"/>
      <c r="BU13" s="204"/>
      <c r="BV13" s="186"/>
      <c r="BW13" s="204"/>
      <c r="BX13" s="186"/>
      <c r="BY13" s="189">
        <v>-411623</v>
      </c>
    </row>
    <row r="14" spans="1:77" ht="15.75" x14ac:dyDescent="0.25">
      <c r="A14" s="531"/>
      <c r="D14" s="198"/>
      <c r="E14" s="198"/>
      <c r="G14" s="120"/>
      <c r="H14" s="189"/>
      <c r="I14" s="79"/>
      <c r="J14" s="203"/>
      <c r="K14" s="79"/>
      <c r="N14" s="204"/>
      <c r="Q14" s="204"/>
      <c r="R14" s="204"/>
      <c r="S14" s="186"/>
      <c r="T14" s="186"/>
      <c r="W14" s="204"/>
      <c r="X14" s="204"/>
      <c r="Y14" s="204"/>
      <c r="Z14" s="204"/>
      <c r="AA14" s="186"/>
      <c r="AB14" s="186"/>
      <c r="AC14" s="186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186"/>
      <c r="BS14" s="204"/>
      <c r="BT14" s="186"/>
      <c r="BU14" s="204"/>
      <c r="BV14" s="186"/>
      <c r="BW14" s="204"/>
      <c r="BX14" s="186"/>
      <c r="BY14" s="189"/>
    </row>
    <row r="15" spans="1:77" ht="15.75" x14ac:dyDescent="0.25">
      <c r="A15" s="531">
        <v>2</v>
      </c>
      <c r="B15" s="190">
        <f>'Input Data'!C8</f>
        <v>43221</v>
      </c>
      <c r="C15" s="190" t="s">
        <v>369</v>
      </c>
      <c r="D15" s="47">
        <f>VLOOKUP($B15,'Sales Volumes'!$A$1:$H$100,4,FALSE)</f>
        <v>718606.2</v>
      </c>
      <c r="E15" s="47">
        <f>VLOOKUP($B15,'Sales Volumes'!$A$1:$H$100,5,FALSE)</f>
        <v>58553.2</v>
      </c>
      <c r="F15" s="159">
        <v>0</v>
      </c>
      <c r="G15" s="160">
        <f t="shared" ref="G15:G27" si="0">ROUND((D15+E15)*F15,2)</f>
        <v>0</v>
      </c>
      <c r="H15" s="160">
        <f>+H13-G15</f>
        <v>0</v>
      </c>
      <c r="I15" s="79"/>
      <c r="J15" s="203"/>
      <c r="K15" s="79"/>
      <c r="N15" s="204"/>
      <c r="Q15" s="204"/>
      <c r="R15" s="204"/>
      <c r="S15" s="186"/>
      <c r="T15" s="186"/>
      <c r="W15" s="204"/>
      <c r="X15" s="204"/>
      <c r="Y15" s="204"/>
      <c r="Z15" s="204"/>
      <c r="AA15" s="186"/>
      <c r="AB15" s="186"/>
      <c r="AC15" s="186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186"/>
      <c r="BS15" s="204" t="e">
        <v>#REF!</v>
      </c>
      <c r="BT15" s="186" t="s">
        <v>61</v>
      </c>
      <c r="BU15" s="204" t="e">
        <v>#REF!</v>
      </c>
      <c r="BV15" s="186" t="s">
        <v>60</v>
      </c>
      <c r="BW15" s="204" t="e">
        <v>#REF!</v>
      </c>
      <c r="BX15" s="186" t="s">
        <v>60</v>
      </c>
      <c r="BY15" s="189">
        <v>-402587.94319999998</v>
      </c>
    </row>
    <row r="16" spans="1:77" ht="15.75" x14ac:dyDescent="0.25">
      <c r="A16" s="531">
        <v>3</v>
      </c>
      <c r="B16" s="190">
        <f>EDATE(B15,1)</f>
        <v>43252</v>
      </c>
      <c r="C16" s="190"/>
      <c r="D16" s="47">
        <f>VLOOKUP($B16,'Sales Volumes'!$A$1:$H$100,4,FALSE)</f>
        <v>786735.4</v>
      </c>
      <c r="E16" s="47">
        <f>VLOOKUP($B16,'Sales Volumes'!$A$1:$H$100,5,FALSE)</f>
        <v>55149.7</v>
      </c>
      <c r="F16" s="159">
        <f>$F$15</f>
        <v>0</v>
      </c>
      <c r="G16" s="160">
        <f t="shared" si="0"/>
        <v>0</v>
      </c>
      <c r="H16" s="160">
        <f>H15-G16</f>
        <v>0</v>
      </c>
      <c r="I16" s="79"/>
      <c r="J16" s="203"/>
      <c r="K16" s="79"/>
      <c r="N16" s="204"/>
      <c r="Q16" s="204"/>
      <c r="R16" s="204"/>
      <c r="S16" s="186"/>
      <c r="T16" s="186"/>
      <c r="W16" s="204"/>
      <c r="X16" s="204"/>
      <c r="Y16" s="204"/>
      <c r="Z16" s="204"/>
      <c r="AA16" s="186"/>
      <c r="AB16" s="186"/>
      <c r="AC16" s="186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186"/>
      <c r="BS16" s="204"/>
      <c r="BT16" s="204"/>
      <c r="BU16" s="204" t="e">
        <v>#REF!</v>
      </c>
      <c r="BV16" s="186" t="s">
        <v>60</v>
      </c>
      <c r="BW16" s="204" t="e">
        <v>#REF!</v>
      </c>
      <c r="BX16" s="186" t="s">
        <v>60</v>
      </c>
      <c r="BY16" s="189">
        <v>-389209.51574</v>
      </c>
    </row>
    <row r="17" spans="1:77" ht="15.75" x14ac:dyDescent="0.25">
      <c r="A17" s="531">
        <v>4</v>
      </c>
      <c r="B17" s="190">
        <f t="shared" ref="B17:B27" si="1">EDATE(B16,1)</f>
        <v>43282</v>
      </c>
      <c r="C17" s="190"/>
      <c r="D17" s="47">
        <f>VLOOKUP($B17,'Sales Volumes'!$A$1:$H$100,4,FALSE)</f>
        <v>19470.099999999999</v>
      </c>
      <c r="E17" s="47">
        <f>VLOOKUP($B17,'Sales Volumes'!$A$1:$H$100,5,FALSE)</f>
        <v>47377.000000000007</v>
      </c>
      <c r="F17" s="159">
        <f t="shared" ref="F17:F27" si="2">$F$15</f>
        <v>0</v>
      </c>
      <c r="G17" s="160">
        <f t="shared" si="0"/>
        <v>0</v>
      </c>
      <c r="H17" s="160">
        <f t="shared" ref="H17:H27" si="3">H16-G17</f>
        <v>0</v>
      </c>
      <c r="I17" s="79"/>
      <c r="J17" s="203"/>
      <c r="K17" s="79"/>
      <c r="N17" s="204"/>
      <c r="Q17" s="204"/>
      <c r="R17" s="204"/>
      <c r="S17" s="186"/>
      <c r="T17" s="186"/>
      <c r="W17" s="204"/>
      <c r="X17" s="204"/>
      <c r="Y17" s="204"/>
      <c r="Z17" s="204"/>
      <c r="AA17" s="186"/>
      <c r="AB17" s="186"/>
      <c r="AC17" s="186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186"/>
      <c r="BS17" s="204"/>
      <c r="BT17" s="204"/>
      <c r="BU17" s="204" t="e">
        <v>#REF!</v>
      </c>
      <c r="BV17" s="186" t="s">
        <v>60</v>
      </c>
      <c r="BW17" s="204" t="e">
        <v>#REF!</v>
      </c>
      <c r="BX17" s="186" t="s">
        <v>60</v>
      </c>
      <c r="BY17" s="189">
        <v>-379257.88942999998</v>
      </c>
    </row>
    <row r="18" spans="1:77" ht="15.75" x14ac:dyDescent="0.25">
      <c r="A18" s="531">
        <v>5</v>
      </c>
      <c r="B18" s="190">
        <f t="shared" si="1"/>
        <v>43313</v>
      </c>
      <c r="C18" s="190"/>
      <c r="D18" s="47">
        <f>VLOOKUP($B18,'Sales Volumes'!$A$1:$H$100,4,FALSE)</f>
        <v>375256.5</v>
      </c>
      <c r="E18" s="47">
        <f>VLOOKUP($B18,'Sales Volumes'!$A$1:$H$100,5,FALSE)</f>
        <v>60415.3</v>
      </c>
      <c r="F18" s="159">
        <f t="shared" si="2"/>
        <v>0</v>
      </c>
      <c r="G18" s="160">
        <f t="shared" si="0"/>
        <v>0</v>
      </c>
      <c r="H18" s="160">
        <f t="shared" si="3"/>
        <v>0</v>
      </c>
      <c r="I18" s="79"/>
      <c r="J18" s="203"/>
      <c r="K18" s="79"/>
      <c r="N18" s="204"/>
      <c r="Q18" s="204"/>
      <c r="R18" s="204"/>
      <c r="S18" s="186"/>
      <c r="T18" s="186"/>
      <c r="W18" s="204"/>
      <c r="X18" s="204"/>
      <c r="Y18" s="204"/>
      <c r="Z18" s="204"/>
      <c r="AA18" s="186"/>
      <c r="AB18" s="186"/>
      <c r="AC18" s="186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186"/>
      <c r="BS18" s="204"/>
      <c r="BT18" s="204"/>
      <c r="BU18" s="204" t="e">
        <v>#REF!</v>
      </c>
      <c r="BV18" s="186" t="s">
        <v>61</v>
      </c>
      <c r="BW18" s="204" t="e">
        <v>#REF!</v>
      </c>
      <c r="BX18" s="186" t="s">
        <v>60</v>
      </c>
      <c r="BY18" s="189">
        <v>-369315.90457999997</v>
      </c>
    </row>
    <row r="19" spans="1:77" ht="15.75" x14ac:dyDescent="0.25">
      <c r="A19" s="531">
        <v>6</v>
      </c>
      <c r="B19" s="190">
        <f t="shared" si="1"/>
        <v>43344</v>
      </c>
      <c r="C19" s="190"/>
      <c r="D19" s="47">
        <f>VLOOKUP($B19,'Sales Volumes'!$A$1:$H$100,4,FALSE)</f>
        <v>706162.4</v>
      </c>
      <c r="E19" s="47">
        <f>VLOOKUP($B19,'Sales Volumes'!$A$1:$H$100,5,FALSE)</f>
        <v>62054.6</v>
      </c>
      <c r="F19" s="159">
        <f t="shared" si="2"/>
        <v>0</v>
      </c>
      <c r="G19" s="160">
        <f t="shared" si="0"/>
        <v>0</v>
      </c>
      <c r="H19" s="160">
        <f t="shared" si="3"/>
        <v>0</v>
      </c>
      <c r="I19" s="79"/>
      <c r="J19" s="203"/>
      <c r="K19" s="79"/>
      <c r="N19" s="204"/>
      <c r="Q19" s="204"/>
      <c r="R19" s="204"/>
      <c r="S19" s="186"/>
      <c r="T19" s="186"/>
      <c r="W19" s="204"/>
      <c r="X19" s="204"/>
      <c r="Y19" s="204"/>
      <c r="Z19" s="204"/>
      <c r="AA19" s="186"/>
      <c r="AB19" s="186"/>
      <c r="AC19" s="186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186"/>
      <c r="BS19" s="204"/>
      <c r="BT19" s="204"/>
      <c r="BU19" s="204"/>
      <c r="BV19" s="204"/>
      <c r="BW19" s="204" t="e">
        <v>#REF!</v>
      </c>
      <c r="BX19" s="186" t="s">
        <v>60</v>
      </c>
      <c r="BY19" s="189">
        <v>-359018.76595999999</v>
      </c>
    </row>
    <row r="20" spans="1:77" ht="15.75" x14ac:dyDescent="0.25">
      <c r="A20" s="531">
        <v>7</v>
      </c>
      <c r="B20" s="190">
        <f t="shared" si="1"/>
        <v>43374</v>
      </c>
      <c r="C20" s="190"/>
      <c r="D20" s="47">
        <f>VLOOKUP($B20,'Sales Volumes'!$A$1:$H$100,4,FALSE)</f>
        <v>1072668.3999999999</v>
      </c>
      <c r="E20" s="47">
        <f>VLOOKUP($B20,'Sales Volumes'!$A$1:$H$100,5,FALSE)</f>
        <v>71891.399999999994</v>
      </c>
      <c r="F20" s="159">
        <f t="shared" si="2"/>
        <v>0</v>
      </c>
      <c r="G20" s="160">
        <f t="shared" si="0"/>
        <v>0</v>
      </c>
      <c r="H20" s="160">
        <f t="shared" si="3"/>
        <v>0</v>
      </c>
      <c r="I20" s="79"/>
      <c r="J20" s="203"/>
      <c r="K20" s="79"/>
      <c r="N20" s="204"/>
      <c r="Q20" s="204"/>
      <c r="R20" s="204"/>
      <c r="S20" s="186"/>
      <c r="T20" s="186"/>
      <c r="W20" s="204"/>
      <c r="X20" s="204"/>
      <c r="Y20" s="204"/>
      <c r="Z20" s="204"/>
      <c r="AA20" s="186"/>
      <c r="AB20" s="186"/>
      <c r="AC20" s="186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186"/>
      <c r="BS20" s="204"/>
      <c r="BT20" s="204"/>
      <c r="BU20" s="204"/>
      <c r="BV20" s="204"/>
      <c r="BW20" s="204" t="e">
        <v>#REF!</v>
      </c>
      <c r="BX20" s="186" t="s">
        <v>60</v>
      </c>
      <c r="BY20" s="189">
        <v>-345075.15596</v>
      </c>
    </row>
    <row r="21" spans="1:77" ht="15.75" x14ac:dyDescent="0.25">
      <c r="A21" s="531">
        <v>8</v>
      </c>
      <c r="B21" s="190">
        <f t="shared" si="1"/>
        <v>43405</v>
      </c>
      <c r="C21" s="190"/>
      <c r="D21" s="47">
        <f>VLOOKUP($B21,'Sales Volumes'!$A$1:$H$100,4,FALSE)</f>
        <v>1568470.4</v>
      </c>
      <c r="E21" s="47">
        <f>VLOOKUP($B21,'Sales Volumes'!$A$1:$H$100,5,FALSE)</f>
        <v>42525</v>
      </c>
      <c r="F21" s="159">
        <f t="shared" si="2"/>
        <v>0</v>
      </c>
      <c r="G21" s="160">
        <f t="shared" si="0"/>
        <v>0</v>
      </c>
      <c r="H21" s="160">
        <f t="shared" si="3"/>
        <v>0</v>
      </c>
      <c r="I21" s="79"/>
      <c r="J21" s="203"/>
      <c r="K21" s="79"/>
      <c r="N21" s="204"/>
      <c r="Q21" s="204"/>
      <c r="R21" s="204"/>
      <c r="S21" s="186"/>
      <c r="T21" s="186"/>
      <c r="W21" s="204"/>
      <c r="X21" s="204"/>
      <c r="Y21" s="204"/>
      <c r="Z21" s="204"/>
      <c r="AA21" s="186"/>
      <c r="AB21" s="186"/>
      <c r="AC21" s="186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186"/>
      <c r="BS21" s="204"/>
      <c r="BT21" s="204"/>
      <c r="BU21" s="204"/>
      <c r="BV21" s="204"/>
      <c r="BW21" s="204" t="e">
        <v>#REF!</v>
      </c>
      <c r="BX21" s="186" t="s">
        <v>61</v>
      </c>
      <c r="BY21" s="189">
        <v>-318552.39218000002</v>
      </c>
    </row>
    <row r="22" spans="1:77" ht="15.75" x14ac:dyDescent="0.25">
      <c r="A22" s="531">
        <v>9</v>
      </c>
      <c r="B22" s="190">
        <f t="shared" si="1"/>
        <v>43435</v>
      </c>
      <c r="C22" s="190"/>
      <c r="D22" s="47">
        <f>VLOOKUP($B22,'Sales Volumes'!$A$1:$H$100,4,FALSE)</f>
        <v>4688709.7</v>
      </c>
      <c r="E22" s="47">
        <f>VLOOKUP($B22,'Sales Volumes'!$A$1:$H$100,5,FALSE)</f>
        <v>29030.399999999998</v>
      </c>
      <c r="F22" s="159">
        <f t="shared" si="2"/>
        <v>0</v>
      </c>
      <c r="G22" s="160">
        <f t="shared" si="0"/>
        <v>0</v>
      </c>
      <c r="H22" s="160">
        <f t="shared" si="3"/>
        <v>0</v>
      </c>
      <c r="I22" s="79"/>
      <c r="J22" s="203"/>
      <c r="K22" s="79"/>
      <c r="N22" s="204"/>
      <c r="Q22" s="204"/>
      <c r="R22" s="204"/>
      <c r="S22" s="186"/>
      <c r="T22" s="186"/>
      <c r="W22" s="204"/>
      <c r="X22" s="204"/>
      <c r="Y22" s="204"/>
      <c r="Z22" s="204"/>
      <c r="AA22" s="186"/>
      <c r="AB22" s="186"/>
      <c r="AC22" s="186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186"/>
      <c r="BS22" s="204"/>
      <c r="BT22" s="204"/>
      <c r="BU22" s="204"/>
      <c r="BV22" s="204"/>
      <c r="BW22" s="204"/>
      <c r="BX22" s="186"/>
      <c r="BY22" s="189">
        <v>-272826.39557000005</v>
      </c>
    </row>
    <row r="23" spans="1:77" ht="15.75" x14ac:dyDescent="0.25">
      <c r="A23" s="531">
        <v>10</v>
      </c>
      <c r="B23" s="190">
        <f t="shared" si="1"/>
        <v>43466</v>
      </c>
      <c r="C23" s="190"/>
      <c r="D23" s="47">
        <f>VLOOKUP($B23,'Sales Volumes'!$A$1:$H$100,4,FALSE)</f>
        <v>5189832.4000000004</v>
      </c>
      <c r="E23" s="47">
        <f>VLOOKUP($B23,'Sales Volumes'!$A$1:$H$100,5,FALSE)</f>
        <v>12021.099999999999</v>
      </c>
      <c r="F23" s="159">
        <f t="shared" si="2"/>
        <v>0</v>
      </c>
      <c r="G23" s="160">
        <f t="shared" si="0"/>
        <v>0</v>
      </c>
      <c r="H23" s="160">
        <f t="shared" si="3"/>
        <v>0</v>
      </c>
      <c r="I23" s="79"/>
      <c r="J23" s="203"/>
      <c r="K23" s="79"/>
      <c r="N23" s="204"/>
      <c r="Q23" s="204"/>
      <c r="R23" s="204"/>
      <c r="S23" s="186"/>
      <c r="T23" s="186"/>
      <c r="W23" s="204"/>
      <c r="X23" s="204"/>
      <c r="Y23" s="204"/>
      <c r="Z23" s="204"/>
      <c r="AA23" s="186"/>
      <c r="AB23" s="186"/>
      <c r="AC23" s="186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186"/>
      <c r="BS23" s="204"/>
      <c r="BT23" s="204"/>
      <c r="BU23" s="204"/>
      <c r="BV23" s="204"/>
      <c r="BW23" s="204"/>
      <c r="BX23" s="186"/>
      <c r="BY23" s="189">
        <v>-205104.66959000006</v>
      </c>
    </row>
    <row r="24" spans="1:77" ht="15.75" x14ac:dyDescent="0.25">
      <c r="A24" s="531">
        <v>11</v>
      </c>
      <c r="B24" s="190">
        <f t="shared" si="1"/>
        <v>43497</v>
      </c>
      <c r="C24" s="190"/>
      <c r="D24" s="47">
        <f>VLOOKUP($B24,'Sales Volumes'!$A$1:$H$100,4,FALSE)</f>
        <v>2936057.3</v>
      </c>
      <c r="E24" s="47">
        <f>VLOOKUP($B24,'Sales Volumes'!$A$1:$H$100,5,FALSE)</f>
        <v>4909</v>
      </c>
      <c r="F24" s="159">
        <f t="shared" si="2"/>
        <v>0</v>
      </c>
      <c r="G24" s="160">
        <f t="shared" si="0"/>
        <v>0</v>
      </c>
      <c r="H24" s="160">
        <f t="shared" si="3"/>
        <v>0</v>
      </c>
      <c r="I24" s="79"/>
      <c r="J24" s="203"/>
      <c r="K24" s="79"/>
      <c r="N24" s="204"/>
      <c r="Q24" s="204"/>
      <c r="R24" s="204"/>
      <c r="S24" s="186"/>
      <c r="T24" s="186"/>
      <c r="W24" s="204"/>
      <c r="X24" s="204"/>
      <c r="Y24" s="204"/>
      <c r="Z24" s="204"/>
      <c r="AA24" s="186"/>
      <c r="AB24" s="186"/>
      <c r="AC24" s="186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186"/>
      <c r="BS24" s="204"/>
      <c r="BT24" s="204"/>
      <c r="BU24" s="204"/>
      <c r="BV24" s="204"/>
      <c r="BW24" s="204"/>
      <c r="BX24" s="186"/>
      <c r="BY24" s="189">
        <v>-140806.26692000008</v>
      </c>
    </row>
    <row r="25" spans="1:77" ht="15.75" x14ac:dyDescent="0.25">
      <c r="A25" s="531">
        <v>12</v>
      </c>
      <c r="B25" s="190">
        <f t="shared" si="1"/>
        <v>43525</v>
      </c>
      <c r="C25" s="190"/>
      <c r="D25" s="47">
        <f>VLOOKUP($B25,'Sales Volumes'!$A$1:$H$100,4,FALSE)</f>
        <v>4861447.5</v>
      </c>
      <c r="E25" s="47">
        <f>VLOOKUP($B25,'Sales Volumes'!$A$1:$H$100,5,FALSE)</f>
        <v>13299.199999999999</v>
      </c>
      <c r="F25" s="159">
        <f t="shared" si="2"/>
        <v>0</v>
      </c>
      <c r="G25" s="160">
        <f t="shared" si="0"/>
        <v>0</v>
      </c>
      <c r="H25" s="160">
        <f t="shared" si="3"/>
        <v>0</v>
      </c>
      <c r="I25" s="79"/>
      <c r="J25" s="203"/>
      <c r="K25" s="79"/>
      <c r="N25" s="204"/>
      <c r="Q25" s="204"/>
      <c r="R25" s="204"/>
      <c r="S25" s="186"/>
      <c r="T25" s="186"/>
      <c r="W25" s="204"/>
      <c r="X25" s="204"/>
      <c r="Y25" s="204"/>
      <c r="Z25" s="204"/>
      <c r="AA25" s="186"/>
      <c r="AB25" s="186"/>
      <c r="AC25" s="186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186"/>
      <c r="BS25" s="204"/>
      <c r="BT25" s="204"/>
      <c r="BU25" s="204"/>
      <c r="BV25" s="204"/>
      <c r="BW25" s="204"/>
      <c r="BX25" s="186"/>
      <c r="BY25" s="189">
        <v>-95338.527020000081</v>
      </c>
    </row>
    <row r="26" spans="1:77" ht="15.75" x14ac:dyDescent="0.25">
      <c r="A26" s="531">
        <v>13</v>
      </c>
      <c r="B26" s="190">
        <f t="shared" si="1"/>
        <v>43556</v>
      </c>
      <c r="C26" s="190"/>
      <c r="D26" s="47">
        <f>VLOOKUP($B26,'Sales Volumes'!$A$1:$H$100,4,FALSE)</f>
        <v>2740985.5</v>
      </c>
      <c r="E26" s="47">
        <f>VLOOKUP($B26,'Sales Volumes'!$A$1:$H$100,5,FALSE)</f>
        <v>36260.5</v>
      </c>
      <c r="F26" s="159">
        <f t="shared" si="2"/>
        <v>0</v>
      </c>
      <c r="G26" s="160">
        <f t="shared" si="0"/>
        <v>0</v>
      </c>
      <c r="H26" s="160">
        <f t="shared" si="3"/>
        <v>0</v>
      </c>
      <c r="I26" s="79"/>
      <c r="J26" s="203"/>
      <c r="K26" s="79"/>
      <c r="N26" s="204"/>
      <c r="Q26" s="204"/>
      <c r="R26" s="204"/>
      <c r="S26" s="186"/>
      <c r="T26" s="186"/>
      <c r="W26" s="204"/>
      <c r="X26" s="204"/>
      <c r="Y26" s="204"/>
      <c r="Z26" s="204"/>
      <c r="AA26" s="186"/>
      <c r="AB26" s="186"/>
      <c r="AC26" s="186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186"/>
      <c r="BS26" s="204"/>
      <c r="BT26" s="204"/>
      <c r="BU26" s="204"/>
      <c r="BV26" s="204"/>
      <c r="BW26" s="204"/>
      <c r="BX26" s="186"/>
      <c r="BY26" s="189">
        <v>-76782.608450000087</v>
      </c>
    </row>
    <row r="27" spans="1:77" ht="15.75" x14ac:dyDescent="0.25">
      <c r="A27" s="531">
        <v>14</v>
      </c>
      <c r="B27" s="190">
        <f t="shared" si="1"/>
        <v>43586</v>
      </c>
      <c r="C27" s="190" t="s">
        <v>369</v>
      </c>
      <c r="D27" s="47">
        <f>VLOOKUP($B27,'Sales Volumes'!$A$1:$H$100,4,FALSE)</f>
        <v>582683.6</v>
      </c>
      <c r="E27" s="47">
        <f>VLOOKUP($B27,'Sales Volumes'!$A$1:$H$100,5,FALSE)</f>
        <v>0</v>
      </c>
      <c r="F27" s="159">
        <f t="shared" si="2"/>
        <v>0</v>
      </c>
      <c r="G27" s="160">
        <f t="shared" si="0"/>
        <v>0</v>
      </c>
      <c r="H27" s="160">
        <f t="shared" si="3"/>
        <v>0</v>
      </c>
      <c r="I27" s="79"/>
      <c r="J27" s="203"/>
      <c r="K27" s="79"/>
      <c r="N27" s="204"/>
      <c r="Q27" s="204"/>
      <c r="R27" s="204"/>
      <c r="S27" s="186"/>
      <c r="T27" s="186"/>
      <c r="W27" s="204"/>
      <c r="X27" s="204"/>
      <c r="Y27" s="204"/>
      <c r="Z27" s="204"/>
      <c r="AA27" s="186"/>
      <c r="AB27" s="186"/>
      <c r="AC27" s="186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186"/>
      <c r="BS27" s="204"/>
      <c r="BT27" s="204"/>
      <c r="BU27" s="204"/>
      <c r="BV27" s="204"/>
      <c r="BW27" s="204"/>
      <c r="BX27" s="186"/>
      <c r="BY27" s="189">
        <v>-68418.687050000095</v>
      </c>
    </row>
    <row r="28" spans="1:77" ht="15.75" x14ac:dyDescent="0.25">
      <c r="A28" s="531"/>
      <c r="D28" s="189"/>
      <c r="E28" s="189"/>
      <c r="F28" s="196"/>
      <c r="H28" s="196"/>
      <c r="I28" s="79"/>
      <c r="J28" s="203"/>
      <c r="K28" s="79"/>
      <c r="N28" s="204"/>
      <c r="Q28" s="204"/>
      <c r="R28" s="204"/>
      <c r="S28" s="186"/>
      <c r="T28" s="186"/>
      <c r="W28" s="204"/>
      <c r="X28" s="204"/>
      <c r="Y28" s="204"/>
      <c r="Z28" s="204"/>
      <c r="AA28" s="186"/>
      <c r="AB28" s="186"/>
      <c r="AC28" s="186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186"/>
      <c r="BS28" s="204"/>
      <c r="BT28" s="204"/>
      <c r="BU28" s="204"/>
      <c r="BV28" s="204"/>
      <c r="BW28" s="204"/>
      <c r="BX28" s="186"/>
      <c r="BY28" s="189"/>
    </row>
    <row r="29" spans="1:77" ht="15.75" x14ac:dyDescent="0.25">
      <c r="A29" s="531"/>
      <c r="D29" s="189"/>
      <c r="E29" s="189"/>
      <c r="F29" s="196" t="s">
        <v>367</v>
      </c>
      <c r="G29" s="160">
        <f>SUM(G15:G28)</f>
        <v>0</v>
      </c>
      <c r="H29" s="196"/>
      <c r="I29" s="79"/>
      <c r="J29" s="203"/>
      <c r="K29" s="79"/>
      <c r="N29" s="204"/>
      <c r="Q29" s="204"/>
      <c r="R29" s="204"/>
      <c r="S29" s="186"/>
      <c r="T29" s="186"/>
      <c r="W29" s="204"/>
      <c r="X29" s="204"/>
      <c r="Y29" s="204"/>
      <c r="Z29" s="204"/>
      <c r="AA29" s="186"/>
      <c r="AB29" s="186"/>
      <c r="AC29" s="186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186"/>
      <c r="BS29" s="204"/>
      <c r="BT29" s="204"/>
      <c r="BU29" s="204"/>
      <c r="BV29" s="204"/>
      <c r="BW29" s="204"/>
      <c r="BX29" s="186"/>
      <c r="BY29" s="189"/>
    </row>
    <row r="30" spans="1:77" ht="15.75" x14ac:dyDescent="0.25">
      <c r="A30" s="531"/>
      <c r="D30" s="189"/>
      <c r="E30" s="189"/>
      <c r="F30" s="196"/>
      <c r="G30" s="85"/>
      <c r="H30" s="196"/>
      <c r="I30" s="79"/>
      <c r="J30" s="203"/>
      <c r="K30" s="79"/>
      <c r="N30" s="204"/>
      <c r="Q30" s="204"/>
      <c r="R30" s="204"/>
      <c r="S30" s="186"/>
      <c r="T30" s="186"/>
      <c r="W30" s="204"/>
      <c r="X30" s="204"/>
      <c r="Y30" s="204"/>
      <c r="Z30" s="204"/>
      <c r="AA30" s="186"/>
      <c r="AB30" s="186"/>
      <c r="AC30" s="186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186"/>
      <c r="BS30" s="204"/>
      <c r="BT30" s="204"/>
      <c r="BU30" s="204"/>
      <c r="BV30" s="204"/>
      <c r="BW30" s="204"/>
      <c r="BX30" s="186"/>
      <c r="BY30" s="189"/>
    </row>
    <row r="31" spans="1:77" ht="15.75" x14ac:dyDescent="0.25">
      <c r="A31" s="531">
        <v>15</v>
      </c>
      <c r="D31" s="189"/>
      <c r="E31" s="189"/>
      <c r="F31" s="54" t="s">
        <v>307</v>
      </c>
      <c r="G31" s="160">
        <f>ROUND(H27,0)</f>
        <v>0</v>
      </c>
      <c r="H31" s="196"/>
      <c r="I31" s="79"/>
      <c r="J31" s="203"/>
      <c r="K31" s="79"/>
      <c r="N31" s="204"/>
      <c r="Q31" s="204"/>
      <c r="R31" s="204"/>
      <c r="S31" s="186"/>
      <c r="T31" s="186"/>
      <c r="W31" s="204"/>
      <c r="X31" s="204"/>
      <c r="Y31" s="204"/>
      <c r="Z31" s="204"/>
      <c r="AA31" s="186"/>
      <c r="AB31" s="186"/>
      <c r="AC31" s="186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186"/>
      <c r="BS31" s="204"/>
      <c r="BT31" s="204"/>
      <c r="BU31" s="204"/>
      <c r="BV31" s="204"/>
      <c r="BW31" s="204"/>
      <c r="BX31" s="186"/>
      <c r="BY31" s="189"/>
    </row>
    <row r="32" spans="1:77" ht="15.75" x14ac:dyDescent="0.25">
      <c r="A32" s="531"/>
      <c r="D32" s="189"/>
      <c r="E32" s="189"/>
      <c r="F32" s="196"/>
      <c r="H32" s="196"/>
      <c r="I32" s="79"/>
      <c r="J32" s="203"/>
      <c r="K32" s="79"/>
      <c r="N32" s="204"/>
      <c r="Q32" s="204"/>
      <c r="R32" s="204"/>
      <c r="S32" s="186"/>
      <c r="T32" s="186"/>
      <c r="W32" s="204"/>
      <c r="X32" s="204"/>
      <c r="Y32" s="204"/>
      <c r="Z32" s="204"/>
      <c r="AA32" s="186"/>
      <c r="AB32" s="186"/>
      <c r="AC32" s="186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186"/>
      <c r="BS32" s="204"/>
      <c r="BT32" s="204"/>
      <c r="BU32" s="204"/>
      <c r="BV32" s="204"/>
      <c r="BW32" s="204"/>
      <c r="BX32" s="186"/>
      <c r="BY32" s="189"/>
    </row>
    <row r="33" spans="1:77" ht="15.75" x14ac:dyDescent="0.25">
      <c r="A33" s="531"/>
      <c r="D33" s="198"/>
      <c r="E33" s="198"/>
      <c r="F33" s="200"/>
      <c r="G33" s="196"/>
      <c r="H33" s="189"/>
      <c r="I33" s="79"/>
      <c r="J33" s="203"/>
      <c r="K33" s="79"/>
      <c r="N33" s="204"/>
      <c r="Q33" s="204"/>
      <c r="R33" s="204"/>
      <c r="S33" s="186"/>
      <c r="T33" s="186"/>
      <c r="W33" s="204"/>
      <c r="X33" s="204"/>
      <c r="Y33" s="204"/>
      <c r="Z33" s="204"/>
      <c r="AA33" s="186"/>
      <c r="AB33" s="186"/>
      <c r="AC33" s="186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186"/>
      <c r="BS33" s="204"/>
      <c r="BT33" s="204"/>
      <c r="BU33" s="204"/>
      <c r="BV33" s="204"/>
      <c r="BW33" s="204"/>
      <c r="BX33" s="186"/>
      <c r="BY33" s="189"/>
    </row>
    <row r="34" spans="1:77" ht="15.75" x14ac:dyDescent="0.25">
      <c r="D34" s="198"/>
      <c r="E34" s="198"/>
      <c r="H34" s="3"/>
      <c r="I34" s="79"/>
      <c r="J34" s="79"/>
      <c r="K34" s="79"/>
      <c r="L34" s="79"/>
      <c r="M34" s="79"/>
      <c r="N34" s="79"/>
      <c r="O34" s="79"/>
      <c r="BR34" s="80"/>
    </row>
    <row r="35" spans="1:77" ht="17.25" customHeight="1" x14ac:dyDescent="0.35">
      <c r="I35" s="79"/>
      <c r="J35" s="203"/>
      <c r="K35" s="79"/>
      <c r="N35" s="204"/>
      <c r="Q35" s="204"/>
      <c r="R35" s="204"/>
      <c r="S35" s="186"/>
      <c r="T35" s="186"/>
      <c r="W35" s="204"/>
      <c r="X35" s="204"/>
      <c r="Y35" s="204"/>
      <c r="Z35" s="204"/>
      <c r="AA35" s="186"/>
      <c r="AB35" s="186"/>
      <c r="AC35" s="186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186"/>
      <c r="BS35" s="204"/>
      <c r="BT35" s="204"/>
      <c r="BU35" s="204"/>
      <c r="BV35" s="204"/>
      <c r="BW35" s="204"/>
      <c r="BX35" s="186"/>
      <c r="BY35" s="189">
        <v>-68418.687050000095</v>
      </c>
    </row>
    <row r="43" spans="1:77" ht="22.5" x14ac:dyDescent="0.3">
      <c r="H43" s="205"/>
    </row>
  </sheetData>
  <mergeCells count="3">
    <mergeCell ref="B2:H2"/>
    <mergeCell ref="B3:H3"/>
    <mergeCell ref="B4:H4"/>
  </mergeCells>
  <pageMargins left="0.7" right="0.7" top="0.75" bottom="1" header="0.3" footer="0.3"/>
  <pageSetup scale="68" orientation="portrait" r:id="rId1"/>
  <headerFooter>
    <oddFooter>&amp;R&amp;"Times New Roman,Bold"Exhibit D-1
Page 2 of 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Z49"/>
  <sheetViews>
    <sheetView zoomScale="80" zoomScaleNormal="80" workbookViewId="0"/>
  </sheetViews>
  <sheetFormatPr defaultColWidth="7.109375" defaultRowHeight="12.75" x14ac:dyDescent="0.2"/>
  <cols>
    <col min="1" max="1" width="7.109375" style="35"/>
    <col min="2" max="2" width="26.33203125" style="35" customWidth="1"/>
    <col min="3" max="3" width="14.88671875" style="35" customWidth="1"/>
    <col min="4" max="4" width="16" style="35" customWidth="1"/>
    <col min="5" max="5" width="14.109375" style="35" customWidth="1"/>
    <col min="6" max="6" width="16.21875" style="35" customWidth="1"/>
    <col min="7" max="7" width="12.44140625" style="35" customWidth="1"/>
    <col min="8" max="8" width="17.6640625" style="35" customWidth="1"/>
    <col min="9" max="9" width="11.33203125" style="35" customWidth="1"/>
    <col min="10" max="10" width="13.109375" style="35" customWidth="1"/>
    <col min="11" max="11" width="12.88671875" style="35" customWidth="1"/>
    <col min="12" max="12" width="14.109375" style="35" customWidth="1"/>
    <col min="13" max="13" width="14.6640625" style="35" customWidth="1"/>
    <col min="14" max="14" width="12.33203125" style="35" customWidth="1"/>
    <col min="15" max="15" width="21.21875" style="35" customWidth="1"/>
    <col min="16" max="16" width="22.33203125" style="35" customWidth="1"/>
    <col min="17" max="17" width="13.33203125" style="35" customWidth="1"/>
    <col min="18" max="18" width="8.5546875" style="35" customWidth="1"/>
    <col min="19" max="19" width="13.77734375" style="35" customWidth="1"/>
    <col min="20" max="20" width="31.6640625" style="35" customWidth="1"/>
    <col min="21" max="21" width="7.109375" style="35" customWidth="1"/>
    <col min="22" max="22" width="14.5546875" style="35" customWidth="1"/>
    <col min="23" max="23" width="9.88671875" style="35" customWidth="1"/>
    <col min="24" max="16384" width="7.109375" style="35"/>
  </cols>
  <sheetData>
    <row r="1" spans="1:12" ht="15.75" x14ac:dyDescent="0.25">
      <c r="B1" s="33"/>
      <c r="C1" s="33"/>
      <c r="D1" s="33"/>
      <c r="E1" s="33"/>
      <c r="F1" s="33"/>
      <c r="G1" s="34"/>
      <c r="H1" s="34"/>
      <c r="I1" s="34"/>
      <c r="J1" s="34"/>
    </row>
    <row r="2" spans="1:12" ht="18.75" x14ac:dyDescent="0.3">
      <c r="B2" s="622" t="s">
        <v>5</v>
      </c>
      <c r="C2" s="622"/>
      <c r="D2" s="622"/>
      <c r="E2" s="622"/>
      <c r="F2" s="3"/>
      <c r="G2" s="3"/>
      <c r="H2" s="3"/>
      <c r="I2" s="3"/>
      <c r="J2" s="3"/>
      <c r="K2" s="3"/>
      <c r="L2" s="3"/>
    </row>
    <row r="3" spans="1:12" ht="15.75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8.75" x14ac:dyDescent="0.3">
      <c r="B4" s="589" t="str">
        <f>CONCATENATE("Effective"," ", 'Input Data'!$D$10," ", "with Gas Supply Clause Case No."," ", 'Input Data'!C13)</f>
        <v>Effective February 1, 2019 with Gas Supply Clause Case No. 2018-00403</v>
      </c>
      <c r="C4" s="589"/>
      <c r="D4" s="589"/>
      <c r="E4" s="589"/>
      <c r="F4" s="3"/>
      <c r="G4" s="3"/>
      <c r="H4" s="3"/>
      <c r="I4" s="3"/>
      <c r="J4" s="3"/>
      <c r="K4" s="3"/>
      <c r="L4" s="3"/>
    </row>
    <row r="5" spans="1:12" ht="18.75" x14ac:dyDescent="0.3">
      <c r="B5" s="589" t="s">
        <v>123</v>
      </c>
      <c r="C5" s="589"/>
      <c r="D5" s="589"/>
      <c r="E5" s="589"/>
      <c r="F5" s="3"/>
      <c r="G5" s="3"/>
      <c r="H5" s="3"/>
      <c r="I5" s="3"/>
      <c r="J5" s="3"/>
      <c r="K5" s="3"/>
      <c r="L5" s="3"/>
    </row>
    <row r="6" spans="1:12" ht="15.75" customHeight="1" x14ac:dyDescent="0.3">
      <c r="B6" s="589" t="str">
        <f>CONCATENATE("PBR Year"," ", 'Input Data'!$C$9-1)</f>
        <v>PBR Year 21</v>
      </c>
      <c r="C6" s="589"/>
      <c r="D6" s="589"/>
      <c r="E6" s="589"/>
      <c r="F6" s="3"/>
      <c r="G6" s="569"/>
      <c r="H6" s="3"/>
      <c r="I6" s="3"/>
      <c r="J6" s="3"/>
      <c r="K6" s="3"/>
      <c r="L6" s="3"/>
    </row>
    <row r="7" spans="1:12" ht="18.75" x14ac:dyDescent="0.3">
      <c r="B7" s="589" t="s">
        <v>124</v>
      </c>
      <c r="C7" s="589"/>
      <c r="D7" s="589"/>
      <c r="E7" s="589"/>
      <c r="F7" s="3"/>
      <c r="G7" s="3"/>
      <c r="H7" s="3"/>
      <c r="I7" s="3"/>
      <c r="J7" s="3"/>
      <c r="K7" s="3"/>
      <c r="L7" s="3"/>
    </row>
    <row r="8" spans="1:12" ht="18.75" x14ac:dyDescent="0.3">
      <c r="B8" s="589" t="s">
        <v>557</v>
      </c>
      <c r="C8" s="589"/>
      <c r="D8" s="589"/>
      <c r="E8" s="589"/>
      <c r="F8" s="3"/>
      <c r="G8" s="3"/>
      <c r="H8" s="3"/>
      <c r="I8" s="3"/>
      <c r="J8" s="3"/>
      <c r="K8" s="3"/>
      <c r="L8" s="3"/>
    </row>
    <row r="9" spans="1:12" ht="15.75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5.75" x14ac:dyDescent="0.25">
      <c r="A11" s="87" t="s">
        <v>250</v>
      </c>
      <c r="B11" s="3"/>
      <c r="C11" s="117" t="s">
        <v>118</v>
      </c>
      <c r="D11" s="117" t="s">
        <v>73</v>
      </c>
      <c r="E11" s="117" t="s">
        <v>30</v>
      </c>
      <c r="G11" s="3"/>
      <c r="H11" s="3"/>
      <c r="I11" s="3"/>
      <c r="J11" s="3"/>
      <c r="K11" s="3"/>
      <c r="L11" s="3"/>
    </row>
    <row r="12" spans="1:12" ht="15.75" x14ac:dyDescent="0.25">
      <c r="B12" s="3"/>
      <c r="C12" s="3"/>
      <c r="D12" s="3"/>
      <c r="E12" s="3"/>
      <c r="G12" s="3"/>
      <c r="H12" s="3"/>
      <c r="I12" s="3"/>
      <c r="J12" s="3"/>
      <c r="K12" s="3"/>
      <c r="L12" s="3"/>
    </row>
    <row r="13" spans="1:12" ht="15.75" x14ac:dyDescent="0.25">
      <c r="A13" s="310">
        <v>1</v>
      </c>
      <c r="B13" s="54" t="s">
        <v>125</v>
      </c>
      <c r="C13" s="313">
        <v>1342802</v>
      </c>
      <c r="D13" s="313">
        <v>653930</v>
      </c>
      <c r="E13" s="313">
        <f>C13+D13</f>
        <v>1996732</v>
      </c>
      <c r="G13" s="3"/>
      <c r="H13" s="3"/>
      <c r="I13" s="3"/>
      <c r="J13" s="3"/>
      <c r="K13" s="3"/>
      <c r="L13" s="3"/>
    </row>
    <row r="14" spans="1:12" ht="15.75" x14ac:dyDescent="0.25">
      <c r="A14" s="310"/>
      <c r="B14" s="54" t="s">
        <v>263</v>
      </c>
      <c r="D14" s="3"/>
      <c r="E14" s="3"/>
      <c r="F14" s="3"/>
      <c r="G14" s="3"/>
      <c r="H14" s="3"/>
      <c r="I14" s="3"/>
      <c r="J14" s="3"/>
      <c r="K14" s="3"/>
      <c r="L14" s="3"/>
    </row>
    <row r="15" spans="1:12" ht="15.75" x14ac:dyDescent="0.25">
      <c r="A15" s="310"/>
      <c r="B15" s="54" t="s">
        <v>126</v>
      </c>
      <c r="D15" s="3"/>
      <c r="E15" s="3"/>
      <c r="F15" s="3"/>
      <c r="G15" s="3"/>
      <c r="H15" s="3"/>
      <c r="I15" s="3"/>
      <c r="J15" s="3"/>
      <c r="K15" s="3"/>
      <c r="L15" s="3"/>
    </row>
    <row r="16" spans="1:12" ht="15.75" x14ac:dyDescent="0.25">
      <c r="A16" s="310"/>
      <c r="B16" s="3"/>
      <c r="C16" s="54"/>
      <c r="D16" s="3"/>
      <c r="E16" s="3"/>
      <c r="F16" s="3"/>
      <c r="G16" s="3"/>
      <c r="H16" s="3"/>
      <c r="I16" s="3"/>
      <c r="J16" s="3"/>
      <c r="K16" s="3"/>
      <c r="L16" s="3"/>
    </row>
    <row r="17" spans="1:26" ht="15.75" customHeight="1" x14ac:dyDescent="0.3">
      <c r="A17" s="310">
        <v>2</v>
      </c>
      <c r="B17" s="34" t="s">
        <v>119</v>
      </c>
      <c r="C17" s="436">
        <f>E47</f>
        <v>31318247</v>
      </c>
      <c r="D17" s="436">
        <f>E47+G47</f>
        <v>31738929</v>
      </c>
      <c r="E17" s="3"/>
      <c r="F17" s="3"/>
      <c r="G17" s="569"/>
      <c r="H17" s="3"/>
      <c r="I17" s="3"/>
      <c r="J17" s="3"/>
      <c r="K17" s="3"/>
      <c r="L17" s="3"/>
    </row>
    <row r="18" spans="1:26" ht="15.75" x14ac:dyDescent="0.25">
      <c r="A18" s="310"/>
      <c r="B18" s="68" t="s">
        <v>120</v>
      </c>
      <c r="E18" s="3"/>
      <c r="F18" s="3"/>
      <c r="G18" s="3"/>
      <c r="H18" s="3"/>
      <c r="I18" s="3"/>
      <c r="J18" s="3"/>
      <c r="K18" s="3"/>
      <c r="L18" s="3"/>
    </row>
    <row r="19" spans="1:26" ht="15.75" x14ac:dyDescent="0.25">
      <c r="A19" s="310"/>
      <c r="B19" s="69">
        <f>'Input Data'!C10</f>
        <v>43497</v>
      </c>
      <c r="C19" s="310"/>
      <c r="D19" s="310"/>
      <c r="E19" s="3"/>
      <c r="F19" s="3"/>
      <c r="G19" s="33"/>
      <c r="H19" s="33"/>
      <c r="I19" s="33"/>
      <c r="J19" s="33"/>
    </row>
    <row r="20" spans="1:26" ht="15.75" x14ac:dyDescent="0.25">
      <c r="A20" s="310"/>
      <c r="B20" s="34"/>
      <c r="C20" s="310"/>
      <c r="D20" s="310"/>
      <c r="E20" s="3"/>
      <c r="F20" s="3"/>
      <c r="G20" s="33"/>
      <c r="H20" s="33"/>
      <c r="I20" s="33"/>
      <c r="J20" s="33"/>
    </row>
    <row r="21" spans="1:26" ht="15.75" x14ac:dyDescent="0.25">
      <c r="A21" s="310">
        <v>3</v>
      </c>
      <c r="B21" s="34" t="s">
        <v>121</v>
      </c>
      <c r="C21" s="311">
        <f>ROUND(C13/C17,4)</f>
        <v>4.2900000000000001E-2</v>
      </c>
      <c r="D21" s="311">
        <f>ROUND(D13/D17,4)</f>
        <v>2.06E-2</v>
      </c>
      <c r="E21" s="311">
        <f>SUM(C21:D21)</f>
        <v>6.3500000000000001E-2</v>
      </c>
      <c r="F21" s="3"/>
      <c r="G21" s="33"/>
      <c r="H21" s="33"/>
      <c r="I21" s="33"/>
      <c r="J21" s="33"/>
    </row>
    <row r="22" spans="1:26" ht="15.75" x14ac:dyDescent="0.25">
      <c r="A22" s="310"/>
      <c r="B22" s="3"/>
      <c r="C22" s="3"/>
      <c r="D22" s="3"/>
      <c r="E22" s="311"/>
      <c r="F22" s="3"/>
      <c r="G22" s="33"/>
      <c r="H22" s="33"/>
      <c r="I22" s="33"/>
      <c r="J22" s="33"/>
    </row>
    <row r="23" spans="1:26" ht="15.75" x14ac:dyDescent="0.25">
      <c r="A23" s="310">
        <v>4</v>
      </c>
      <c r="B23" s="34" t="s">
        <v>122</v>
      </c>
      <c r="C23" s="312">
        <f>C21*0.1</f>
        <v>4.2900000000000004E-3</v>
      </c>
      <c r="D23" s="312">
        <f>D21*0.1</f>
        <v>2.0600000000000002E-3</v>
      </c>
      <c r="E23" s="312">
        <f>SUM(C23:D23)</f>
        <v>6.3500000000000006E-3</v>
      </c>
      <c r="F23" s="3"/>
      <c r="G23" s="33"/>
      <c r="H23" s="33"/>
      <c r="I23" s="33"/>
      <c r="J23" s="33"/>
    </row>
    <row r="24" spans="1:26" ht="15.75" x14ac:dyDescent="0.25">
      <c r="A24" s="310"/>
      <c r="E24" s="3"/>
      <c r="F24" s="3"/>
      <c r="G24" s="33"/>
      <c r="H24" s="33"/>
      <c r="I24" s="33"/>
      <c r="J24" s="33"/>
    </row>
    <row r="25" spans="1:26" ht="15.75" x14ac:dyDescent="0.25">
      <c r="E25" s="3"/>
      <c r="F25" s="3"/>
      <c r="G25" s="33"/>
      <c r="H25" s="33"/>
      <c r="I25" s="33"/>
      <c r="J25" s="33"/>
    </row>
    <row r="26" spans="1:26" ht="15.75" x14ac:dyDescent="0.25">
      <c r="E26" s="3"/>
      <c r="F26" s="3"/>
      <c r="G26" s="33"/>
      <c r="H26" s="33"/>
      <c r="I26" s="33"/>
      <c r="J26" s="33"/>
    </row>
    <row r="27" spans="1:26" ht="15.75" x14ac:dyDescent="0.25">
      <c r="G27" s="33"/>
      <c r="H27" s="33"/>
      <c r="I27" s="33"/>
      <c r="J27" s="33"/>
    </row>
    <row r="28" spans="1:26" ht="15.75" x14ac:dyDescent="0.25">
      <c r="G28" s="33"/>
      <c r="H28" s="33"/>
      <c r="I28" s="33"/>
      <c r="J28" s="33"/>
      <c r="W28" s="36"/>
      <c r="X28" s="268"/>
      <c r="Y28" s="268"/>
      <c r="Z28" s="36"/>
    </row>
    <row r="29" spans="1:26" ht="84" hidden="1" customHeight="1" x14ac:dyDescent="0.25">
      <c r="B29" s="266" t="s">
        <v>262</v>
      </c>
      <c r="H29" s="3"/>
      <c r="J29" s="33"/>
      <c r="W29" s="36"/>
      <c r="X29" s="570"/>
      <c r="Y29" s="268"/>
      <c r="Z29" s="36"/>
    </row>
    <row r="30" spans="1:26" ht="15.75" hidden="1" x14ac:dyDescent="0.25">
      <c r="B30" s="266" t="s">
        <v>231</v>
      </c>
      <c r="C30" s="33"/>
      <c r="D30" s="33"/>
      <c r="E30" s="33"/>
      <c r="F30" s="33"/>
      <c r="G30" s="33"/>
      <c r="H30" s="3"/>
      <c r="I30" s="3"/>
      <c r="J30" s="33"/>
      <c r="V30" s="37"/>
      <c r="W30" s="36"/>
      <c r="X30" s="571"/>
      <c r="Y30" s="269"/>
      <c r="Z30" s="36"/>
    </row>
    <row r="31" spans="1:26" ht="25.5" hidden="1" x14ac:dyDescent="0.35">
      <c r="B31" s="619" t="s">
        <v>213</v>
      </c>
      <c r="C31" s="620"/>
      <c r="D31" s="620"/>
      <c r="E31" s="620"/>
      <c r="F31" s="619" t="s">
        <v>213</v>
      </c>
      <c r="G31" s="621"/>
      <c r="H31" s="3"/>
      <c r="I31" s="3"/>
      <c r="J31" s="33"/>
      <c r="K31" s="33"/>
      <c r="V31" s="37"/>
      <c r="W31" s="36"/>
      <c r="X31" s="571"/>
      <c r="Y31" s="269"/>
      <c r="Z31" s="36"/>
    </row>
    <row r="32" spans="1:26" ht="25.5" hidden="1" x14ac:dyDescent="0.35">
      <c r="B32" s="616" t="s">
        <v>248</v>
      </c>
      <c r="C32" s="617"/>
      <c r="D32" s="617"/>
      <c r="E32" s="618"/>
      <c r="F32" s="538"/>
      <c r="G32" s="539"/>
      <c r="H32" s="3"/>
      <c r="I32" s="3"/>
      <c r="J32" s="33"/>
      <c r="K32" s="33"/>
      <c r="V32" s="37"/>
      <c r="W32" s="36"/>
      <c r="X32" s="571"/>
      <c r="Y32" s="269"/>
      <c r="Z32" s="36"/>
    </row>
    <row r="33" spans="2:24" ht="94.5" hidden="1" x14ac:dyDescent="0.25">
      <c r="B33" s="77"/>
      <c r="C33" s="297" t="s">
        <v>212</v>
      </c>
      <c r="D33" s="298" t="s">
        <v>234</v>
      </c>
      <c r="E33" s="297" t="s">
        <v>235</v>
      </c>
      <c r="F33" s="77"/>
      <c r="G33" s="297" t="s">
        <v>214</v>
      </c>
      <c r="H33" s="3"/>
      <c r="I33" s="310"/>
      <c r="J33" s="310"/>
      <c r="K33" s="310"/>
      <c r="L33" s="310"/>
      <c r="M33" s="310"/>
      <c r="N33" s="310"/>
      <c r="T33" s="37"/>
      <c r="U33" s="36"/>
      <c r="V33" s="571"/>
      <c r="W33" s="269"/>
      <c r="X33" s="36"/>
    </row>
    <row r="34" spans="2:24" ht="15.75" hidden="1" x14ac:dyDescent="0.25">
      <c r="B34" s="118">
        <f>'Input Data'!C10</f>
        <v>43497</v>
      </c>
      <c r="C34" s="129">
        <f>Forecast!I59</f>
        <v>5629263</v>
      </c>
      <c r="D34" s="129">
        <f>Forecast!J59</f>
        <v>40099</v>
      </c>
      <c r="E34" s="129">
        <f>C34+D34</f>
        <v>5669362</v>
      </c>
      <c r="F34" s="118">
        <f>B34</f>
        <v>43497</v>
      </c>
      <c r="G34" s="572">
        <f>Forecast!C59</f>
        <v>13673</v>
      </c>
      <c r="H34" s="3"/>
      <c r="I34" s="129"/>
      <c r="J34" s="129"/>
      <c r="K34" s="129"/>
      <c r="L34" s="37"/>
      <c r="M34" s="129"/>
      <c r="N34" s="37"/>
      <c r="T34" s="37"/>
      <c r="U34" s="36"/>
      <c r="V34" s="571"/>
      <c r="W34" s="269"/>
      <c r="X34" s="36"/>
    </row>
    <row r="35" spans="2:24" ht="15.75" hidden="1" x14ac:dyDescent="0.25">
      <c r="B35" s="118">
        <f>EDATE(B34,1)</f>
        <v>43525</v>
      </c>
      <c r="C35" s="129">
        <f>Forecast!I60</f>
        <v>3867714</v>
      </c>
      <c r="D35" s="129">
        <f>Forecast!J60</f>
        <v>27384</v>
      </c>
      <c r="E35" s="129">
        <f t="shared" ref="E35:E45" si="0">C35+D35</f>
        <v>3895098</v>
      </c>
      <c r="F35" s="118">
        <f t="shared" ref="F35:F45" si="1">B35</f>
        <v>43525</v>
      </c>
      <c r="G35" s="572">
        <f>Forecast!C60</f>
        <v>24842</v>
      </c>
      <c r="H35" s="3"/>
      <c r="I35" s="129"/>
      <c r="J35" s="129"/>
      <c r="K35" s="129"/>
      <c r="L35" s="37"/>
      <c r="M35" s="129"/>
      <c r="N35" s="37"/>
      <c r="T35" s="37"/>
      <c r="U35" s="36"/>
      <c r="V35" s="571"/>
      <c r="W35" s="269"/>
      <c r="X35" s="36"/>
    </row>
    <row r="36" spans="2:24" ht="15.75" hidden="1" x14ac:dyDescent="0.25">
      <c r="B36" s="118">
        <f>EDATE(B35,1)</f>
        <v>43556</v>
      </c>
      <c r="C36" s="129">
        <f>Forecast!I61</f>
        <v>1967953</v>
      </c>
      <c r="D36" s="129">
        <f>Forecast!J61</f>
        <v>43490</v>
      </c>
      <c r="E36" s="129">
        <f t="shared" si="0"/>
        <v>2011443</v>
      </c>
      <c r="F36" s="118">
        <f t="shared" si="1"/>
        <v>43556</v>
      </c>
      <c r="G36" s="572">
        <f>Forecast!C61</f>
        <v>27307</v>
      </c>
      <c r="H36" s="3"/>
      <c r="I36" s="129"/>
      <c r="J36" s="129"/>
      <c r="K36" s="129"/>
      <c r="L36" s="37"/>
      <c r="M36" s="129"/>
      <c r="N36" s="37"/>
      <c r="T36" s="37"/>
      <c r="U36" s="36"/>
      <c r="V36" s="571"/>
      <c r="W36" s="269"/>
      <c r="X36" s="36"/>
    </row>
    <row r="37" spans="2:24" ht="15.75" hidden="1" x14ac:dyDescent="0.25">
      <c r="B37" s="118">
        <f t="shared" ref="B37:B45" si="2">EDATE(B36,1)</f>
        <v>43586</v>
      </c>
      <c r="C37" s="129">
        <f>Forecast!I62</f>
        <v>1107887</v>
      </c>
      <c r="D37" s="129">
        <f>Forecast!J62</f>
        <v>39535</v>
      </c>
      <c r="E37" s="129">
        <f t="shared" si="0"/>
        <v>1147422</v>
      </c>
      <c r="F37" s="118">
        <f t="shared" si="1"/>
        <v>43586</v>
      </c>
      <c r="G37" s="572">
        <f>Forecast!C62</f>
        <v>32358</v>
      </c>
      <c r="H37" s="3"/>
      <c r="I37" s="129"/>
      <c r="J37" s="129"/>
      <c r="K37" s="129"/>
      <c r="L37" s="37"/>
      <c r="M37" s="129"/>
      <c r="N37" s="37"/>
      <c r="T37" s="37"/>
      <c r="U37" s="36"/>
      <c r="V37" s="571"/>
      <c r="W37" s="269"/>
      <c r="X37" s="36"/>
    </row>
    <row r="38" spans="2:24" ht="15.75" hidden="1" x14ac:dyDescent="0.25">
      <c r="B38" s="118">
        <f t="shared" si="2"/>
        <v>43617</v>
      </c>
      <c r="C38" s="129">
        <f>Forecast!I63</f>
        <v>748216</v>
      </c>
      <c r="D38" s="129">
        <f>Forecast!J63</f>
        <v>32444</v>
      </c>
      <c r="E38" s="129">
        <f t="shared" si="0"/>
        <v>780660</v>
      </c>
      <c r="F38" s="118">
        <f t="shared" si="1"/>
        <v>43617</v>
      </c>
      <c r="G38" s="572">
        <f>Forecast!C63</f>
        <v>40554</v>
      </c>
      <c r="H38" s="33"/>
      <c r="I38" s="129"/>
      <c r="J38" s="129"/>
      <c r="K38" s="129"/>
      <c r="L38" s="37"/>
      <c r="M38" s="129"/>
      <c r="N38" s="37"/>
      <c r="T38" s="37"/>
      <c r="U38" s="36"/>
      <c r="V38" s="571"/>
      <c r="W38" s="269"/>
      <c r="X38" s="36"/>
    </row>
    <row r="39" spans="2:24" ht="15.75" hidden="1" x14ac:dyDescent="0.25">
      <c r="B39" s="118">
        <f t="shared" si="2"/>
        <v>43647</v>
      </c>
      <c r="C39" s="129">
        <f>Forecast!I64</f>
        <v>672003</v>
      </c>
      <c r="D39" s="129">
        <f>Forecast!J64</f>
        <v>28203</v>
      </c>
      <c r="E39" s="129">
        <f t="shared" si="0"/>
        <v>700206</v>
      </c>
      <c r="F39" s="118">
        <f t="shared" si="1"/>
        <v>43647</v>
      </c>
      <c r="G39" s="572">
        <f>Forecast!C64</f>
        <v>42084</v>
      </c>
      <c r="I39" s="129"/>
      <c r="J39" s="129"/>
      <c r="K39" s="129"/>
      <c r="L39" s="37"/>
      <c r="M39" s="129"/>
      <c r="N39" s="37"/>
      <c r="T39" s="37"/>
      <c r="U39" s="36"/>
      <c r="V39" s="571"/>
      <c r="W39" s="269"/>
      <c r="X39" s="36"/>
    </row>
    <row r="40" spans="2:24" ht="15.75" hidden="1" x14ac:dyDescent="0.25">
      <c r="B40" s="118">
        <f t="shared" si="2"/>
        <v>43678</v>
      </c>
      <c r="C40" s="129">
        <f>Forecast!I65</f>
        <v>654640</v>
      </c>
      <c r="D40" s="129">
        <f>Forecast!J65</f>
        <v>26424</v>
      </c>
      <c r="E40" s="129">
        <f t="shared" si="0"/>
        <v>681064</v>
      </c>
      <c r="F40" s="118">
        <f t="shared" si="1"/>
        <v>43678</v>
      </c>
      <c r="G40" s="572">
        <f>Forecast!C65</f>
        <v>38339</v>
      </c>
      <c r="I40" s="129"/>
      <c r="J40" s="129"/>
      <c r="K40" s="129"/>
      <c r="L40" s="37"/>
      <c r="M40" s="129"/>
      <c r="N40" s="37"/>
      <c r="T40" s="37"/>
      <c r="U40" s="36"/>
      <c r="V40" s="571"/>
      <c r="W40" s="269"/>
      <c r="X40" s="36"/>
    </row>
    <row r="41" spans="2:24" ht="15.75" hidden="1" x14ac:dyDescent="0.25">
      <c r="B41" s="118">
        <f t="shared" si="2"/>
        <v>43709</v>
      </c>
      <c r="C41" s="129">
        <f>Forecast!I66</f>
        <v>703381</v>
      </c>
      <c r="D41" s="129">
        <f>Forecast!J66</f>
        <v>43243</v>
      </c>
      <c r="E41" s="129">
        <f t="shared" si="0"/>
        <v>746624</v>
      </c>
      <c r="F41" s="118">
        <f t="shared" si="1"/>
        <v>43709</v>
      </c>
      <c r="G41" s="572">
        <f>Forecast!C66</f>
        <v>41958</v>
      </c>
      <c r="I41" s="129"/>
      <c r="J41" s="129"/>
      <c r="K41" s="129"/>
      <c r="L41" s="37"/>
      <c r="M41" s="129"/>
      <c r="N41" s="37"/>
      <c r="T41" s="37"/>
      <c r="U41" s="36"/>
      <c r="V41" s="571"/>
      <c r="W41" s="269"/>
      <c r="X41" s="36"/>
    </row>
    <row r="42" spans="2:24" ht="15.75" hidden="1" x14ac:dyDescent="0.25">
      <c r="B42" s="118">
        <f t="shared" si="2"/>
        <v>43739</v>
      </c>
      <c r="C42" s="129">
        <f>Forecast!I67</f>
        <v>1230186</v>
      </c>
      <c r="D42" s="129">
        <f>Forecast!J67</f>
        <v>20722</v>
      </c>
      <c r="E42" s="129">
        <f t="shared" si="0"/>
        <v>1250908</v>
      </c>
      <c r="F42" s="118">
        <f t="shared" si="1"/>
        <v>43739</v>
      </c>
      <c r="G42" s="572">
        <f>Forecast!C67</f>
        <v>48541</v>
      </c>
      <c r="I42" s="129"/>
      <c r="J42" s="129"/>
      <c r="K42" s="129"/>
      <c r="L42" s="37"/>
      <c r="M42" s="129"/>
      <c r="N42" s="37"/>
      <c r="T42" s="37"/>
      <c r="U42" s="36"/>
      <c r="V42" s="571"/>
      <c r="W42" s="269"/>
      <c r="X42" s="36"/>
    </row>
    <row r="43" spans="2:24" ht="15.75" hidden="1" x14ac:dyDescent="0.25">
      <c r="B43" s="118">
        <f t="shared" si="2"/>
        <v>43770</v>
      </c>
      <c r="C43" s="129">
        <f>Forecast!I68</f>
        <v>2812765</v>
      </c>
      <c r="D43" s="129">
        <f>Forecast!J68</f>
        <v>30607</v>
      </c>
      <c r="E43" s="129">
        <f t="shared" si="0"/>
        <v>2843372</v>
      </c>
      <c r="F43" s="118">
        <f t="shared" si="1"/>
        <v>43770</v>
      </c>
      <c r="G43" s="572">
        <f>Forecast!C68</f>
        <v>55632</v>
      </c>
      <c r="I43" s="129"/>
      <c r="J43" s="129"/>
      <c r="K43" s="129"/>
      <c r="L43" s="37"/>
      <c r="M43" s="129"/>
      <c r="N43" s="37"/>
      <c r="U43" s="36"/>
      <c r="V43" s="36"/>
      <c r="W43" s="36"/>
      <c r="X43" s="36"/>
    </row>
    <row r="44" spans="2:24" ht="15.75" hidden="1" x14ac:dyDescent="0.25">
      <c r="B44" s="118">
        <f t="shared" si="2"/>
        <v>43800</v>
      </c>
      <c r="C44" s="129">
        <f>Forecast!I69</f>
        <v>5088368</v>
      </c>
      <c r="D44" s="129">
        <f>Forecast!J69</f>
        <v>42544</v>
      </c>
      <c r="E44" s="129">
        <f t="shared" si="0"/>
        <v>5130912</v>
      </c>
      <c r="F44" s="118">
        <f t="shared" si="1"/>
        <v>43800</v>
      </c>
      <c r="G44" s="572">
        <f>Forecast!C69</f>
        <v>40146</v>
      </c>
      <c r="I44" s="129"/>
      <c r="J44" s="129"/>
      <c r="K44" s="129"/>
      <c r="L44" s="37"/>
      <c r="M44" s="129"/>
      <c r="N44" s="37"/>
      <c r="U44" s="36"/>
      <c r="V44" s="36"/>
      <c r="W44" s="270"/>
      <c r="X44" s="36"/>
    </row>
    <row r="45" spans="2:24" ht="15.75" hidden="1" x14ac:dyDescent="0.25">
      <c r="B45" s="118">
        <f t="shared" si="2"/>
        <v>43831</v>
      </c>
      <c r="C45" s="129">
        <f>Forecast!I70</f>
        <v>6426676</v>
      </c>
      <c r="D45" s="129">
        <f>Forecast!J70</f>
        <v>34500</v>
      </c>
      <c r="E45" s="129">
        <f t="shared" si="0"/>
        <v>6461176</v>
      </c>
      <c r="F45" s="118">
        <f t="shared" si="1"/>
        <v>43831</v>
      </c>
      <c r="G45" s="572">
        <f>Forecast!C70</f>
        <v>15248</v>
      </c>
      <c r="I45" s="129"/>
      <c r="J45" s="129"/>
      <c r="K45" s="129"/>
      <c r="L45" s="37"/>
      <c r="M45" s="129"/>
      <c r="N45" s="37"/>
      <c r="U45" s="36"/>
      <c r="V45" s="36"/>
      <c r="W45" s="36"/>
      <c r="X45" s="36"/>
    </row>
    <row r="46" spans="2:24" ht="15.75" hidden="1" x14ac:dyDescent="0.25">
      <c r="B46" s="286"/>
      <c r="C46" s="446"/>
      <c r="D46" s="446"/>
      <c r="E46" s="446"/>
      <c r="F46" s="286"/>
      <c r="G46" s="573"/>
      <c r="I46" s="129"/>
      <c r="J46" s="129"/>
      <c r="M46" s="36"/>
    </row>
    <row r="47" spans="2:24" ht="15.75" hidden="1" x14ac:dyDescent="0.25">
      <c r="B47" s="465"/>
      <c r="C47" s="574"/>
      <c r="D47" s="574"/>
      <c r="E47" s="464">
        <f>SUM(E34:E46)</f>
        <v>31318247</v>
      </c>
      <c r="F47" s="465"/>
      <c r="G47" s="466">
        <f>SUM(G34:G46)</f>
        <v>420682</v>
      </c>
      <c r="H47" s="37"/>
      <c r="I47" s="129"/>
      <c r="J47" s="129"/>
      <c r="K47" s="129"/>
      <c r="M47" s="129"/>
    </row>
    <row r="48" spans="2:24" hidden="1" x14ac:dyDescent="0.2"/>
    <row r="49" spans="2:7" hidden="1" x14ac:dyDescent="0.2">
      <c r="B49" s="467" t="s">
        <v>618</v>
      </c>
      <c r="G49" s="37"/>
    </row>
  </sheetData>
  <mergeCells count="9">
    <mergeCell ref="B32:E32"/>
    <mergeCell ref="B31:E31"/>
    <mergeCell ref="F31:G31"/>
    <mergeCell ref="B2:E2"/>
    <mergeCell ref="B8:E8"/>
    <mergeCell ref="B7:E7"/>
    <mergeCell ref="B6:E6"/>
    <mergeCell ref="B5:E5"/>
    <mergeCell ref="B4:E4"/>
  </mergeCells>
  <phoneticPr fontId="6" type="noConversion"/>
  <pageMargins left="0.75" right="0.75" top="1.8" bottom="1" header="0.5" footer="0.5"/>
  <pageSetup scale="95" orientation="portrait" r:id="rId1"/>
  <headerFooter alignWithMargins="0">
    <oddHeader>&amp;R&amp;"Times New Roman,Bold"Exhibit E-1
Page 1 of 2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 tint="0.59999389629810485"/>
    <pageSetUpPr fitToPage="1"/>
  </sheetPr>
  <dimension ref="A1:N41"/>
  <sheetViews>
    <sheetView zoomScale="80" zoomScaleNormal="80" workbookViewId="0"/>
  </sheetViews>
  <sheetFormatPr defaultColWidth="8.88671875" defaultRowHeight="15.75" x14ac:dyDescent="0.25"/>
  <cols>
    <col min="1" max="1" width="8.88671875" style="3"/>
    <col min="2" max="2" width="10.6640625" style="3" customWidth="1"/>
    <col min="3" max="3" width="9.109375" style="3" customWidth="1"/>
    <col min="4" max="4" width="17.44140625" style="3" customWidth="1"/>
    <col min="5" max="5" width="13.21875" style="3" customWidth="1"/>
    <col min="6" max="6" width="13.44140625" style="3" bestFit="1" customWidth="1"/>
    <col min="7" max="8" width="11.21875" style="3" customWidth="1"/>
    <col min="9" max="9" width="12.44140625" style="3" customWidth="1"/>
    <col min="10" max="10" width="13.109375" style="3" bestFit="1" customWidth="1"/>
    <col min="11" max="11" width="14.5546875" style="3" customWidth="1"/>
    <col min="12" max="12" width="12.88671875" style="3" bestFit="1" customWidth="1"/>
    <col min="13" max="16384" width="8.88671875" style="3"/>
  </cols>
  <sheetData>
    <row r="1" spans="1:14" ht="18.75" x14ac:dyDescent="0.3">
      <c r="B1" s="585" t="s">
        <v>5</v>
      </c>
      <c r="C1" s="585"/>
      <c r="D1" s="585"/>
      <c r="E1" s="585"/>
      <c r="F1" s="585"/>
      <c r="G1" s="585"/>
      <c r="H1" s="585"/>
      <c r="I1" s="585"/>
      <c r="J1" s="585"/>
      <c r="K1" s="585"/>
    </row>
    <row r="2" spans="1:14" ht="18.75" x14ac:dyDescent="0.3">
      <c r="B2" s="589" t="s">
        <v>317</v>
      </c>
      <c r="C2" s="589"/>
      <c r="D2" s="589"/>
      <c r="E2" s="589"/>
      <c r="F2" s="589"/>
      <c r="G2" s="589"/>
      <c r="H2" s="589"/>
      <c r="I2" s="589"/>
      <c r="J2" s="589"/>
      <c r="K2" s="589"/>
    </row>
    <row r="3" spans="1:14" ht="18.75" x14ac:dyDescent="0.3">
      <c r="B3" s="589" t="str">
        <f>CONCATENATE("For Service Rendered On and After ",'Input Data'!$D$4)</f>
        <v>For Service Rendered On and After August 1, 2019</v>
      </c>
      <c r="C3" s="589"/>
      <c r="D3" s="589"/>
      <c r="E3" s="589"/>
      <c r="F3" s="589"/>
      <c r="G3" s="589"/>
      <c r="H3" s="589"/>
      <c r="I3" s="589"/>
      <c r="J3" s="589"/>
      <c r="K3" s="589"/>
    </row>
    <row r="5" spans="1:14" x14ac:dyDescent="0.25">
      <c r="C5" s="260"/>
      <c r="D5" s="260"/>
      <c r="E5" s="260"/>
      <c r="F5" s="435"/>
      <c r="G5" s="435"/>
      <c r="H5" s="435"/>
      <c r="I5" s="435"/>
      <c r="J5" s="435"/>
      <c r="K5" s="435"/>
      <c r="L5" s="260"/>
      <c r="M5" s="260"/>
      <c r="N5" s="260"/>
    </row>
    <row r="6" spans="1:14" x14ac:dyDescent="0.25">
      <c r="A6" s="15" t="s">
        <v>116</v>
      </c>
      <c r="B6" s="540" t="str">
        <f>VLOOKUP(B16,'Case Database'!$A$2:$D$200,3,FALSE)</f>
        <v>2017-00457</v>
      </c>
    </row>
    <row r="7" spans="1:14" ht="15.75" customHeight="1" x14ac:dyDescent="0.3">
      <c r="G7" s="569"/>
      <c r="L7" s="569"/>
    </row>
    <row r="8" spans="1:14" x14ac:dyDescent="0.25">
      <c r="B8" s="206"/>
      <c r="C8" s="206"/>
      <c r="D8" s="206"/>
      <c r="E8" s="206"/>
      <c r="F8" s="204"/>
      <c r="G8" s="206"/>
      <c r="H8" s="206"/>
      <c r="I8" s="206"/>
      <c r="J8" s="206"/>
      <c r="K8" s="206"/>
    </row>
    <row r="9" spans="1:14" x14ac:dyDescent="0.25">
      <c r="B9" s="206"/>
      <c r="C9" s="206"/>
      <c r="D9" s="623" t="s">
        <v>292</v>
      </c>
      <c r="E9" s="623"/>
      <c r="F9" s="623"/>
      <c r="G9" s="623" t="s">
        <v>293</v>
      </c>
      <c r="H9" s="623"/>
      <c r="I9" s="623"/>
      <c r="J9" s="207" t="s">
        <v>30</v>
      </c>
      <c r="K9" s="207"/>
    </row>
    <row r="10" spans="1:14" ht="16.5" customHeight="1" x14ac:dyDescent="0.25">
      <c r="A10" s="531" t="s">
        <v>325</v>
      </c>
      <c r="B10" s="206"/>
      <c r="C10" s="206"/>
      <c r="D10" s="207" t="s">
        <v>378</v>
      </c>
      <c r="E10" s="208" t="s">
        <v>114</v>
      </c>
      <c r="F10" s="208" t="s">
        <v>291</v>
      </c>
      <c r="G10" s="207" t="s">
        <v>90</v>
      </c>
      <c r="H10" s="207" t="s">
        <v>282</v>
      </c>
      <c r="I10" s="208" t="s">
        <v>291</v>
      </c>
      <c r="J10" s="207" t="s">
        <v>347</v>
      </c>
      <c r="K10" s="207"/>
    </row>
    <row r="11" spans="1:14" x14ac:dyDescent="0.25">
      <c r="A11" s="536" t="s">
        <v>326</v>
      </c>
      <c r="B11" s="209"/>
      <c r="C11" s="209"/>
      <c r="D11" s="210" t="s">
        <v>379</v>
      </c>
      <c r="E11" s="211" t="s">
        <v>289</v>
      </c>
      <c r="F11" s="211" t="s">
        <v>290</v>
      </c>
      <c r="G11" s="210" t="s">
        <v>282</v>
      </c>
      <c r="H11" s="210" t="s">
        <v>289</v>
      </c>
      <c r="I11" s="211" t="s">
        <v>290</v>
      </c>
      <c r="J11" s="210" t="s">
        <v>283</v>
      </c>
      <c r="K11" s="210" t="s">
        <v>306</v>
      </c>
    </row>
    <row r="12" spans="1:14" x14ac:dyDescent="0.25">
      <c r="A12" s="531"/>
      <c r="B12" s="206"/>
      <c r="C12" s="206"/>
      <c r="D12" s="212" t="s">
        <v>60</v>
      </c>
      <c r="E12" s="212" t="s">
        <v>61</v>
      </c>
      <c r="F12" s="212" t="s">
        <v>476</v>
      </c>
      <c r="G12" s="212" t="s">
        <v>63</v>
      </c>
      <c r="H12" s="212" t="s">
        <v>64</v>
      </c>
      <c r="I12" s="212" t="s">
        <v>473</v>
      </c>
      <c r="J12" s="212" t="s">
        <v>319</v>
      </c>
      <c r="K12" s="212" t="s">
        <v>320</v>
      </c>
    </row>
    <row r="13" spans="1:14" x14ac:dyDescent="0.25">
      <c r="A13" s="531"/>
      <c r="B13" s="206"/>
      <c r="C13" s="206"/>
    </row>
    <row r="14" spans="1:14" x14ac:dyDescent="0.25">
      <c r="A14" s="531">
        <v>1</v>
      </c>
      <c r="D14" s="213"/>
      <c r="E14" s="213"/>
      <c r="F14" s="214"/>
      <c r="G14" s="213"/>
      <c r="H14" s="213"/>
      <c r="I14" s="213"/>
      <c r="J14" s="215" t="s">
        <v>274</v>
      </c>
      <c r="K14" s="257">
        <v>1095967</v>
      </c>
      <c r="L14" s="94"/>
    </row>
    <row r="15" spans="1:14" x14ac:dyDescent="0.25">
      <c r="A15" s="531"/>
      <c r="C15" s="215"/>
      <c r="D15" s="213"/>
      <c r="E15" s="213"/>
      <c r="F15" s="214"/>
      <c r="G15" s="213"/>
      <c r="H15" s="213"/>
      <c r="I15" s="213"/>
      <c r="J15" s="213"/>
      <c r="K15" s="216"/>
    </row>
    <row r="16" spans="1:14" x14ac:dyDescent="0.25">
      <c r="A16" s="531">
        <v>2</v>
      </c>
      <c r="B16" s="217">
        <f>'Input Data'!C11</f>
        <v>43132</v>
      </c>
      <c r="C16" s="217" t="s">
        <v>369</v>
      </c>
      <c r="D16" s="55">
        <f>VLOOKUP($B16,'Sales Volumes'!$A$1:$H$74,4,FALSE)</f>
        <v>2528890.2999999998</v>
      </c>
      <c r="E16" s="575">
        <v>3.4600000000000006E-2</v>
      </c>
      <c r="F16" s="257">
        <f t="shared" ref="F16:F28" si="0">ROUND(D16*E16,2)</f>
        <v>87499.6</v>
      </c>
      <c r="G16" s="218">
        <f>VLOOKUP($B16,'Sales Volumes'!$A$1:$H$74,5,FALSE)</f>
        <v>25385.3</v>
      </c>
      <c r="H16" s="219">
        <v>1.7000000000000001E-2</v>
      </c>
      <c r="I16" s="216">
        <f t="shared" ref="I16:I28" si="1">ROUND(G16*H16,2)</f>
        <v>431.55</v>
      </c>
      <c r="J16" s="257">
        <f>+F16+I16</f>
        <v>87931.150000000009</v>
      </c>
      <c r="K16" s="257">
        <f>+K14-J16</f>
        <v>1008035.85</v>
      </c>
      <c r="L16" s="216"/>
    </row>
    <row r="17" spans="1:11" x14ac:dyDescent="0.25">
      <c r="A17" s="531">
        <v>3</v>
      </c>
      <c r="B17" s="217">
        <f>EDATE(B16,1)</f>
        <v>43160</v>
      </c>
      <c r="C17" s="217"/>
      <c r="D17" s="55">
        <f>VLOOKUP($B17,'Sales Volumes'!$A$1:$H$74,2,FALSE)</f>
        <v>3758171.9</v>
      </c>
      <c r="E17" s="219">
        <f>$E$16</f>
        <v>3.4600000000000006E-2</v>
      </c>
      <c r="F17" s="257">
        <f t="shared" si="0"/>
        <v>130032.75</v>
      </c>
      <c r="G17" s="218">
        <f>VLOOKUP($B17,'Sales Volumes'!$A$1:$H$74,5,FALSE)</f>
        <v>47315.5</v>
      </c>
      <c r="H17" s="219">
        <f>$H$16</f>
        <v>1.7000000000000001E-2</v>
      </c>
      <c r="I17" s="216">
        <f t="shared" si="1"/>
        <v>804.36</v>
      </c>
      <c r="J17" s="257">
        <f>+F17+I17</f>
        <v>130837.11</v>
      </c>
      <c r="K17" s="257">
        <f>+K16-J17</f>
        <v>877198.74</v>
      </c>
    </row>
    <row r="18" spans="1:11" x14ac:dyDescent="0.25">
      <c r="A18" s="531">
        <v>4</v>
      </c>
      <c r="B18" s="217">
        <f t="shared" ref="B18:B28" si="2">EDATE(B17,1)</f>
        <v>43191</v>
      </c>
      <c r="C18" s="217"/>
      <c r="D18" s="55">
        <f>VLOOKUP($B18,'Sales Volumes'!$A$1:$H$74,2,FALSE)</f>
        <v>3574415.6</v>
      </c>
      <c r="E18" s="219">
        <f t="shared" ref="E18:E28" si="3">$E$16</f>
        <v>3.4600000000000006E-2</v>
      </c>
      <c r="F18" s="257">
        <f t="shared" si="0"/>
        <v>123674.78</v>
      </c>
      <c r="G18" s="218">
        <f>VLOOKUP($B18,'Sales Volumes'!$A$1:$H$74,5,FALSE)</f>
        <v>49975.5</v>
      </c>
      <c r="H18" s="219">
        <f t="shared" ref="H18:H28" si="4">$H$16</f>
        <v>1.7000000000000001E-2</v>
      </c>
      <c r="I18" s="216">
        <f t="shared" si="1"/>
        <v>849.58</v>
      </c>
      <c r="J18" s="257">
        <f t="shared" ref="J18:J28" si="5">+F18+I18</f>
        <v>124524.36</v>
      </c>
      <c r="K18" s="257">
        <f>+K17-J18</f>
        <v>752674.38</v>
      </c>
    </row>
    <row r="19" spans="1:11" x14ac:dyDescent="0.25">
      <c r="A19" s="531">
        <v>5</v>
      </c>
      <c r="B19" s="217">
        <f t="shared" si="2"/>
        <v>43221</v>
      </c>
      <c r="C19" s="217"/>
      <c r="D19" s="55">
        <f>VLOOKUP($B19,'Sales Volumes'!$A$1:$H$74,2,FALSE)</f>
        <v>1717818.4</v>
      </c>
      <c r="E19" s="219">
        <f t="shared" si="3"/>
        <v>3.4600000000000006E-2</v>
      </c>
      <c r="F19" s="257">
        <f t="shared" si="0"/>
        <v>59436.52</v>
      </c>
      <c r="G19" s="218">
        <f>VLOOKUP($B19,'Sales Volumes'!$A$1:$H$74,5,FALSE)</f>
        <v>58553.2</v>
      </c>
      <c r="H19" s="219">
        <f t="shared" si="4"/>
        <v>1.7000000000000001E-2</v>
      </c>
      <c r="I19" s="216">
        <f t="shared" si="1"/>
        <v>995.4</v>
      </c>
      <c r="J19" s="257">
        <f t="shared" si="5"/>
        <v>60431.92</v>
      </c>
      <c r="K19" s="257">
        <f t="shared" ref="K19:K27" si="6">+K18-J19</f>
        <v>692242.46</v>
      </c>
    </row>
    <row r="20" spans="1:11" x14ac:dyDescent="0.25">
      <c r="A20" s="531">
        <v>6</v>
      </c>
      <c r="B20" s="217">
        <f t="shared" si="2"/>
        <v>43252</v>
      </c>
      <c r="C20" s="217"/>
      <c r="D20" s="55">
        <f>VLOOKUP($B20,'Sales Volumes'!$A$1:$H$74,2,FALSE)</f>
        <v>804407.9</v>
      </c>
      <c r="E20" s="219">
        <f t="shared" si="3"/>
        <v>3.4600000000000006E-2</v>
      </c>
      <c r="F20" s="257">
        <f t="shared" si="0"/>
        <v>27832.51</v>
      </c>
      <c r="G20" s="218">
        <f>VLOOKUP($B20,'Sales Volumes'!$A$1:$H$74,5,FALSE)</f>
        <v>55149.7</v>
      </c>
      <c r="H20" s="219">
        <f t="shared" si="4"/>
        <v>1.7000000000000001E-2</v>
      </c>
      <c r="I20" s="216">
        <f t="shared" si="1"/>
        <v>937.54</v>
      </c>
      <c r="J20" s="257">
        <f t="shared" si="5"/>
        <v>28770.05</v>
      </c>
      <c r="K20" s="257">
        <f t="shared" si="6"/>
        <v>663472.40999999992</v>
      </c>
    </row>
    <row r="21" spans="1:11" x14ac:dyDescent="0.25">
      <c r="A21" s="531">
        <v>7</v>
      </c>
      <c r="B21" s="217">
        <f t="shared" si="2"/>
        <v>43282</v>
      </c>
      <c r="C21" s="217"/>
      <c r="D21" s="55">
        <f>VLOOKUP($B21,'Sales Volumes'!$A$1:$H$74,2,FALSE)</f>
        <v>711177.6</v>
      </c>
      <c r="E21" s="219">
        <f t="shared" si="3"/>
        <v>3.4600000000000006E-2</v>
      </c>
      <c r="F21" s="257">
        <f t="shared" si="0"/>
        <v>24606.74</v>
      </c>
      <c r="G21" s="218">
        <f>VLOOKUP($B21,'Sales Volumes'!$A$1:$H$74,5,FALSE)</f>
        <v>47377.000000000007</v>
      </c>
      <c r="H21" s="219">
        <f t="shared" si="4"/>
        <v>1.7000000000000001E-2</v>
      </c>
      <c r="I21" s="216">
        <f t="shared" si="1"/>
        <v>805.41</v>
      </c>
      <c r="J21" s="257">
        <f t="shared" si="5"/>
        <v>25412.15</v>
      </c>
      <c r="K21" s="257">
        <f t="shared" si="6"/>
        <v>638060.25999999989</v>
      </c>
    </row>
    <row r="22" spans="1:11" x14ac:dyDescent="0.25">
      <c r="A22" s="531">
        <v>8</v>
      </c>
      <c r="B22" s="217">
        <f t="shared" si="2"/>
        <v>43313</v>
      </c>
      <c r="C22" s="217"/>
      <c r="D22" s="55">
        <f>VLOOKUP($B22,'Sales Volumes'!$A$1:$H$74,2,FALSE)</f>
        <v>685611.4</v>
      </c>
      <c r="E22" s="219">
        <f t="shared" si="3"/>
        <v>3.4600000000000006E-2</v>
      </c>
      <c r="F22" s="257">
        <f t="shared" si="0"/>
        <v>23722.15</v>
      </c>
      <c r="G22" s="218">
        <f>VLOOKUP($B22,'Sales Volumes'!$A$1:$H$74,5,FALSE)</f>
        <v>60415.3</v>
      </c>
      <c r="H22" s="219">
        <f t="shared" si="4"/>
        <v>1.7000000000000001E-2</v>
      </c>
      <c r="I22" s="216">
        <f t="shared" si="1"/>
        <v>1027.06</v>
      </c>
      <c r="J22" s="257">
        <f t="shared" si="5"/>
        <v>24749.210000000003</v>
      </c>
      <c r="K22" s="257">
        <f t="shared" si="6"/>
        <v>613311.04999999993</v>
      </c>
    </row>
    <row r="23" spans="1:11" x14ac:dyDescent="0.25">
      <c r="A23" s="531">
        <v>9</v>
      </c>
      <c r="B23" s="217">
        <f t="shared" si="2"/>
        <v>43344</v>
      </c>
      <c r="C23" s="217"/>
      <c r="D23" s="55">
        <f>VLOOKUP($B23,'Sales Volumes'!$A$1:$H$74,2,FALSE)</f>
        <v>715644</v>
      </c>
      <c r="E23" s="219">
        <f t="shared" si="3"/>
        <v>3.4600000000000006E-2</v>
      </c>
      <c r="F23" s="257">
        <f t="shared" si="0"/>
        <v>24761.279999999999</v>
      </c>
      <c r="G23" s="218">
        <f>VLOOKUP($B23,'Sales Volumes'!$A$1:$H$74,5,FALSE)</f>
        <v>62054.6</v>
      </c>
      <c r="H23" s="219">
        <f t="shared" si="4"/>
        <v>1.7000000000000001E-2</v>
      </c>
      <c r="I23" s="216">
        <f t="shared" si="1"/>
        <v>1054.93</v>
      </c>
      <c r="J23" s="257">
        <f t="shared" si="5"/>
        <v>25816.21</v>
      </c>
      <c r="K23" s="257">
        <f t="shared" si="6"/>
        <v>587494.84</v>
      </c>
    </row>
    <row r="24" spans="1:11" x14ac:dyDescent="0.25">
      <c r="A24" s="531">
        <v>10</v>
      </c>
      <c r="B24" s="217">
        <f t="shared" si="2"/>
        <v>43374</v>
      </c>
      <c r="C24" s="217"/>
      <c r="D24" s="55">
        <f>VLOOKUP($B24,'Sales Volumes'!$A$1:$H$74,2,FALSE)</f>
        <v>1074864.5999999999</v>
      </c>
      <c r="E24" s="219">
        <f t="shared" si="3"/>
        <v>3.4600000000000006E-2</v>
      </c>
      <c r="F24" s="257">
        <f t="shared" si="0"/>
        <v>37190.32</v>
      </c>
      <c r="G24" s="218">
        <f>VLOOKUP($B24,'Sales Volumes'!$A$1:$H$74,5,FALSE)</f>
        <v>71891.399999999994</v>
      </c>
      <c r="H24" s="219">
        <f t="shared" si="4"/>
        <v>1.7000000000000001E-2</v>
      </c>
      <c r="I24" s="216">
        <f t="shared" si="1"/>
        <v>1222.1500000000001</v>
      </c>
      <c r="J24" s="257">
        <f t="shared" si="5"/>
        <v>38412.47</v>
      </c>
      <c r="K24" s="257">
        <f t="shared" si="6"/>
        <v>549082.37</v>
      </c>
    </row>
    <row r="25" spans="1:11" x14ac:dyDescent="0.25">
      <c r="A25" s="531">
        <v>11</v>
      </c>
      <c r="B25" s="217">
        <f t="shared" si="2"/>
        <v>43405</v>
      </c>
      <c r="C25" s="217"/>
      <c r="D25" s="55">
        <f>VLOOKUP($B25,'Sales Volumes'!$A$1:$H$74,2,FALSE)</f>
        <v>2736023.9</v>
      </c>
      <c r="E25" s="219">
        <f t="shared" si="3"/>
        <v>3.4600000000000006E-2</v>
      </c>
      <c r="F25" s="257">
        <f t="shared" si="0"/>
        <v>94666.43</v>
      </c>
      <c r="G25" s="218">
        <f>VLOOKUP($B25,'Sales Volumes'!$A$1:$H$74,5,FALSE)</f>
        <v>42525</v>
      </c>
      <c r="H25" s="219">
        <f t="shared" si="4"/>
        <v>1.7000000000000001E-2</v>
      </c>
      <c r="I25" s="216">
        <f t="shared" si="1"/>
        <v>722.93</v>
      </c>
      <c r="J25" s="257">
        <f t="shared" si="5"/>
        <v>95389.359999999986</v>
      </c>
      <c r="K25" s="257">
        <f t="shared" si="6"/>
        <v>453693.01</v>
      </c>
    </row>
    <row r="26" spans="1:11" x14ac:dyDescent="0.25">
      <c r="A26" s="531">
        <v>12</v>
      </c>
      <c r="B26" s="217">
        <f t="shared" si="2"/>
        <v>43435</v>
      </c>
      <c r="C26" s="217"/>
      <c r="D26" s="218">
        <f>VLOOKUP($B26,'Sales Volumes'!$A$1:$H$74,2,FALSE)</f>
        <v>4747676.1000000006</v>
      </c>
      <c r="E26" s="219">
        <f t="shared" si="3"/>
        <v>3.4600000000000006E-2</v>
      </c>
      <c r="F26" s="257">
        <f t="shared" si="0"/>
        <v>164269.59</v>
      </c>
      <c r="G26" s="218">
        <f>VLOOKUP($B26,'Sales Volumes'!$A$1:$H$74,5,FALSE)</f>
        <v>29030.399999999998</v>
      </c>
      <c r="H26" s="219">
        <f t="shared" si="4"/>
        <v>1.7000000000000001E-2</v>
      </c>
      <c r="I26" s="216">
        <f t="shared" si="1"/>
        <v>493.52</v>
      </c>
      <c r="J26" s="257">
        <f t="shared" si="5"/>
        <v>164763.10999999999</v>
      </c>
      <c r="K26" s="257">
        <f t="shared" si="6"/>
        <v>288929.90000000002</v>
      </c>
    </row>
    <row r="27" spans="1:11" x14ac:dyDescent="0.25">
      <c r="A27" s="531">
        <v>13</v>
      </c>
      <c r="B27" s="217">
        <f t="shared" si="2"/>
        <v>43466</v>
      </c>
      <c r="C27" s="217"/>
      <c r="D27" s="218">
        <f>VLOOKUP($B27,'Sales Volumes'!$A$1:$H$74,2,FALSE)</f>
        <v>5209144.6000000006</v>
      </c>
      <c r="E27" s="219">
        <f t="shared" si="3"/>
        <v>3.4600000000000006E-2</v>
      </c>
      <c r="F27" s="257">
        <f t="shared" si="0"/>
        <v>180236.4</v>
      </c>
      <c r="G27" s="218">
        <f>VLOOKUP($B27,'Sales Volumes'!$A$1:$H$74,5,FALSE)</f>
        <v>12021.099999999999</v>
      </c>
      <c r="H27" s="219">
        <f t="shared" si="4"/>
        <v>1.7000000000000001E-2</v>
      </c>
      <c r="I27" s="216">
        <f t="shared" si="1"/>
        <v>204.36</v>
      </c>
      <c r="J27" s="257">
        <f t="shared" si="5"/>
        <v>180440.75999999998</v>
      </c>
      <c r="K27" s="157">
        <f t="shared" si="6"/>
        <v>108489.14000000004</v>
      </c>
    </row>
    <row r="28" spans="1:11" x14ac:dyDescent="0.25">
      <c r="A28" s="531">
        <v>14</v>
      </c>
      <c r="B28" s="217">
        <f t="shared" si="2"/>
        <v>43497</v>
      </c>
      <c r="C28" s="217" t="s">
        <v>369</v>
      </c>
      <c r="D28" s="218">
        <f>VLOOKUP($B28,'Sales Volumes'!$A$1:$H$74,3,FALSE)</f>
        <v>2943537.6</v>
      </c>
      <c r="E28" s="219">
        <f t="shared" si="3"/>
        <v>3.4600000000000006E-2</v>
      </c>
      <c r="F28" s="258">
        <f t="shared" si="0"/>
        <v>101846.39999999999</v>
      </c>
      <c r="G28" s="218"/>
      <c r="H28" s="219">
        <f t="shared" si="4"/>
        <v>1.7000000000000001E-2</v>
      </c>
      <c r="I28" s="220">
        <f t="shared" si="1"/>
        <v>0</v>
      </c>
      <c r="J28" s="258">
        <f t="shared" si="5"/>
        <v>101846.39999999999</v>
      </c>
      <c r="K28" s="157">
        <f>K27-J28</f>
        <v>6642.7400000000489</v>
      </c>
    </row>
    <row r="29" spans="1:11" ht="16.5" thickBot="1" x14ac:dyDescent="0.3">
      <c r="A29" s="531"/>
      <c r="B29" s="221"/>
      <c r="C29" s="221"/>
      <c r="D29" s="222">
        <f>SUM(D16:D28)</f>
        <v>31207383.900000002</v>
      </c>
      <c r="E29" s="223"/>
      <c r="F29" s="259">
        <f>SUM(F16:F28)</f>
        <v>1079775.47</v>
      </c>
      <c r="G29" s="222">
        <f>SUM(G16:G28)</f>
        <v>561694</v>
      </c>
      <c r="H29" s="224"/>
      <c r="I29" s="259">
        <f>SUM(I16:I28)</f>
        <v>9548.7900000000009</v>
      </c>
      <c r="J29" s="259">
        <f>SUM(J16:J28)</f>
        <v>1089324.26</v>
      </c>
      <c r="K29" s="259"/>
    </row>
    <row r="30" spans="1:11" ht="16.5" thickTop="1" x14ac:dyDescent="0.25">
      <c r="A30" s="531"/>
      <c r="B30" s="221"/>
      <c r="C30" s="221"/>
      <c r="D30" s="221"/>
      <c r="E30" s="221"/>
      <c r="F30" s="221"/>
      <c r="G30" s="221"/>
      <c r="H30" s="221"/>
    </row>
    <row r="31" spans="1:11" x14ac:dyDescent="0.25">
      <c r="A31" s="531">
        <v>15</v>
      </c>
      <c r="B31" s="221"/>
      <c r="C31" s="221"/>
      <c r="D31" s="221"/>
      <c r="E31" s="221"/>
      <c r="F31" s="221"/>
      <c r="G31" s="221"/>
      <c r="H31" s="221"/>
      <c r="I31" s="215" t="s">
        <v>427</v>
      </c>
      <c r="J31" s="157">
        <f>K28</f>
        <v>6642.7400000000489</v>
      </c>
    </row>
    <row r="32" spans="1:11" x14ac:dyDescent="0.25">
      <c r="B32" s="221"/>
      <c r="C32" s="221"/>
      <c r="D32" s="221"/>
      <c r="E32" s="221"/>
      <c r="F32" s="221"/>
      <c r="G32" s="221"/>
      <c r="H32" s="221"/>
      <c r="I32" s="221"/>
      <c r="J32" s="271"/>
      <c r="K32" s="221"/>
    </row>
    <row r="33" spans="2:11" x14ac:dyDescent="0.25">
      <c r="B33" s="221"/>
      <c r="C33" s="221"/>
    </row>
    <row r="34" spans="2:11" x14ac:dyDescent="0.25">
      <c r="B34" s="221"/>
      <c r="C34" s="221"/>
      <c r="I34" s="221"/>
      <c r="J34" s="221"/>
      <c r="K34" s="221"/>
    </row>
    <row r="35" spans="2:11" x14ac:dyDescent="0.25">
      <c r="B35" s="221"/>
      <c r="C35" s="221"/>
      <c r="I35" s="221"/>
      <c r="J35" s="221"/>
      <c r="K35" s="221"/>
    </row>
    <row r="36" spans="2:11" x14ac:dyDescent="0.25">
      <c r="B36" s="221"/>
      <c r="C36" s="221"/>
      <c r="I36" s="221"/>
      <c r="J36" s="221"/>
      <c r="K36" s="221"/>
    </row>
    <row r="37" spans="2:11" x14ac:dyDescent="0.25">
      <c r="B37" s="221"/>
      <c r="C37" s="221"/>
      <c r="D37" s="206" t="s">
        <v>284</v>
      </c>
      <c r="E37" s="206"/>
      <c r="F37" s="221"/>
      <c r="G37" s="221"/>
      <c r="H37" s="221"/>
      <c r="I37" s="221"/>
      <c r="J37" s="221"/>
      <c r="K37" s="221"/>
    </row>
    <row r="38" spans="2:11" x14ac:dyDescent="0.25">
      <c r="D38" s="221" t="s">
        <v>285</v>
      </c>
      <c r="E38" s="221"/>
      <c r="F38" s="221"/>
      <c r="G38" s="221"/>
      <c r="H38" s="221"/>
    </row>
    <row r="39" spans="2:11" x14ac:dyDescent="0.25">
      <c r="D39" s="221" t="s">
        <v>286</v>
      </c>
      <c r="E39" s="221"/>
      <c r="F39" s="221"/>
      <c r="G39" s="221"/>
      <c r="H39" s="221"/>
    </row>
    <row r="40" spans="2:11" x14ac:dyDescent="0.25">
      <c r="D40" s="221" t="s">
        <v>287</v>
      </c>
      <c r="E40" s="221"/>
      <c r="F40" s="221"/>
      <c r="G40" s="221"/>
      <c r="H40" s="221"/>
    </row>
    <row r="41" spans="2:11" x14ac:dyDescent="0.25">
      <c r="D41" s="221" t="s">
        <v>288</v>
      </c>
      <c r="E41" s="221"/>
      <c r="F41" s="221"/>
      <c r="G41" s="221"/>
      <c r="H41" s="221"/>
    </row>
  </sheetData>
  <mergeCells count="5">
    <mergeCell ref="B1:K1"/>
    <mergeCell ref="B2:K2"/>
    <mergeCell ref="D9:F9"/>
    <mergeCell ref="G9:I9"/>
    <mergeCell ref="B3:K3"/>
  </mergeCells>
  <printOptions horizontalCentered="1"/>
  <pageMargins left="0.63" right="0.63" top="1.49" bottom="0.75" header="0.3" footer="0.3"/>
  <pageSetup scale="76" orientation="landscape" r:id="rId1"/>
  <headerFooter>
    <oddFooter>&amp;R&amp;"Times New Roman,Bold"Exhibit E-1
Page 2 of 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 tint="0.59999389629810485"/>
  </sheetPr>
  <dimension ref="A1:P21"/>
  <sheetViews>
    <sheetView zoomScale="80" zoomScaleNormal="80" workbookViewId="0"/>
  </sheetViews>
  <sheetFormatPr defaultColWidth="8.88671875" defaultRowHeight="15.75" x14ac:dyDescent="0.25"/>
  <cols>
    <col min="1" max="1" width="8.88671875" style="3"/>
    <col min="2" max="2" width="26.109375" style="3" customWidth="1"/>
    <col min="3" max="3" width="14.44140625" style="3" customWidth="1"/>
    <col min="4" max="4" width="12.21875" style="3" customWidth="1"/>
    <col min="5" max="5" width="13.44140625" style="3" customWidth="1"/>
    <col min="6" max="6" width="12.5546875" style="3" customWidth="1"/>
    <col min="7" max="11" width="8.88671875" style="3"/>
    <col min="12" max="12" width="10.33203125" style="3" customWidth="1"/>
    <col min="13" max="16384" width="8.88671875" style="3"/>
  </cols>
  <sheetData>
    <row r="1" spans="1:16" ht="18.75" x14ac:dyDescent="0.3">
      <c r="B1" s="624" t="s">
        <v>5</v>
      </c>
      <c r="C1" s="624"/>
      <c r="D1" s="624"/>
      <c r="E1" s="624"/>
      <c r="F1" s="624"/>
    </row>
    <row r="2" spans="1:16" ht="18.75" x14ac:dyDescent="0.3">
      <c r="B2" s="177"/>
      <c r="C2" s="177"/>
      <c r="D2" s="177"/>
      <c r="E2" s="177"/>
      <c r="F2" s="177"/>
    </row>
    <row r="3" spans="1:16" ht="18.75" x14ac:dyDescent="0.3">
      <c r="B3" s="589" t="str">
        <f>CONCATENATE("Gas Supply Clause ", 'Input Data'!C12)</f>
        <v>Gas Supply Clause 2019-00179</v>
      </c>
      <c r="C3" s="589"/>
      <c r="D3" s="589"/>
      <c r="E3" s="589"/>
      <c r="F3" s="589"/>
    </row>
    <row r="4" spans="1:16" ht="18.75" x14ac:dyDescent="0.3">
      <c r="B4" s="589" t="s">
        <v>333</v>
      </c>
      <c r="C4" s="589"/>
      <c r="D4" s="589"/>
      <c r="E4" s="589"/>
      <c r="F4" s="589"/>
    </row>
    <row r="5" spans="1:16" ht="18.75" x14ac:dyDescent="0.3">
      <c r="B5" s="589" t="s">
        <v>334</v>
      </c>
      <c r="C5" s="589"/>
      <c r="D5" s="589"/>
      <c r="E5" s="589"/>
      <c r="F5" s="589"/>
    </row>
    <row r="6" spans="1:16" ht="18.75" x14ac:dyDescent="0.3">
      <c r="B6" s="589" t="str">
        <f>CONCATENATE("For Service Rendered On and After ",'Input Data'!$D$4)</f>
        <v>For Service Rendered On and After August 1, 2019</v>
      </c>
      <c r="C6" s="589"/>
      <c r="D6" s="589"/>
      <c r="E6" s="589"/>
      <c r="F6" s="589"/>
    </row>
    <row r="7" spans="1:16" x14ac:dyDescent="0.25">
      <c r="B7" s="531"/>
      <c r="C7" s="531"/>
      <c r="D7" s="531"/>
      <c r="E7" s="531"/>
      <c r="F7" s="531"/>
    </row>
    <row r="8" spans="1:16" x14ac:dyDescent="0.25">
      <c r="B8" s="531"/>
      <c r="C8" s="531"/>
      <c r="D8" s="531"/>
      <c r="E8" s="531"/>
      <c r="F8" s="531"/>
    </row>
    <row r="9" spans="1:16" x14ac:dyDescent="0.25">
      <c r="B9" s="531"/>
      <c r="C9" s="531"/>
      <c r="D9" s="531"/>
      <c r="E9" s="531"/>
      <c r="F9" s="531"/>
    </row>
    <row r="11" spans="1:16" ht="31.5" x14ac:dyDescent="0.25">
      <c r="A11" s="531"/>
      <c r="C11" s="109" t="s">
        <v>457</v>
      </c>
      <c r="D11" s="109" t="s">
        <v>457</v>
      </c>
      <c r="E11" s="109" t="s">
        <v>457</v>
      </c>
      <c r="I11" s="435"/>
      <c r="J11" s="435"/>
      <c r="K11" s="435"/>
      <c r="L11" s="435"/>
      <c r="M11" s="435"/>
      <c r="N11" s="435"/>
      <c r="O11" s="435"/>
      <c r="P11" s="435"/>
    </row>
    <row r="12" spans="1:16" x14ac:dyDescent="0.25">
      <c r="A12" s="536" t="s">
        <v>250</v>
      </c>
      <c r="B12" s="536" t="s">
        <v>335</v>
      </c>
      <c r="C12" s="536" t="s">
        <v>455</v>
      </c>
      <c r="D12" s="536" t="s">
        <v>456</v>
      </c>
      <c r="E12" s="536" t="s">
        <v>336</v>
      </c>
      <c r="F12" s="536" t="s">
        <v>337</v>
      </c>
      <c r="H12" s="435"/>
      <c r="I12" s="435"/>
      <c r="J12" s="435"/>
      <c r="K12" s="435"/>
      <c r="L12" s="435"/>
      <c r="M12" s="435"/>
      <c r="N12" s="435"/>
      <c r="O12" s="435"/>
      <c r="P12" s="435"/>
    </row>
    <row r="13" spans="1:16" x14ac:dyDescent="0.25">
      <c r="A13" s="531"/>
      <c r="B13" s="531" t="s">
        <v>60</v>
      </c>
      <c r="C13" s="531" t="s">
        <v>61</v>
      </c>
      <c r="D13" s="531" t="s">
        <v>62</v>
      </c>
      <c r="E13" s="531" t="s">
        <v>63</v>
      </c>
      <c r="F13" s="531" t="s">
        <v>477</v>
      </c>
      <c r="H13" s="435"/>
      <c r="I13" s="435"/>
      <c r="J13" s="435"/>
      <c r="K13" s="435"/>
      <c r="L13" s="435"/>
      <c r="M13" s="435"/>
      <c r="N13" s="435"/>
      <c r="O13" s="435"/>
      <c r="P13" s="435"/>
    </row>
    <row r="14" spans="1:16" x14ac:dyDescent="0.25">
      <c r="A14" s="531"/>
      <c r="I14" s="435"/>
      <c r="J14" s="435"/>
      <c r="K14" s="435"/>
      <c r="L14" s="435"/>
      <c r="M14" s="435"/>
      <c r="N14" s="435"/>
      <c r="O14" s="435"/>
      <c r="P14" s="435"/>
    </row>
    <row r="15" spans="1:16" x14ac:dyDescent="0.25">
      <c r="A15" s="531">
        <v>1</v>
      </c>
      <c r="B15" s="576">
        <v>43040</v>
      </c>
      <c r="C15" s="159">
        <v>0</v>
      </c>
      <c r="D15" s="159">
        <v>0</v>
      </c>
      <c r="E15" s="159">
        <v>0</v>
      </c>
      <c r="F15" s="159">
        <f>SUM(C15:E15)</f>
        <v>0</v>
      </c>
      <c r="I15" s="435"/>
      <c r="J15" s="435"/>
      <c r="K15" s="435"/>
      <c r="L15" s="435"/>
      <c r="M15" s="435"/>
      <c r="N15" s="435"/>
      <c r="O15" s="435"/>
      <c r="P15" s="435"/>
    </row>
    <row r="16" spans="1:16" x14ac:dyDescent="0.25">
      <c r="A16" s="531"/>
      <c r="B16" s="531"/>
      <c r="C16" s="159"/>
      <c r="D16" s="159"/>
      <c r="E16" s="159"/>
      <c r="F16" s="159"/>
      <c r="I16" s="435"/>
      <c r="J16" s="435"/>
      <c r="K16" s="435"/>
      <c r="L16" s="435"/>
      <c r="M16" s="435"/>
      <c r="N16" s="435"/>
      <c r="O16" s="435"/>
      <c r="P16" s="435"/>
    </row>
    <row r="17" spans="1:16" x14ac:dyDescent="0.25">
      <c r="A17" s="531">
        <v>2</v>
      </c>
      <c r="B17" s="576">
        <v>43405</v>
      </c>
      <c r="C17" s="159">
        <f>SUM('Summary Sheet'!J24:J25)</f>
        <v>-6.5799999999999997E-2</v>
      </c>
      <c r="D17" s="159">
        <f>'Summary Sheet'!J32</f>
        <v>1.4E-3</v>
      </c>
      <c r="E17" s="159">
        <f>'Summary Sheet'!J48</f>
        <v>6.3500000000000001E-2</v>
      </c>
      <c r="F17" s="159">
        <f>SUM(C17:E17)</f>
        <v>-8.9999999999999802E-4</v>
      </c>
      <c r="I17" s="435"/>
      <c r="J17" s="435"/>
      <c r="K17" s="435"/>
      <c r="L17" s="435"/>
      <c r="M17" s="435"/>
      <c r="N17" s="435"/>
      <c r="O17" s="435"/>
      <c r="P17" s="435"/>
    </row>
    <row r="18" spans="1:16" x14ac:dyDescent="0.25">
      <c r="A18" s="531"/>
      <c r="C18" s="191"/>
      <c r="D18" s="191"/>
      <c r="E18" s="191"/>
      <c r="F18" s="191"/>
      <c r="I18" s="435"/>
      <c r="J18" s="435"/>
      <c r="K18" s="435"/>
      <c r="L18" s="435"/>
      <c r="M18" s="435"/>
      <c r="N18" s="435"/>
      <c r="O18" s="435"/>
      <c r="P18" s="435"/>
    </row>
    <row r="19" spans="1:16" x14ac:dyDescent="0.25">
      <c r="A19" s="531"/>
      <c r="I19" s="435"/>
      <c r="J19" s="435"/>
      <c r="K19" s="435"/>
      <c r="L19" s="435"/>
      <c r="M19" s="435"/>
      <c r="N19" s="435"/>
      <c r="O19" s="435"/>
      <c r="P19" s="435"/>
    </row>
    <row r="20" spans="1:16" x14ac:dyDescent="0.25">
      <c r="A20" s="531"/>
      <c r="I20" s="435"/>
      <c r="J20" s="435"/>
      <c r="K20" s="435"/>
      <c r="L20" s="435"/>
      <c r="M20" s="435"/>
      <c r="N20" s="435"/>
      <c r="O20" s="435"/>
      <c r="P20" s="435"/>
    </row>
    <row r="21" spans="1:16" x14ac:dyDescent="0.25">
      <c r="A21" s="531"/>
      <c r="B21" s="282"/>
      <c r="I21" s="435"/>
      <c r="J21" s="435"/>
      <c r="K21" s="435"/>
      <c r="L21" s="435"/>
      <c r="M21" s="435"/>
      <c r="N21" s="435"/>
      <c r="O21" s="435"/>
      <c r="P21" s="435"/>
    </row>
  </sheetData>
  <mergeCells count="5">
    <mergeCell ref="B3:F3"/>
    <mergeCell ref="B4:F4"/>
    <mergeCell ref="B5:F5"/>
    <mergeCell ref="B1:F1"/>
    <mergeCell ref="B6:F6"/>
  </mergeCells>
  <pageMargins left="0.7" right="0.7" top="0.75" bottom="0.75" header="0.3" footer="0.3"/>
  <pageSetup scale="86" orientation="portrait" r:id="rId1"/>
  <headerFooter>
    <oddHeader>&amp;R&amp;"Times New Roman,Bold"Exhibit F-1
Page 1 of 1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6">
    <tabColor theme="9" tint="0.59999389629810485"/>
  </sheetPr>
  <dimension ref="A1:S167"/>
  <sheetViews>
    <sheetView zoomScale="80" zoomScaleNormal="80" workbookViewId="0"/>
  </sheetViews>
  <sheetFormatPr defaultColWidth="9.77734375" defaultRowHeight="15.75" x14ac:dyDescent="0.25"/>
  <cols>
    <col min="1" max="1" width="6.77734375" style="3" customWidth="1"/>
    <col min="2" max="2" width="9.77734375" style="3"/>
    <col min="3" max="3" width="4.33203125" style="3" customWidth="1"/>
    <col min="4" max="4" width="25.6640625" style="3" customWidth="1"/>
    <col min="5" max="5" width="10.88671875" style="3" customWidth="1"/>
    <col min="6" max="6" width="3.77734375" style="3" customWidth="1"/>
    <col min="7" max="7" width="13.33203125" style="3" customWidth="1"/>
    <col min="8" max="8" width="3.5546875" style="3" customWidth="1"/>
    <col min="9" max="9" width="12.21875" style="3" customWidth="1"/>
    <col min="10" max="10" width="3.5546875" style="3" customWidth="1"/>
    <col min="11" max="11" width="12.21875" style="3" customWidth="1"/>
    <col min="12" max="12" width="3.44140625" style="3" customWidth="1"/>
    <col min="13" max="13" width="14.77734375" style="3" customWidth="1"/>
    <col min="14" max="14" width="3.33203125" style="3" customWidth="1"/>
    <col min="15" max="15" width="11.77734375" style="3" customWidth="1"/>
    <col min="16" max="16" width="4" style="3" customWidth="1"/>
    <col min="17" max="17" width="13.33203125" style="3" customWidth="1"/>
    <col min="18" max="18" width="4" style="3" customWidth="1"/>
    <col min="19" max="19" width="9.77734375" style="3"/>
    <col min="20" max="20" width="3.77734375" style="3" customWidth="1"/>
    <col min="21" max="16384" width="9.77734375" style="3"/>
  </cols>
  <sheetData>
    <row r="1" spans="1:19" x14ac:dyDescent="0.25">
      <c r="A1" s="225" t="s">
        <v>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</row>
    <row r="2" spans="1:19" x14ac:dyDescent="0.25">
      <c r="A2" s="51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</row>
    <row r="3" spans="1:19" x14ac:dyDescent="0.25">
      <c r="A3" s="51" t="s">
        <v>627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x14ac:dyDescent="0.25">
      <c r="A4" s="51" t="s">
        <v>204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x14ac:dyDescent="0.25">
      <c r="A5" s="625" t="str">
        <f>CONCATENATE('Input Data'!D4," through ",'Input Data'!D5)</f>
        <v>August 1, 2019 through October 31, 2019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625"/>
      <c r="N5" s="625"/>
      <c r="O5" s="625"/>
      <c r="P5" s="625"/>
      <c r="Q5" s="625"/>
      <c r="R5" s="625"/>
      <c r="S5" s="625"/>
    </row>
    <row r="6" spans="1:19" x14ac:dyDescent="0.25">
      <c r="A6" s="15"/>
    </row>
    <row r="7" spans="1:19" x14ac:dyDescent="0.25">
      <c r="A7" s="15"/>
    </row>
    <row r="8" spans="1:19" x14ac:dyDescent="0.25">
      <c r="A8" s="2"/>
      <c r="B8" s="2"/>
      <c r="C8" s="2"/>
      <c r="D8" s="2"/>
      <c r="E8" s="2"/>
      <c r="F8" s="2"/>
      <c r="G8" s="2"/>
      <c r="H8" s="2"/>
      <c r="I8" s="457" t="s">
        <v>128</v>
      </c>
      <c r="J8" s="457"/>
      <c r="K8" s="457"/>
      <c r="L8" s="457"/>
      <c r="M8" s="457"/>
      <c r="N8" s="457"/>
      <c r="O8" s="457"/>
      <c r="P8" s="457"/>
      <c r="Q8" s="457"/>
      <c r="R8" s="227"/>
      <c r="S8" s="2"/>
    </row>
    <row r="9" spans="1:1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09" t="s">
        <v>436</v>
      </c>
      <c r="R10" s="2"/>
      <c r="S10" s="2"/>
    </row>
    <row r="11" spans="1:19" x14ac:dyDescent="0.25">
      <c r="A11" s="2"/>
      <c r="B11" s="2"/>
      <c r="C11" s="2"/>
      <c r="D11" s="2"/>
      <c r="E11" s="309" t="s">
        <v>229</v>
      </c>
      <c r="F11" s="2"/>
      <c r="G11" s="309" t="s">
        <v>436</v>
      </c>
      <c r="H11" s="309"/>
      <c r="I11" s="309" t="s">
        <v>158</v>
      </c>
      <c r="J11" s="309"/>
      <c r="K11" s="136" t="s">
        <v>129</v>
      </c>
      <c r="L11" s="2"/>
      <c r="M11" s="309" t="s">
        <v>130</v>
      </c>
      <c r="N11" s="2"/>
      <c r="O11" s="309" t="s">
        <v>131</v>
      </c>
      <c r="P11" s="309"/>
      <c r="Q11" s="309" t="s">
        <v>577</v>
      </c>
      <c r="R11" s="309"/>
      <c r="S11" s="2"/>
    </row>
    <row r="12" spans="1:19" x14ac:dyDescent="0.25">
      <c r="A12" s="2"/>
      <c r="B12" s="2"/>
      <c r="C12" s="2"/>
      <c r="D12" s="2"/>
      <c r="E12" s="309" t="s">
        <v>132</v>
      </c>
      <c r="F12" s="2"/>
      <c r="G12" s="309" t="s">
        <v>132</v>
      </c>
      <c r="H12" s="309"/>
      <c r="I12" s="309" t="s">
        <v>132</v>
      </c>
      <c r="J12" s="309"/>
      <c r="K12" s="309" t="s">
        <v>133</v>
      </c>
      <c r="L12" s="2"/>
      <c r="M12" s="309" t="s">
        <v>134</v>
      </c>
      <c r="N12" s="2"/>
      <c r="O12" s="309" t="s">
        <v>135</v>
      </c>
      <c r="P12" s="309"/>
      <c r="Q12" s="309" t="s">
        <v>576</v>
      </c>
      <c r="R12" s="309"/>
      <c r="S12" s="2"/>
    </row>
    <row r="13" spans="1:19" x14ac:dyDescent="0.25">
      <c r="A13" s="2"/>
      <c r="B13" s="2"/>
      <c r="C13" s="2"/>
      <c r="D13" s="2"/>
      <c r="E13" s="135" t="s">
        <v>623</v>
      </c>
      <c r="F13" s="2"/>
      <c r="G13" s="137" t="s">
        <v>136</v>
      </c>
      <c r="H13" s="140"/>
      <c r="I13" s="137" t="s">
        <v>139</v>
      </c>
      <c r="J13" s="140"/>
      <c r="K13" s="135" t="s">
        <v>137</v>
      </c>
      <c r="L13" s="2"/>
      <c r="M13" s="135" t="s">
        <v>138</v>
      </c>
      <c r="N13" s="2"/>
      <c r="O13" s="137" t="s">
        <v>139</v>
      </c>
      <c r="P13" s="140"/>
      <c r="Q13" s="137" t="s">
        <v>139</v>
      </c>
      <c r="R13" s="140"/>
      <c r="S13" s="135" t="s">
        <v>140</v>
      </c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136" t="s">
        <v>141</v>
      </c>
      <c r="B15" s="2"/>
      <c r="C15" s="2"/>
      <c r="D15" s="2"/>
      <c r="E15" s="2"/>
      <c r="F15" s="2"/>
      <c r="G15" s="2"/>
      <c r="H15" s="2"/>
      <c r="I15" s="2"/>
      <c r="J15" s="2"/>
      <c r="K15" s="228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2"/>
      <c r="B16" s="136" t="s">
        <v>228</v>
      </c>
      <c r="C16" s="2"/>
      <c r="D16" s="2"/>
      <c r="E16" s="229">
        <v>0.65</v>
      </c>
      <c r="F16" s="2"/>
      <c r="G16" s="229">
        <v>1.02</v>
      </c>
      <c r="H16" s="2"/>
      <c r="I16" s="2"/>
      <c r="J16" s="2"/>
      <c r="K16" s="228"/>
      <c r="L16" s="2"/>
      <c r="M16" s="2"/>
      <c r="N16" s="2"/>
      <c r="O16" s="228"/>
      <c r="P16" s="228"/>
      <c r="Q16" s="228"/>
      <c r="R16" s="228"/>
      <c r="S16" s="2"/>
    </row>
    <row r="17" spans="1:19" x14ac:dyDescent="0.25">
      <c r="A17" s="2"/>
      <c r="B17" s="136" t="s">
        <v>142</v>
      </c>
      <c r="C17" s="2"/>
      <c r="D17" s="2"/>
      <c r="E17" s="229"/>
      <c r="F17" s="2"/>
      <c r="G17" s="2"/>
      <c r="H17" s="2"/>
      <c r="I17" s="228"/>
      <c r="J17" s="2"/>
      <c r="K17" s="228">
        <v>0.36781999999999998</v>
      </c>
      <c r="L17" s="2"/>
      <c r="M17" s="228">
        <f>'Summary Sheet'!K59</f>
        <v>0.34845999999999999</v>
      </c>
      <c r="N17" s="2"/>
      <c r="O17" s="228">
        <v>-2.47E-3</v>
      </c>
      <c r="P17" s="228"/>
      <c r="Q17" s="228">
        <v>8.3899999999999999E-3</v>
      </c>
      <c r="R17" s="230"/>
      <c r="S17" s="228">
        <f>SUM(K17:Q17)</f>
        <v>0.72220000000000006</v>
      </c>
    </row>
    <row r="18" spans="1:19" x14ac:dyDescent="0.25">
      <c r="A18" s="2"/>
      <c r="B18" s="2"/>
      <c r="C18" s="2"/>
      <c r="D18" s="2"/>
      <c r="E18" s="229"/>
      <c r="F18" s="2"/>
      <c r="G18" s="2"/>
      <c r="H18" s="2"/>
      <c r="I18" s="2"/>
      <c r="J18" s="2"/>
      <c r="K18" s="228"/>
      <c r="L18" s="2"/>
      <c r="M18" s="228"/>
      <c r="N18" s="2"/>
      <c r="O18" s="230"/>
      <c r="P18" s="230"/>
      <c r="Q18" s="230"/>
      <c r="R18" s="230"/>
      <c r="S18" s="228"/>
    </row>
    <row r="19" spans="1:19" x14ac:dyDescent="0.25">
      <c r="A19" s="2"/>
      <c r="B19" s="2"/>
      <c r="C19" s="2"/>
      <c r="D19" s="2"/>
      <c r="E19" s="229"/>
      <c r="F19" s="2"/>
      <c r="G19" s="2"/>
      <c r="H19" s="2"/>
      <c r="I19" s="2"/>
      <c r="J19" s="2"/>
      <c r="K19" s="228"/>
      <c r="L19" s="2"/>
      <c r="M19" s="228"/>
      <c r="N19" s="2"/>
      <c r="O19" s="230"/>
      <c r="P19" s="230"/>
      <c r="Q19" s="230"/>
      <c r="R19" s="230"/>
      <c r="S19" s="228"/>
    </row>
    <row r="20" spans="1:19" x14ac:dyDescent="0.25">
      <c r="A20" s="136" t="s">
        <v>143</v>
      </c>
      <c r="B20" s="2"/>
      <c r="C20" s="2"/>
      <c r="D20" s="2" t="s">
        <v>144</v>
      </c>
      <c r="E20" s="229"/>
      <c r="F20" s="2"/>
      <c r="G20" s="2"/>
      <c r="H20" s="2"/>
      <c r="I20" s="2"/>
      <c r="J20" s="2"/>
      <c r="K20" s="228"/>
      <c r="L20" s="2"/>
      <c r="M20" s="228"/>
      <c r="N20" s="2"/>
      <c r="O20" s="230"/>
      <c r="P20" s="230"/>
      <c r="Q20" s="230"/>
      <c r="R20" s="230"/>
      <c r="S20" s="228"/>
    </row>
    <row r="21" spans="1:19" x14ac:dyDescent="0.25">
      <c r="A21" s="2"/>
      <c r="B21" s="136" t="s">
        <v>228</v>
      </c>
      <c r="C21" s="2"/>
      <c r="D21" s="2"/>
      <c r="E21" s="229">
        <v>1.97</v>
      </c>
      <c r="F21" s="2"/>
      <c r="G21" s="229">
        <v>5.12</v>
      </c>
      <c r="H21" s="2"/>
      <c r="I21" s="2"/>
      <c r="J21" s="2"/>
      <c r="K21" s="228"/>
      <c r="L21" s="2"/>
      <c r="M21" s="228"/>
      <c r="N21" s="2"/>
      <c r="O21" s="230"/>
      <c r="P21" s="230"/>
      <c r="Q21" s="230"/>
      <c r="R21" s="230"/>
      <c r="S21" s="228"/>
    </row>
    <row r="22" spans="1:19" x14ac:dyDescent="0.25">
      <c r="A22" s="136" t="s">
        <v>145</v>
      </c>
      <c r="B22" s="2"/>
      <c r="C22" s="2"/>
      <c r="D22" s="2"/>
      <c r="E22" s="229"/>
      <c r="F22" s="2"/>
      <c r="G22" s="2"/>
      <c r="H22" s="2"/>
      <c r="I22" s="2"/>
      <c r="J22" s="2"/>
      <c r="K22" s="228"/>
      <c r="L22" s="2"/>
      <c r="M22" s="228"/>
      <c r="N22" s="2"/>
      <c r="O22" s="230"/>
      <c r="P22" s="230"/>
      <c r="Q22" s="230"/>
      <c r="R22" s="230"/>
      <c r="S22" s="228"/>
    </row>
    <row r="23" spans="1:19" x14ac:dyDescent="0.25">
      <c r="A23" s="2"/>
      <c r="B23" s="136" t="s">
        <v>146</v>
      </c>
      <c r="C23" s="2"/>
      <c r="D23" s="2"/>
      <c r="E23" s="229"/>
      <c r="F23" s="2"/>
      <c r="G23" s="2"/>
      <c r="H23" s="2"/>
      <c r="I23" s="228"/>
      <c r="J23" s="2"/>
      <c r="K23" s="228">
        <v>0.30669999999999997</v>
      </c>
      <c r="L23" s="2"/>
      <c r="M23" s="228">
        <f>$M$17</f>
        <v>0.34845999999999999</v>
      </c>
      <c r="N23" s="2"/>
      <c r="O23" s="228">
        <v>1.1E-4</v>
      </c>
      <c r="P23" s="228"/>
      <c r="Q23" s="228">
        <v>6.8100000000000001E-3</v>
      </c>
      <c r="R23" s="230"/>
      <c r="S23" s="228">
        <f t="shared" ref="S23:S24" si="0">SUM(K23:Q23)</f>
        <v>0.66208</v>
      </c>
    </row>
    <row r="24" spans="1:19" x14ac:dyDescent="0.25">
      <c r="A24" s="2"/>
      <c r="B24" s="136" t="s">
        <v>147</v>
      </c>
      <c r="C24" s="2"/>
      <c r="D24" s="2"/>
      <c r="E24" s="229"/>
      <c r="F24" s="2"/>
      <c r="G24" s="2"/>
      <c r="H24" s="2"/>
      <c r="I24" s="228"/>
      <c r="J24" s="2"/>
      <c r="K24" s="228">
        <f>K23-0.05</f>
        <v>0.25669999999999998</v>
      </c>
      <c r="L24" s="2"/>
      <c r="M24" s="228">
        <f>$M$17</f>
        <v>0.34845999999999999</v>
      </c>
      <c r="N24" s="2"/>
      <c r="O24" s="228">
        <f>+O23</f>
        <v>1.1E-4</v>
      </c>
      <c r="P24" s="228"/>
      <c r="Q24" s="228">
        <f>+Q23</f>
        <v>6.8100000000000001E-3</v>
      </c>
      <c r="R24" s="230"/>
      <c r="S24" s="228">
        <f t="shared" si="0"/>
        <v>0.61207999999999996</v>
      </c>
    </row>
    <row r="25" spans="1:19" x14ac:dyDescent="0.25">
      <c r="A25" s="136" t="s">
        <v>148</v>
      </c>
      <c r="B25" s="2"/>
      <c r="C25" s="2"/>
      <c r="D25" s="2"/>
      <c r="E25" s="229"/>
      <c r="F25" s="2"/>
      <c r="G25" s="2"/>
      <c r="H25" s="2"/>
      <c r="I25" s="2"/>
      <c r="J25" s="2"/>
      <c r="K25" s="228"/>
      <c r="L25" s="2"/>
      <c r="M25" s="228"/>
      <c r="N25" s="2"/>
      <c r="O25" s="228"/>
      <c r="P25" s="228"/>
      <c r="Q25" s="228"/>
      <c r="R25" s="230"/>
      <c r="S25" s="228"/>
    </row>
    <row r="26" spans="1:19" x14ac:dyDescent="0.25">
      <c r="A26" s="2"/>
      <c r="B26" s="136" t="s">
        <v>142</v>
      </c>
      <c r="C26" s="2"/>
      <c r="D26" s="2"/>
      <c r="E26" s="229"/>
      <c r="F26" s="2"/>
      <c r="G26" s="2"/>
      <c r="H26" s="2"/>
      <c r="I26" s="228"/>
      <c r="J26" s="2"/>
      <c r="K26" s="228">
        <f>K23</f>
        <v>0.30669999999999997</v>
      </c>
      <c r="L26" s="2"/>
      <c r="M26" s="228">
        <f>$M$17</f>
        <v>0.34845999999999999</v>
      </c>
      <c r="N26" s="2"/>
      <c r="O26" s="228">
        <f>+O23</f>
        <v>1.1E-4</v>
      </c>
      <c r="P26" s="228"/>
      <c r="Q26" s="228">
        <f>+Q23</f>
        <v>6.8100000000000001E-3</v>
      </c>
      <c r="R26" s="230"/>
      <c r="S26" s="228">
        <f>SUM(K26:Q26)</f>
        <v>0.66208</v>
      </c>
    </row>
    <row r="27" spans="1:19" x14ac:dyDescent="0.25">
      <c r="A27" s="2"/>
      <c r="B27" s="2"/>
      <c r="C27" s="2"/>
      <c r="D27" s="2"/>
      <c r="E27" s="229"/>
      <c r="F27" s="2"/>
      <c r="G27" s="2"/>
      <c r="H27" s="2"/>
      <c r="I27" s="2"/>
      <c r="J27" s="2"/>
      <c r="K27" s="228"/>
      <c r="L27" s="2"/>
      <c r="M27" s="228"/>
      <c r="N27" s="2"/>
      <c r="O27" s="230"/>
      <c r="P27" s="230"/>
      <c r="Q27" s="230"/>
      <c r="R27" s="230"/>
      <c r="S27" s="228"/>
    </row>
    <row r="28" spans="1:19" x14ac:dyDescent="0.25">
      <c r="A28" s="2"/>
      <c r="B28" s="2"/>
      <c r="C28" s="2"/>
      <c r="D28" s="2"/>
      <c r="E28" s="229"/>
      <c r="F28" s="2"/>
      <c r="G28" s="2"/>
      <c r="H28" s="2"/>
      <c r="I28" s="2"/>
      <c r="J28" s="2"/>
      <c r="K28" s="228"/>
      <c r="L28" s="2"/>
      <c r="M28" s="228"/>
      <c r="N28" s="2"/>
      <c r="O28" s="230"/>
      <c r="P28" s="230"/>
      <c r="Q28" s="230"/>
      <c r="R28" s="230"/>
      <c r="S28" s="228"/>
    </row>
    <row r="29" spans="1:19" x14ac:dyDescent="0.25">
      <c r="A29" s="136" t="s">
        <v>143</v>
      </c>
      <c r="B29" s="2"/>
      <c r="C29" s="2"/>
      <c r="D29" s="2" t="s">
        <v>149</v>
      </c>
      <c r="E29" s="229"/>
      <c r="F29" s="2"/>
      <c r="G29" s="2"/>
      <c r="H29" s="2"/>
      <c r="I29" s="2"/>
      <c r="J29" s="2"/>
      <c r="K29" s="228"/>
      <c r="L29" s="2"/>
      <c r="M29" s="228"/>
      <c r="N29" s="2"/>
      <c r="O29" s="230"/>
      <c r="P29" s="230"/>
      <c r="Q29" s="230"/>
      <c r="R29" s="230"/>
      <c r="S29" s="228"/>
    </row>
    <row r="30" spans="1:19" x14ac:dyDescent="0.25">
      <c r="A30" s="2"/>
      <c r="B30" s="136" t="s">
        <v>228</v>
      </c>
      <c r="C30" s="2"/>
      <c r="D30" s="2"/>
      <c r="E30" s="229">
        <v>9.3699999999999992</v>
      </c>
      <c r="F30" s="2"/>
      <c r="G30" s="229">
        <f>G21</f>
        <v>5.12</v>
      </c>
      <c r="H30" s="2"/>
      <c r="I30" s="2"/>
      <c r="J30" s="2"/>
      <c r="K30" s="228"/>
      <c r="L30" s="2"/>
      <c r="M30" s="228"/>
      <c r="N30" s="2"/>
      <c r="O30" s="230"/>
      <c r="P30" s="230"/>
      <c r="Q30" s="230"/>
      <c r="R30" s="230"/>
      <c r="S30" s="228"/>
    </row>
    <row r="31" spans="1:19" x14ac:dyDescent="0.25">
      <c r="A31" s="136" t="s">
        <v>145</v>
      </c>
      <c r="B31" s="2"/>
      <c r="C31" s="2"/>
      <c r="D31" s="2"/>
      <c r="E31" s="229"/>
      <c r="F31" s="2"/>
      <c r="G31" s="2"/>
      <c r="H31" s="2"/>
      <c r="I31" s="2"/>
      <c r="J31" s="2"/>
      <c r="K31" s="228"/>
      <c r="L31" s="2"/>
      <c r="M31" s="228"/>
      <c r="N31" s="2"/>
      <c r="O31" s="230"/>
      <c r="P31" s="230"/>
      <c r="Q31" s="230"/>
      <c r="R31" s="230"/>
      <c r="S31" s="228"/>
    </row>
    <row r="32" spans="1:19" x14ac:dyDescent="0.25">
      <c r="A32" s="2"/>
      <c r="B32" s="136" t="s">
        <v>146</v>
      </c>
      <c r="C32" s="2"/>
      <c r="D32" s="2"/>
      <c r="E32" s="229"/>
      <c r="F32" s="2"/>
      <c r="G32" s="2"/>
      <c r="H32" s="2"/>
      <c r="I32" s="228"/>
      <c r="J32" s="2"/>
      <c r="K32" s="228">
        <f>+K23</f>
        <v>0.30669999999999997</v>
      </c>
      <c r="L32" s="2"/>
      <c r="M32" s="228">
        <f>$M$17</f>
        <v>0.34845999999999999</v>
      </c>
      <c r="N32" s="2"/>
      <c r="O32" s="228">
        <f>+O23</f>
        <v>1.1E-4</v>
      </c>
      <c r="P32" s="228"/>
      <c r="Q32" s="228">
        <f>+Q23</f>
        <v>6.8100000000000001E-3</v>
      </c>
      <c r="R32" s="230"/>
      <c r="S32" s="228">
        <f t="shared" ref="S32:S33" si="1">SUM(K32:Q32)</f>
        <v>0.66208</v>
      </c>
    </row>
    <row r="33" spans="1:19" x14ac:dyDescent="0.25">
      <c r="A33" s="2"/>
      <c r="B33" s="136" t="s">
        <v>147</v>
      </c>
      <c r="C33" s="2"/>
      <c r="D33" s="2"/>
      <c r="E33" s="229"/>
      <c r="F33" s="2"/>
      <c r="G33" s="2"/>
      <c r="H33" s="2"/>
      <c r="I33" s="228"/>
      <c r="J33" s="2"/>
      <c r="K33" s="228">
        <f>+K24</f>
        <v>0.25669999999999998</v>
      </c>
      <c r="L33" s="2"/>
      <c r="M33" s="228">
        <f>$M$17</f>
        <v>0.34845999999999999</v>
      </c>
      <c r="N33" s="2"/>
      <c r="O33" s="228">
        <f>+O23</f>
        <v>1.1E-4</v>
      </c>
      <c r="P33" s="228"/>
      <c r="Q33" s="228">
        <f>+Q23</f>
        <v>6.8100000000000001E-3</v>
      </c>
      <c r="R33" s="230"/>
      <c r="S33" s="228">
        <f t="shared" si="1"/>
        <v>0.61207999999999996</v>
      </c>
    </row>
    <row r="34" spans="1:19" x14ac:dyDescent="0.25">
      <c r="A34" s="136" t="s">
        <v>148</v>
      </c>
      <c r="B34" s="2"/>
      <c r="C34" s="2"/>
      <c r="D34" s="2"/>
      <c r="E34" s="229"/>
      <c r="F34" s="2"/>
      <c r="G34" s="2"/>
      <c r="H34" s="2"/>
      <c r="I34" s="2"/>
      <c r="J34" s="2"/>
      <c r="K34" s="228"/>
      <c r="L34" s="2"/>
      <c r="M34" s="228"/>
      <c r="N34" s="2"/>
      <c r="O34" s="228"/>
      <c r="P34" s="228"/>
      <c r="Q34" s="228"/>
      <c r="R34" s="230"/>
      <c r="S34" s="228"/>
    </row>
    <row r="35" spans="1:19" x14ac:dyDescent="0.25">
      <c r="A35" s="2"/>
      <c r="B35" s="136" t="s">
        <v>142</v>
      </c>
      <c r="C35" s="2"/>
      <c r="D35" s="2"/>
      <c r="E35" s="229"/>
      <c r="F35" s="2"/>
      <c r="G35" s="2"/>
      <c r="H35" s="2"/>
      <c r="I35" s="228"/>
      <c r="J35" s="2"/>
      <c r="K35" s="228">
        <f>+K26</f>
        <v>0.30669999999999997</v>
      </c>
      <c r="L35" s="2"/>
      <c r="M35" s="228">
        <f>$M$17</f>
        <v>0.34845999999999999</v>
      </c>
      <c r="N35" s="2"/>
      <c r="O35" s="228">
        <f>+O23</f>
        <v>1.1E-4</v>
      </c>
      <c r="P35" s="228"/>
      <c r="Q35" s="228">
        <f>+Q23</f>
        <v>6.8100000000000001E-3</v>
      </c>
      <c r="R35" s="230"/>
      <c r="S35" s="228">
        <f>SUM(K35:Q35)</f>
        <v>0.66208</v>
      </c>
    </row>
    <row r="36" spans="1:19" x14ac:dyDescent="0.25">
      <c r="A36" s="2"/>
      <c r="B36" s="2"/>
      <c r="C36" s="2"/>
      <c r="D36" s="2"/>
      <c r="E36" s="229"/>
      <c r="F36" s="2"/>
      <c r="G36" s="2"/>
      <c r="H36" s="2"/>
      <c r="I36" s="2"/>
      <c r="J36" s="2"/>
      <c r="K36" s="228"/>
      <c r="L36" s="2"/>
      <c r="M36" s="228"/>
      <c r="N36" s="2"/>
      <c r="O36" s="228"/>
      <c r="P36" s="228"/>
      <c r="Q36" s="228"/>
      <c r="R36" s="230"/>
      <c r="S36" s="228"/>
    </row>
    <row r="37" spans="1:19" x14ac:dyDescent="0.25">
      <c r="A37" s="2"/>
      <c r="B37" s="2"/>
      <c r="C37" s="2"/>
      <c r="D37" s="2"/>
      <c r="E37" s="229"/>
      <c r="F37" s="2"/>
      <c r="G37" s="2"/>
      <c r="H37" s="2"/>
      <c r="I37" s="2"/>
      <c r="J37" s="2"/>
      <c r="K37" s="228"/>
      <c r="L37" s="2"/>
      <c r="M37" s="228"/>
      <c r="N37" s="2"/>
      <c r="O37" s="230"/>
      <c r="P37" s="230"/>
      <c r="Q37" s="230"/>
      <c r="R37" s="230"/>
      <c r="S37" s="228"/>
    </row>
    <row r="38" spans="1:19" x14ac:dyDescent="0.25">
      <c r="A38" s="136" t="s">
        <v>150</v>
      </c>
      <c r="B38" s="2"/>
      <c r="C38" s="2"/>
      <c r="D38" s="2" t="s">
        <v>151</v>
      </c>
      <c r="E38" s="229"/>
      <c r="F38" s="2"/>
      <c r="G38" s="2"/>
      <c r="H38" s="2"/>
      <c r="I38" s="2"/>
      <c r="J38" s="2"/>
      <c r="K38" s="228"/>
      <c r="L38" s="2"/>
      <c r="M38" s="228"/>
      <c r="N38" s="2"/>
      <c r="O38" s="230"/>
      <c r="P38" s="230"/>
      <c r="Q38" s="230"/>
      <c r="R38" s="230"/>
      <c r="S38" s="228"/>
    </row>
    <row r="39" spans="1:19" x14ac:dyDescent="0.25">
      <c r="A39" s="2"/>
      <c r="B39" s="136" t="s">
        <v>228</v>
      </c>
      <c r="C39" s="2"/>
      <c r="D39" s="2"/>
      <c r="E39" s="229">
        <v>5.42</v>
      </c>
      <c r="F39" s="2"/>
      <c r="G39" s="229">
        <v>64.39</v>
      </c>
      <c r="H39" s="2"/>
      <c r="I39" s="2"/>
      <c r="J39" s="2"/>
      <c r="K39" s="228"/>
      <c r="L39" s="2"/>
      <c r="M39" s="228"/>
      <c r="N39" s="2"/>
      <c r="O39" s="230"/>
      <c r="P39" s="230"/>
      <c r="Q39" s="230"/>
      <c r="R39" s="230"/>
      <c r="S39" s="228"/>
    </row>
    <row r="40" spans="1:19" x14ac:dyDescent="0.25">
      <c r="A40" s="136" t="s">
        <v>145</v>
      </c>
      <c r="B40" s="2"/>
      <c r="C40" s="2"/>
      <c r="D40" s="2"/>
      <c r="E40" s="229"/>
      <c r="F40" s="2"/>
      <c r="G40" s="2"/>
      <c r="H40" s="2"/>
      <c r="I40" s="2"/>
      <c r="J40" s="2"/>
      <c r="K40" s="228"/>
      <c r="L40" s="2"/>
      <c r="M40" s="228"/>
      <c r="N40" s="2"/>
      <c r="O40" s="230"/>
      <c r="P40" s="230"/>
      <c r="Q40" s="230"/>
      <c r="R40" s="230"/>
      <c r="S40" s="228"/>
    </row>
    <row r="41" spans="1:19" x14ac:dyDescent="0.25">
      <c r="A41" s="2"/>
      <c r="B41" s="136" t="s">
        <v>146</v>
      </c>
      <c r="C41" s="2"/>
      <c r="D41" s="2"/>
      <c r="E41" s="229"/>
      <c r="F41" s="2"/>
      <c r="G41" s="2"/>
      <c r="H41" s="2"/>
      <c r="I41" s="228"/>
      <c r="J41" s="2"/>
      <c r="K41" s="228">
        <v>0.21929000000000001</v>
      </c>
      <c r="L41" s="2"/>
      <c r="M41" s="228">
        <f>$M$17</f>
        <v>0.34845999999999999</v>
      </c>
      <c r="N41" s="2"/>
      <c r="O41" s="228">
        <v>0</v>
      </c>
      <c r="P41" s="228"/>
      <c r="Q41" s="228">
        <v>4.0800000000000003E-3</v>
      </c>
      <c r="R41" s="230"/>
      <c r="S41" s="228">
        <f t="shared" ref="S41:S42" si="2">SUM(K41:Q41)</f>
        <v>0.57182999999999995</v>
      </c>
    </row>
    <row r="42" spans="1:19" x14ac:dyDescent="0.25">
      <c r="A42" s="2"/>
      <c r="B42" s="136" t="s">
        <v>147</v>
      </c>
      <c r="C42" s="2"/>
      <c r="D42" s="2"/>
      <c r="E42" s="229"/>
      <c r="F42" s="2"/>
      <c r="G42" s="2"/>
      <c r="H42" s="2"/>
      <c r="I42" s="228"/>
      <c r="J42" s="2"/>
      <c r="K42" s="228">
        <f>+K41-0.05</f>
        <v>0.16929</v>
      </c>
      <c r="L42" s="2"/>
      <c r="M42" s="228">
        <f>$M$17</f>
        <v>0.34845999999999999</v>
      </c>
      <c r="N42" s="2"/>
      <c r="O42" s="228">
        <f>O41</f>
        <v>0</v>
      </c>
      <c r="P42" s="228"/>
      <c r="Q42" s="228">
        <f>Q41</f>
        <v>4.0800000000000003E-3</v>
      </c>
      <c r="R42" s="230"/>
      <c r="S42" s="228">
        <f t="shared" si="2"/>
        <v>0.52182999999999991</v>
      </c>
    </row>
    <row r="43" spans="1:19" x14ac:dyDescent="0.25">
      <c r="A43" s="136" t="s">
        <v>148</v>
      </c>
      <c r="B43" s="2"/>
      <c r="C43" s="2"/>
      <c r="D43" s="2"/>
      <c r="E43" s="229"/>
      <c r="F43" s="2"/>
      <c r="G43" s="2"/>
      <c r="H43" s="2"/>
      <c r="I43" s="2"/>
      <c r="J43" s="2"/>
      <c r="K43" s="228"/>
      <c r="L43" s="2"/>
      <c r="M43" s="228"/>
      <c r="N43" s="2"/>
      <c r="O43" s="228"/>
      <c r="P43" s="228"/>
      <c r="Q43" s="228"/>
      <c r="R43" s="230"/>
      <c r="S43" s="228"/>
    </row>
    <row r="44" spans="1:19" x14ac:dyDescent="0.25">
      <c r="A44" s="2"/>
      <c r="B44" s="136" t="s">
        <v>142</v>
      </c>
      <c r="C44" s="2"/>
      <c r="D44" s="2"/>
      <c r="E44" s="229"/>
      <c r="F44" s="2"/>
      <c r="G44" s="2"/>
      <c r="H44" s="2"/>
      <c r="I44" s="228"/>
      <c r="J44" s="2"/>
      <c r="K44" s="228">
        <f>+K41</f>
        <v>0.21929000000000001</v>
      </c>
      <c r="L44" s="2"/>
      <c r="M44" s="228">
        <f>$M$17</f>
        <v>0.34845999999999999</v>
      </c>
      <c r="N44" s="2"/>
      <c r="O44" s="228">
        <f>O41</f>
        <v>0</v>
      </c>
      <c r="P44" s="228"/>
      <c r="Q44" s="228">
        <f>Q41</f>
        <v>4.0800000000000003E-3</v>
      </c>
      <c r="R44" s="230"/>
      <c r="S44" s="228">
        <f>SUM(K44:Q44)</f>
        <v>0.57182999999999995</v>
      </c>
    </row>
    <row r="45" spans="1:19" x14ac:dyDescent="0.25">
      <c r="A45" s="2"/>
      <c r="B45" s="2"/>
      <c r="C45" s="2"/>
      <c r="D45" s="2"/>
      <c r="E45" s="229"/>
      <c r="F45" s="2"/>
      <c r="G45" s="2"/>
      <c r="H45" s="2"/>
      <c r="I45" s="2"/>
      <c r="J45" s="2"/>
      <c r="K45" s="228"/>
      <c r="L45" s="2"/>
      <c r="M45" s="228"/>
      <c r="N45" s="2"/>
      <c r="O45" s="230"/>
      <c r="P45" s="230"/>
      <c r="Q45" s="230"/>
      <c r="R45" s="230"/>
      <c r="S45" s="228"/>
    </row>
    <row r="46" spans="1:19" x14ac:dyDescent="0.25">
      <c r="A46" s="2"/>
      <c r="B46" s="2"/>
      <c r="C46" s="2"/>
      <c r="D46" s="2"/>
      <c r="E46" s="229"/>
      <c r="F46" s="2"/>
      <c r="G46" s="2"/>
      <c r="H46" s="2"/>
      <c r="I46" s="2"/>
      <c r="J46" s="2"/>
      <c r="K46" s="228"/>
      <c r="L46" s="2"/>
      <c r="M46" s="228"/>
      <c r="N46" s="2"/>
      <c r="O46" s="230"/>
      <c r="P46" s="230"/>
      <c r="Q46" s="230"/>
      <c r="R46" s="230"/>
      <c r="S46" s="228"/>
    </row>
    <row r="47" spans="1:19" x14ac:dyDescent="0.25">
      <c r="A47" s="136" t="s">
        <v>150</v>
      </c>
      <c r="B47" s="2"/>
      <c r="C47" s="2"/>
      <c r="D47" s="2" t="s">
        <v>152</v>
      </c>
      <c r="E47" s="229"/>
      <c r="F47" s="2"/>
      <c r="G47" s="2"/>
      <c r="H47" s="2"/>
      <c r="I47" s="2"/>
      <c r="J47" s="2"/>
      <c r="K47" s="228"/>
      <c r="L47" s="2"/>
      <c r="M47" s="228"/>
      <c r="N47" s="2"/>
      <c r="O47" s="230"/>
      <c r="P47" s="230"/>
      <c r="Q47" s="230"/>
      <c r="R47" s="230"/>
      <c r="S47" s="228"/>
    </row>
    <row r="48" spans="1:19" x14ac:dyDescent="0.25">
      <c r="A48" s="2"/>
      <c r="B48" s="136" t="s">
        <v>228</v>
      </c>
      <c r="C48" s="2"/>
      <c r="D48" s="2"/>
      <c r="E48" s="229">
        <v>24.64</v>
      </c>
      <c r="F48" s="2"/>
      <c r="G48" s="229">
        <f>G39</f>
        <v>64.39</v>
      </c>
      <c r="H48" s="2"/>
      <c r="I48" s="2"/>
      <c r="J48" s="2"/>
      <c r="K48" s="228"/>
      <c r="L48" s="2"/>
      <c r="M48" s="228"/>
      <c r="N48" s="2"/>
      <c r="O48" s="230"/>
      <c r="P48" s="230"/>
      <c r="Q48" s="230"/>
      <c r="R48" s="230"/>
      <c r="S48" s="228"/>
    </row>
    <row r="49" spans="1:19" x14ac:dyDescent="0.25">
      <c r="A49" s="136" t="s">
        <v>145</v>
      </c>
      <c r="B49" s="2"/>
      <c r="C49" s="2"/>
      <c r="D49" s="2"/>
      <c r="E49" s="229"/>
      <c r="F49" s="2"/>
      <c r="G49" s="2"/>
      <c r="H49" s="2"/>
      <c r="I49" s="2"/>
      <c r="J49" s="2"/>
      <c r="K49" s="228"/>
      <c r="L49" s="2"/>
      <c r="M49" s="228"/>
      <c r="N49" s="2"/>
      <c r="O49" s="230"/>
      <c r="P49" s="230"/>
      <c r="Q49" s="230"/>
      <c r="R49" s="230"/>
      <c r="S49" s="228"/>
    </row>
    <row r="50" spans="1:19" x14ac:dyDescent="0.25">
      <c r="A50" s="2"/>
      <c r="B50" s="136" t="s">
        <v>146</v>
      </c>
      <c r="C50" s="2"/>
      <c r="D50" s="2"/>
      <c r="E50" s="229"/>
      <c r="F50" s="2"/>
      <c r="G50" s="2"/>
      <c r="H50" s="2"/>
      <c r="I50" s="228"/>
      <c r="J50" s="2"/>
      <c r="K50" s="228">
        <f>+K41</f>
        <v>0.21929000000000001</v>
      </c>
      <c r="L50" s="2"/>
      <c r="M50" s="228">
        <f>$M$17</f>
        <v>0.34845999999999999</v>
      </c>
      <c r="N50" s="2"/>
      <c r="O50" s="228">
        <f>O41</f>
        <v>0</v>
      </c>
      <c r="P50" s="228"/>
      <c r="Q50" s="228">
        <f>Q41</f>
        <v>4.0800000000000003E-3</v>
      </c>
      <c r="R50" s="230"/>
      <c r="S50" s="228">
        <f t="shared" ref="S50:S51" si="3">SUM(K50:Q50)</f>
        <v>0.57182999999999995</v>
      </c>
    </row>
    <row r="51" spans="1:19" x14ac:dyDescent="0.25">
      <c r="A51" s="2"/>
      <c r="B51" s="136" t="s">
        <v>147</v>
      </c>
      <c r="C51" s="2"/>
      <c r="D51" s="2"/>
      <c r="E51" s="229"/>
      <c r="F51" s="2"/>
      <c r="G51" s="2"/>
      <c r="H51" s="2"/>
      <c r="I51" s="228"/>
      <c r="J51" s="2"/>
      <c r="K51" s="228">
        <f>+K42</f>
        <v>0.16929</v>
      </c>
      <c r="L51" s="2"/>
      <c r="M51" s="228">
        <f>$M$17</f>
        <v>0.34845999999999999</v>
      </c>
      <c r="N51" s="2"/>
      <c r="O51" s="228">
        <f>O42</f>
        <v>0</v>
      </c>
      <c r="P51" s="228"/>
      <c r="Q51" s="228">
        <f>Q41</f>
        <v>4.0800000000000003E-3</v>
      </c>
      <c r="R51" s="230"/>
      <c r="S51" s="228">
        <f t="shared" si="3"/>
        <v>0.52182999999999991</v>
      </c>
    </row>
    <row r="52" spans="1:19" x14ac:dyDescent="0.25">
      <c r="A52" s="136" t="s">
        <v>148</v>
      </c>
      <c r="B52" s="2"/>
      <c r="C52" s="2"/>
      <c r="D52" s="2"/>
      <c r="E52" s="229"/>
      <c r="F52" s="2"/>
      <c r="G52" s="2"/>
      <c r="H52" s="2"/>
      <c r="I52" s="2"/>
      <c r="J52" s="2"/>
      <c r="K52" s="228"/>
      <c r="L52" s="2"/>
      <c r="M52" s="228"/>
      <c r="N52" s="2"/>
      <c r="O52" s="228"/>
      <c r="P52" s="228"/>
      <c r="Q52" s="228"/>
      <c r="R52" s="230"/>
      <c r="S52" s="228"/>
    </row>
    <row r="53" spans="1:19" x14ac:dyDescent="0.25">
      <c r="A53" s="2"/>
      <c r="B53" s="136" t="s">
        <v>142</v>
      </c>
      <c r="C53" s="2"/>
      <c r="D53" s="2"/>
      <c r="E53" s="229"/>
      <c r="F53" s="2"/>
      <c r="G53" s="2"/>
      <c r="H53" s="2"/>
      <c r="I53" s="228"/>
      <c r="J53" s="2"/>
      <c r="K53" s="228">
        <f>+K44</f>
        <v>0.21929000000000001</v>
      </c>
      <c r="L53" s="2"/>
      <c r="M53" s="228">
        <f>$M$17</f>
        <v>0.34845999999999999</v>
      </c>
      <c r="N53" s="2"/>
      <c r="O53" s="228">
        <f>O44</f>
        <v>0</v>
      </c>
      <c r="P53" s="228"/>
      <c r="Q53" s="228">
        <f>Q41</f>
        <v>4.0800000000000003E-3</v>
      </c>
      <c r="R53" s="230"/>
      <c r="S53" s="228">
        <f>SUM(K53:Q53)</f>
        <v>0.57182999999999995</v>
      </c>
    </row>
    <row r="54" spans="1:19" x14ac:dyDescent="0.25">
      <c r="A54" s="2"/>
      <c r="B54" s="2"/>
      <c r="C54" s="2"/>
      <c r="D54" s="2"/>
      <c r="E54" s="229"/>
      <c r="F54" s="2"/>
      <c r="G54" s="2"/>
      <c r="H54" s="2"/>
      <c r="I54" s="2"/>
      <c r="J54" s="2"/>
      <c r="K54" s="228"/>
      <c r="L54" s="2"/>
      <c r="M54" s="228"/>
      <c r="N54" s="2"/>
      <c r="O54" s="230"/>
      <c r="P54" s="230"/>
      <c r="Q54" s="230"/>
      <c r="R54" s="230"/>
      <c r="S54" s="228"/>
    </row>
    <row r="55" spans="1:19" x14ac:dyDescent="0.25">
      <c r="A55" s="2"/>
      <c r="B55" s="2"/>
      <c r="C55" s="2"/>
      <c r="D55" s="2"/>
      <c r="E55" s="229"/>
      <c r="F55" s="2"/>
      <c r="G55" s="2"/>
      <c r="H55" s="2"/>
      <c r="I55" s="2"/>
      <c r="J55" s="2"/>
    </row>
    <row r="56" spans="1:19" x14ac:dyDescent="0.25">
      <c r="A56" s="2"/>
      <c r="B56" s="2"/>
      <c r="C56" s="2"/>
      <c r="D56" s="2"/>
      <c r="E56" s="529" t="s">
        <v>136</v>
      </c>
      <c r="F56" s="2"/>
      <c r="G56" s="2"/>
      <c r="H56" s="2"/>
      <c r="I56" s="457" t="s">
        <v>485</v>
      </c>
      <c r="J56" s="457"/>
      <c r="K56" s="457"/>
      <c r="L56" s="457"/>
      <c r="M56" s="457"/>
      <c r="N56" s="457"/>
      <c r="O56" s="457"/>
      <c r="P56" s="457"/>
      <c r="Q56" s="457"/>
      <c r="R56" s="296"/>
      <c r="S56" s="260"/>
    </row>
    <row r="57" spans="1:19" x14ac:dyDescent="0.25">
      <c r="A57" s="136" t="s">
        <v>153</v>
      </c>
      <c r="B57" s="2"/>
      <c r="C57" s="2"/>
      <c r="D57" s="2"/>
      <c r="F57" s="2"/>
      <c r="H57" s="2"/>
      <c r="I57" s="2"/>
      <c r="J57" s="2"/>
    </row>
    <row r="58" spans="1:19" x14ac:dyDescent="0.25">
      <c r="A58" s="136"/>
      <c r="B58" s="136" t="s">
        <v>228</v>
      </c>
      <c r="C58" s="2"/>
      <c r="D58" s="2"/>
      <c r="E58" s="229">
        <v>500</v>
      </c>
      <c r="F58" s="2"/>
      <c r="G58" s="229">
        <f>G39</f>
        <v>64.39</v>
      </c>
      <c r="H58" s="2"/>
      <c r="J58" s="2"/>
      <c r="K58" s="228"/>
      <c r="L58" s="2"/>
      <c r="M58" s="228"/>
      <c r="N58" s="2"/>
      <c r="O58" s="230"/>
      <c r="P58" s="230"/>
      <c r="Q58" s="230"/>
      <c r="R58" s="230"/>
      <c r="S58" s="228"/>
    </row>
    <row r="59" spans="1:19" x14ac:dyDescent="0.25">
      <c r="A59" s="136"/>
      <c r="B59" s="136" t="s">
        <v>484</v>
      </c>
      <c r="C59" s="2"/>
      <c r="D59" s="2"/>
      <c r="E59" s="229"/>
      <c r="F59" s="2"/>
      <c r="G59" s="2"/>
      <c r="H59" s="2"/>
      <c r="J59" s="2"/>
      <c r="K59" s="228">
        <v>1.0644</v>
      </c>
      <c r="L59" s="2"/>
      <c r="M59" s="239">
        <f>M53*10</f>
        <v>3.4845999999999999</v>
      </c>
      <c r="N59" s="2"/>
      <c r="O59" s="228">
        <f>($O$32)*10</f>
        <v>1.1000000000000001E-3</v>
      </c>
      <c r="P59" s="239"/>
      <c r="Q59" s="228">
        <f>Q41*10</f>
        <v>4.0800000000000003E-2</v>
      </c>
      <c r="R59" s="230"/>
      <c r="S59" s="228">
        <f>SUM(K59:Q59)</f>
        <v>4.5908999999999995</v>
      </c>
    </row>
    <row r="60" spans="1:19" x14ac:dyDescent="0.25">
      <c r="A60" s="2"/>
      <c r="B60" s="2"/>
      <c r="C60" s="2"/>
      <c r="D60" s="2"/>
      <c r="E60" s="229"/>
      <c r="F60" s="2"/>
      <c r="G60" s="2"/>
      <c r="H60" s="2"/>
      <c r="I60" s="2"/>
      <c r="J60" s="2"/>
      <c r="K60" s="2"/>
      <c r="L60" s="2"/>
      <c r="M60" s="228"/>
      <c r="N60" s="2"/>
      <c r="O60" s="231"/>
      <c r="P60" s="231"/>
      <c r="Q60" s="231"/>
      <c r="R60" s="231"/>
      <c r="S60" s="2"/>
    </row>
    <row r="61" spans="1:19" x14ac:dyDescent="0.25">
      <c r="A61" s="2"/>
      <c r="B61" s="2"/>
      <c r="C61" s="2"/>
      <c r="D61" s="2"/>
      <c r="E61" s="229"/>
      <c r="F61" s="2"/>
      <c r="G61" s="2"/>
      <c r="H61" s="2"/>
      <c r="I61" s="2"/>
      <c r="J61" s="2"/>
      <c r="K61" s="2"/>
      <c r="L61" s="2"/>
      <c r="M61" s="228"/>
      <c r="N61" s="2"/>
      <c r="O61" s="231"/>
      <c r="P61" s="231"/>
      <c r="Q61" s="231"/>
      <c r="R61" s="231"/>
      <c r="S61" s="2"/>
    </row>
    <row r="62" spans="1:19" x14ac:dyDescent="0.25">
      <c r="A62" s="2" t="s">
        <v>585</v>
      </c>
      <c r="B62" s="136"/>
      <c r="C62" s="2"/>
      <c r="D62" s="2"/>
      <c r="E62" s="2"/>
      <c r="F62" s="2"/>
      <c r="G62" s="2"/>
      <c r="H62" s="2"/>
      <c r="I62" s="2"/>
      <c r="J62" s="2"/>
      <c r="K62" s="2"/>
      <c r="L62" s="2"/>
      <c r="M62" s="228"/>
      <c r="N62" s="2"/>
      <c r="R62" s="231"/>
      <c r="S62" s="2"/>
    </row>
    <row r="63" spans="1:19" x14ac:dyDescent="0.25">
      <c r="A63" s="2"/>
      <c r="B63" s="136"/>
      <c r="C63" s="2"/>
      <c r="D63" s="2"/>
      <c r="E63" s="2"/>
      <c r="F63" s="2"/>
      <c r="G63" s="2"/>
      <c r="H63" s="2"/>
      <c r="I63" s="2"/>
      <c r="J63" s="2"/>
      <c r="K63" s="2"/>
      <c r="L63" s="2"/>
      <c r="M63" s="228"/>
      <c r="N63" s="2"/>
      <c r="R63" s="231"/>
      <c r="S63" s="2"/>
    </row>
    <row r="64" spans="1:19" x14ac:dyDescent="0.25">
      <c r="A64" s="2"/>
      <c r="B64" s="136" t="s">
        <v>228</v>
      </c>
      <c r="C64" s="2"/>
      <c r="D64" s="2"/>
      <c r="E64" s="229">
        <v>285</v>
      </c>
      <c r="F64" s="2"/>
      <c r="G64" s="229">
        <f>G21</f>
        <v>5.12</v>
      </c>
      <c r="H64" s="2"/>
      <c r="J64" s="2"/>
      <c r="K64" s="2"/>
      <c r="L64" s="2"/>
      <c r="M64" s="228"/>
      <c r="N64" s="2"/>
      <c r="O64" s="231"/>
      <c r="P64" s="231"/>
      <c r="Q64" s="231"/>
      <c r="R64" s="231"/>
      <c r="S64" s="2"/>
    </row>
    <row r="65" spans="1:19" x14ac:dyDescent="0.25">
      <c r="A65" s="2"/>
      <c r="B65" s="136" t="s">
        <v>584</v>
      </c>
      <c r="C65" s="2"/>
      <c r="D65" s="2"/>
      <c r="E65" s="229"/>
      <c r="F65" s="2"/>
      <c r="G65" s="229"/>
      <c r="H65" s="2"/>
      <c r="I65" s="239">
        <v>6.56</v>
      </c>
      <c r="J65" s="2"/>
      <c r="K65" s="2"/>
      <c r="L65" s="2"/>
      <c r="M65" s="228"/>
      <c r="N65" s="2"/>
      <c r="O65" s="231"/>
      <c r="P65" s="231"/>
      <c r="Q65" s="231"/>
      <c r="R65" s="231"/>
      <c r="S65" s="2"/>
    </row>
    <row r="66" spans="1:19" x14ac:dyDescent="0.25">
      <c r="A66" s="2"/>
      <c r="B66" s="136" t="s">
        <v>484</v>
      </c>
      <c r="C66" s="2"/>
      <c r="D66" s="2"/>
      <c r="E66" s="229"/>
      <c r="F66" s="2"/>
      <c r="G66" s="229"/>
      <c r="H66" s="2"/>
      <c r="J66" s="2"/>
      <c r="K66" s="228">
        <v>0.36030000000000001</v>
      </c>
      <c r="L66" s="2"/>
      <c r="M66" s="239">
        <f>M59</f>
        <v>3.4845999999999999</v>
      </c>
      <c r="N66" s="2"/>
      <c r="O66" s="228">
        <f>O59</f>
        <v>1.1000000000000001E-3</v>
      </c>
      <c r="P66" s="232"/>
      <c r="Q66" s="228">
        <f>Q23*10</f>
        <v>6.8099999999999994E-2</v>
      </c>
      <c r="R66" s="230"/>
      <c r="S66" s="228">
        <f>SUM(K66:Q66)</f>
        <v>3.9140999999999999</v>
      </c>
    </row>
    <row r="67" spans="1:19" x14ac:dyDescent="0.25">
      <c r="A67" s="2"/>
      <c r="B67" s="2"/>
      <c r="C67" s="2"/>
      <c r="D67" s="2"/>
      <c r="E67" s="229"/>
      <c r="F67" s="2"/>
      <c r="G67" s="2"/>
      <c r="H67" s="2"/>
      <c r="I67" s="2"/>
      <c r="J67" s="2"/>
      <c r="K67" s="2"/>
      <c r="L67" s="2"/>
      <c r="M67" s="228"/>
      <c r="N67" s="2"/>
      <c r="O67" s="231"/>
      <c r="P67" s="231"/>
      <c r="Q67" s="231"/>
      <c r="R67" s="231"/>
      <c r="S67" s="2"/>
    </row>
    <row r="68" spans="1:19" x14ac:dyDescent="0.25">
      <c r="A68" s="2"/>
      <c r="B68" s="2"/>
      <c r="C68" s="2"/>
      <c r="D68" s="2"/>
      <c r="E68" s="229"/>
      <c r="F68" s="2"/>
      <c r="G68" s="2"/>
      <c r="H68" s="2"/>
      <c r="I68" s="2"/>
      <c r="J68" s="2"/>
      <c r="K68" s="2"/>
      <c r="L68" s="2"/>
      <c r="M68" s="228"/>
      <c r="N68" s="2"/>
      <c r="O68" s="231"/>
      <c r="P68" s="231"/>
      <c r="Q68" s="231"/>
      <c r="R68" s="231"/>
      <c r="S68" s="2"/>
    </row>
    <row r="69" spans="1:19" x14ac:dyDescent="0.25">
      <c r="A69" s="2" t="s">
        <v>586</v>
      </c>
      <c r="B69" s="136"/>
      <c r="C69" s="2"/>
      <c r="D69" s="2"/>
      <c r="E69" s="2"/>
      <c r="F69" s="2"/>
      <c r="G69" s="2"/>
      <c r="H69" s="2"/>
      <c r="I69" s="2"/>
      <c r="J69" s="2"/>
      <c r="K69" s="2"/>
      <c r="L69" s="2"/>
      <c r="M69" s="228"/>
      <c r="N69" s="2"/>
      <c r="R69" s="231"/>
      <c r="S69" s="2"/>
    </row>
    <row r="70" spans="1:19" x14ac:dyDescent="0.25">
      <c r="A70" s="2"/>
      <c r="B70" s="136"/>
      <c r="C70" s="2"/>
      <c r="D70" s="2"/>
      <c r="E70" s="2"/>
      <c r="F70" s="2"/>
      <c r="G70" s="2"/>
      <c r="H70" s="2"/>
      <c r="I70" s="2"/>
      <c r="J70" s="2"/>
      <c r="K70" s="2"/>
      <c r="L70" s="2"/>
      <c r="M70" s="228"/>
      <c r="N70" s="2"/>
      <c r="R70" s="231"/>
      <c r="S70" s="2"/>
    </row>
    <row r="71" spans="1:19" x14ac:dyDescent="0.25">
      <c r="A71" s="2"/>
      <c r="B71" s="136" t="s">
        <v>228</v>
      </c>
      <c r="C71" s="2"/>
      <c r="D71" s="2"/>
      <c r="E71" s="229">
        <v>750</v>
      </c>
      <c r="F71" s="2"/>
      <c r="G71" s="229">
        <f>G21</f>
        <v>5.12</v>
      </c>
      <c r="H71" s="2"/>
      <c r="I71" s="2"/>
      <c r="J71" s="2"/>
      <c r="K71" s="2"/>
      <c r="L71" s="2"/>
      <c r="M71" s="228"/>
      <c r="N71" s="2"/>
      <c r="O71" s="231"/>
      <c r="P71" s="231"/>
      <c r="Q71" s="231"/>
      <c r="R71" s="231"/>
      <c r="S71" s="2"/>
    </row>
    <row r="72" spans="1:19" x14ac:dyDescent="0.25">
      <c r="A72" s="2"/>
      <c r="B72" s="136" t="s">
        <v>584</v>
      </c>
      <c r="C72" s="2"/>
      <c r="D72" s="2"/>
      <c r="E72" s="229"/>
      <c r="F72" s="2"/>
      <c r="G72" s="229"/>
      <c r="H72" s="2"/>
      <c r="I72" s="239">
        <v>10.9</v>
      </c>
      <c r="J72" s="2"/>
      <c r="K72" s="2"/>
      <c r="L72" s="2"/>
      <c r="M72" s="228"/>
      <c r="N72" s="2"/>
      <c r="O72" s="231"/>
      <c r="P72" s="231"/>
      <c r="Q72" s="231"/>
      <c r="R72" s="231"/>
      <c r="S72" s="2"/>
    </row>
    <row r="73" spans="1:19" x14ac:dyDescent="0.25">
      <c r="A73" s="2"/>
      <c r="B73" s="136" t="s">
        <v>484</v>
      </c>
      <c r="C73" s="2"/>
      <c r="D73" s="2"/>
      <c r="E73" s="229"/>
      <c r="F73" s="2"/>
      <c r="G73" s="229"/>
      <c r="H73" s="2"/>
      <c r="J73" s="2"/>
      <c r="K73" s="228">
        <v>0.29920000000000002</v>
      </c>
      <c r="L73" s="2"/>
      <c r="M73" s="239">
        <f>M59</f>
        <v>3.4845999999999999</v>
      </c>
      <c r="N73" s="2"/>
      <c r="O73" s="228">
        <f>O59</f>
        <v>1.1000000000000001E-3</v>
      </c>
      <c r="P73" s="232"/>
      <c r="Q73" s="228">
        <f>Q66</f>
        <v>6.8099999999999994E-2</v>
      </c>
      <c r="R73" s="230"/>
      <c r="S73" s="228">
        <f>SUM(K73:Q73)</f>
        <v>3.8529999999999998</v>
      </c>
    </row>
    <row r="74" spans="1:19" x14ac:dyDescent="0.25">
      <c r="A74" s="2"/>
      <c r="B74" s="2"/>
      <c r="C74" s="2"/>
      <c r="D74" s="2"/>
      <c r="E74" s="229"/>
      <c r="F74" s="2"/>
      <c r="G74" s="2"/>
      <c r="H74" s="2"/>
      <c r="I74" s="2"/>
      <c r="J74" s="2"/>
      <c r="K74" s="2"/>
      <c r="L74" s="2"/>
      <c r="M74" s="228"/>
      <c r="N74" s="2"/>
      <c r="O74" s="231"/>
      <c r="P74" s="231"/>
      <c r="Q74" s="231"/>
      <c r="R74" s="231"/>
      <c r="S74" s="2"/>
    </row>
    <row r="75" spans="1:19" x14ac:dyDescent="0.25">
      <c r="A75" s="2"/>
      <c r="B75" s="2"/>
      <c r="C75" s="2"/>
      <c r="D75" s="2"/>
      <c r="E75" s="229"/>
      <c r="F75" s="2"/>
      <c r="G75" s="2"/>
      <c r="H75" s="2"/>
      <c r="I75" s="2"/>
      <c r="J75" s="2"/>
      <c r="K75" s="2"/>
      <c r="L75" s="2"/>
      <c r="M75" s="228"/>
      <c r="N75" s="2"/>
      <c r="O75" s="231"/>
      <c r="P75" s="231"/>
      <c r="Q75" s="231"/>
      <c r="R75" s="231"/>
      <c r="S75" s="2"/>
    </row>
    <row r="76" spans="1:19" x14ac:dyDescent="0.25">
      <c r="A76" s="2"/>
      <c r="B76" s="2"/>
      <c r="C76" s="2"/>
      <c r="D76" s="2"/>
      <c r="E76" s="229"/>
      <c r="F76" s="2"/>
      <c r="G76" s="2"/>
      <c r="H76" s="2"/>
      <c r="I76" s="457" t="s">
        <v>128</v>
      </c>
      <c r="J76" s="457"/>
      <c r="K76" s="457"/>
      <c r="L76" s="457"/>
      <c r="M76" s="457"/>
      <c r="N76" s="457"/>
      <c r="O76" s="457"/>
      <c r="P76" s="457"/>
      <c r="Q76" s="457"/>
      <c r="R76" s="231"/>
      <c r="S76" s="2"/>
    </row>
    <row r="77" spans="1:19" x14ac:dyDescent="0.25">
      <c r="A77" s="2"/>
      <c r="B77" s="2"/>
      <c r="C77" s="2"/>
      <c r="D77" s="2"/>
      <c r="E77" s="229"/>
      <c r="F77" s="2"/>
      <c r="G77" s="2"/>
      <c r="H77" s="2"/>
      <c r="I77" s="2"/>
      <c r="J77" s="2"/>
      <c r="K77" s="2"/>
      <c r="L77" s="2"/>
      <c r="M77" s="228"/>
      <c r="N77" s="2"/>
      <c r="O77" s="2"/>
      <c r="P77" s="2"/>
      <c r="Q77" s="309" t="s">
        <v>436</v>
      </c>
      <c r="R77" s="231"/>
      <c r="S77" s="2"/>
    </row>
    <row r="78" spans="1:19" x14ac:dyDescent="0.25">
      <c r="A78" s="2"/>
      <c r="B78" s="2"/>
      <c r="C78" s="2"/>
      <c r="D78" s="2"/>
      <c r="E78" s="309" t="s">
        <v>229</v>
      </c>
      <c r="F78" s="2"/>
      <c r="G78" s="309" t="s">
        <v>436</v>
      </c>
      <c r="H78" s="2"/>
      <c r="I78" s="309" t="s">
        <v>158</v>
      </c>
      <c r="J78" s="2"/>
      <c r="K78" s="136" t="s">
        <v>129</v>
      </c>
      <c r="L78" s="2"/>
      <c r="M78" s="309" t="s">
        <v>130</v>
      </c>
      <c r="N78" s="2"/>
      <c r="O78" s="309" t="s">
        <v>131</v>
      </c>
      <c r="P78" s="309"/>
      <c r="Q78" s="309" t="s">
        <v>577</v>
      </c>
      <c r="R78" s="309"/>
      <c r="S78" s="2"/>
    </row>
    <row r="79" spans="1:19" x14ac:dyDescent="0.25">
      <c r="A79" s="2"/>
      <c r="B79" s="2"/>
      <c r="C79" s="2"/>
      <c r="D79" s="2"/>
      <c r="E79" s="309" t="s">
        <v>132</v>
      </c>
      <c r="F79" s="2"/>
      <c r="G79" s="309" t="s">
        <v>132</v>
      </c>
      <c r="H79" s="2"/>
      <c r="I79" s="309" t="s">
        <v>132</v>
      </c>
      <c r="J79" s="2"/>
      <c r="K79" s="309" t="s">
        <v>133</v>
      </c>
      <c r="L79" s="2"/>
      <c r="M79" s="309" t="s">
        <v>134</v>
      </c>
      <c r="N79" s="2"/>
      <c r="O79" s="309" t="s">
        <v>135</v>
      </c>
      <c r="P79" s="309"/>
      <c r="Q79" s="309" t="s">
        <v>576</v>
      </c>
      <c r="R79" s="309"/>
      <c r="S79" s="2"/>
    </row>
    <row r="80" spans="1:19" x14ac:dyDescent="0.25">
      <c r="A80" s="2"/>
      <c r="B80" s="2"/>
      <c r="C80" s="2"/>
      <c r="D80" s="2"/>
      <c r="E80" s="134" t="s">
        <v>136</v>
      </c>
      <c r="F80" s="2"/>
      <c r="G80" s="137" t="s">
        <v>136</v>
      </c>
      <c r="H80" s="2"/>
      <c r="I80" s="137" t="s">
        <v>139</v>
      </c>
      <c r="J80" s="2"/>
      <c r="K80" s="135" t="s">
        <v>137</v>
      </c>
      <c r="L80" s="2"/>
      <c r="M80" s="135" t="s">
        <v>138</v>
      </c>
      <c r="N80" s="2"/>
      <c r="O80" s="137" t="s">
        <v>139</v>
      </c>
      <c r="P80" s="140"/>
      <c r="Q80" s="137" t="s">
        <v>139</v>
      </c>
      <c r="R80" s="140"/>
      <c r="S80" s="135" t="s">
        <v>140</v>
      </c>
    </row>
    <row r="81" spans="1:19" x14ac:dyDescent="0.25">
      <c r="A81" s="2" t="s">
        <v>226</v>
      </c>
      <c r="B81" s="2"/>
      <c r="C81" s="2"/>
      <c r="D81" s="2"/>
      <c r="E81" s="229"/>
      <c r="F81" s="2"/>
      <c r="G81" s="2"/>
      <c r="H81" s="2"/>
      <c r="I81" s="2"/>
      <c r="J81" s="2"/>
      <c r="K81" s="2"/>
      <c r="L81" s="2"/>
      <c r="M81" s="228"/>
      <c r="N81" s="2"/>
      <c r="O81" s="231"/>
      <c r="P81" s="231"/>
      <c r="Q81" s="231"/>
      <c r="R81" s="231"/>
      <c r="S81" s="2"/>
    </row>
    <row r="82" spans="1:19" x14ac:dyDescent="0.25">
      <c r="A82" s="2"/>
      <c r="B82" s="2"/>
      <c r="C82" s="2"/>
      <c r="D82" s="2" t="s">
        <v>227</v>
      </c>
      <c r="E82" s="229"/>
      <c r="F82" s="2"/>
      <c r="G82" s="2"/>
      <c r="H82" s="2"/>
      <c r="I82" s="2"/>
      <c r="J82" s="2"/>
      <c r="K82" s="2"/>
      <c r="L82" s="2"/>
      <c r="M82" s="228"/>
      <c r="N82" s="2"/>
      <c r="O82" s="231"/>
      <c r="P82" s="231"/>
      <c r="Q82" s="231"/>
      <c r="R82" s="231"/>
      <c r="S82" s="2"/>
    </row>
    <row r="83" spans="1:19" x14ac:dyDescent="0.25">
      <c r="A83" s="2"/>
      <c r="B83" s="136" t="s">
        <v>228</v>
      </c>
      <c r="C83" s="2"/>
      <c r="D83" s="2"/>
      <c r="E83" s="229">
        <v>165</v>
      </c>
      <c r="F83" s="2"/>
      <c r="G83" s="229">
        <f>G39</f>
        <v>64.39</v>
      </c>
      <c r="H83" s="2"/>
      <c r="I83" s="2"/>
      <c r="J83" s="2"/>
      <c r="K83" s="2"/>
      <c r="L83" s="2"/>
      <c r="M83" s="228"/>
      <c r="N83" s="2"/>
      <c r="O83" s="231"/>
      <c r="P83" s="231"/>
      <c r="Q83" s="231"/>
      <c r="R83" s="231"/>
      <c r="S83" s="2"/>
    </row>
    <row r="84" spans="1:19" x14ac:dyDescent="0.25">
      <c r="A84" s="2"/>
      <c r="B84" s="136" t="s">
        <v>584</v>
      </c>
      <c r="C84" s="2"/>
      <c r="D84" s="2"/>
      <c r="E84" s="229"/>
      <c r="F84" s="2"/>
      <c r="G84" s="229"/>
      <c r="H84" s="2"/>
      <c r="I84" s="228">
        <v>1.08978</v>
      </c>
      <c r="J84" s="2"/>
      <c r="K84" s="2"/>
      <c r="L84" s="2"/>
      <c r="M84" s="228"/>
      <c r="N84" s="2"/>
      <c r="O84" s="231"/>
      <c r="P84" s="231"/>
      <c r="Q84" s="231"/>
      <c r="R84" s="231"/>
      <c r="S84" s="2"/>
    </row>
    <row r="85" spans="1:19" x14ac:dyDescent="0.25">
      <c r="A85" s="2"/>
      <c r="B85" s="136" t="s">
        <v>4</v>
      </c>
      <c r="C85" s="2"/>
      <c r="D85" s="2"/>
      <c r="E85" s="229"/>
      <c r="F85" s="2"/>
      <c r="G85" s="229"/>
      <c r="H85" s="2"/>
      <c r="J85" s="2"/>
      <c r="K85" s="228">
        <v>2.9919999999999999E-2</v>
      </c>
      <c r="L85" s="2"/>
      <c r="M85" s="228">
        <f>$M$17</f>
        <v>0.34845999999999999</v>
      </c>
      <c r="N85" s="2"/>
      <c r="O85" s="228">
        <f>O41</f>
        <v>0</v>
      </c>
      <c r="P85" s="232"/>
      <c r="Q85" s="228">
        <f>Q41</f>
        <v>4.0800000000000003E-3</v>
      </c>
      <c r="R85" s="230"/>
      <c r="S85" s="228">
        <f>SUM(K85:Q85)</f>
        <v>0.38246000000000002</v>
      </c>
    </row>
    <row r="86" spans="1:19" x14ac:dyDescent="0.25">
      <c r="A86" s="2"/>
      <c r="B86" s="136"/>
      <c r="C86" s="2"/>
      <c r="D86" s="2"/>
      <c r="E86" s="229"/>
      <c r="F86" s="2"/>
      <c r="G86" s="2"/>
      <c r="H86" s="2"/>
      <c r="I86" s="2"/>
      <c r="J86" s="2"/>
      <c r="K86" s="228"/>
      <c r="L86" s="2"/>
      <c r="M86" s="228"/>
      <c r="N86" s="2"/>
      <c r="O86" s="232"/>
      <c r="P86" s="232"/>
      <c r="Q86" s="232"/>
      <c r="R86" s="230"/>
      <c r="S86" s="228"/>
    </row>
    <row r="87" spans="1:19" x14ac:dyDescent="0.25">
      <c r="A87" s="2"/>
      <c r="B87" s="136"/>
      <c r="C87" s="2"/>
      <c r="D87" s="2"/>
      <c r="E87" s="229"/>
      <c r="F87" s="2"/>
      <c r="G87" s="2"/>
      <c r="H87" s="2"/>
      <c r="I87" s="2"/>
      <c r="J87" s="2"/>
      <c r="K87" s="228"/>
      <c r="L87" s="2"/>
      <c r="M87" s="228"/>
      <c r="N87" s="2"/>
      <c r="O87" s="232"/>
      <c r="P87" s="232"/>
      <c r="Q87" s="232"/>
      <c r="R87" s="230"/>
      <c r="S87" s="228"/>
    </row>
    <row r="88" spans="1:19" x14ac:dyDescent="0.25">
      <c r="A88" s="2" t="s">
        <v>226</v>
      </c>
      <c r="B88" s="2"/>
      <c r="C88" s="2"/>
      <c r="D88" s="2"/>
      <c r="E88" s="229"/>
      <c r="F88" s="2"/>
      <c r="G88" s="2"/>
      <c r="H88" s="2"/>
      <c r="I88" s="2"/>
      <c r="J88" s="2"/>
      <c r="K88" s="2"/>
      <c r="L88" s="2"/>
      <c r="M88" s="228"/>
      <c r="N88" s="2"/>
      <c r="O88" s="231"/>
      <c r="P88" s="231"/>
      <c r="Q88" s="231"/>
      <c r="R88" s="231"/>
      <c r="S88" s="2"/>
    </row>
    <row r="89" spans="1:19" x14ac:dyDescent="0.25">
      <c r="A89" s="2"/>
      <c r="B89" s="2"/>
      <c r="C89" s="2"/>
      <c r="D89" s="2" t="s">
        <v>152</v>
      </c>
      <c r="E89" s="229"/>
      <c r="F89" s="2"/>
      <c r="G89" s="2"/>
      <c r="H89" s="2"/>
      <c r="I89" s="2"/>
      <c r="J89" s="2"/>
      <c r="K89" s="2"/>
      <c r="L89" s="2"/>
      <c r="M89" s="228"/>
      <c r="N89" s="2"/>
      <c r="O89" s="231"/>
      <c r="P89" s="231"/>
      <c r="Q89" s="231"/>
      <c r="R89" s="231"/>
      <c r="S89" s="2"/>
    </row>
    <row r="90" spans="1:19" x14ac:dyDescent="0.25">
      <c r="A90" s="2"/>
      <c r="B90" s="136" t="s">
        <v>228</v>
      </c>
      <c r="C90" s="2"/>
      <c r="D90" s="2"/>
      <c r="E90" s="229">
        <v>750</v>
      </c>
      <c r="F90" s="2"/>
      <c r="G90" s="229">
        <f>G83</f>
        <v>64.39</v>
      </c>
      <c r="H90" s="2"/>
      <c r="I90" s="2"/>
      <c r="J90" s="2"/>
      <c r="K90" s="2"/>
      <c r="L90" s="2"/>
      <c r="M90" s="228"/>
      <c r="N90" s="2"/>
      <c r="O90" s="231"/>
      <c r="P90" s="231"/>
      <c r="Q90" s="231"/>
      <c r="R90" s="231"/>
      <c r="S90" s="2"/>
    </row>
    <row r="91" spans="1:19" x14ac:dyDescent="0.25">
      <c r="A91" s="2"/>
      <c r="B91" s="136" t="s">
        <v>584</v>
      </c>
      <c r="C91" s="2"/>
      <c r="D91" s="2"/>
      <c r="E91" s="229"/>
      <c r="F91" s="2"/>
      <c r="G91" s="229"/>
      <c r="H91" s="2"/>
      <c r="I91" s="228">
        <f>I84</f>
        <v>1.08978</v>
      </c>
      <c r="J91" s="2"/>
      <c r="K91" s="2"/>
      <c r="L91" s="2"/>
      <c r="M91" s="228"/>
      <c r="N91" s="2"/>
      <c r="O91" s="231"/>
      <c r="P91" s="231"/>
      <c r="Q91" s="231"/>
      <c r="R91" s="231"/>
      <c r="S91" s="2"/>
    </row>
    <row r="92" spans="1:19" x14ac:dyDescent="0.25">
      <c r="A92" s="2"/>
      <c r="B92" s="136" t="s">
        <v>4</v>
      </c>
      <c r="C92" s="2"/>
      <c r="D92" s="2"/>
      <c r="E92" s="229"/>
      <c r="F92" s="2"/>
      <c r="G92" s="2"/>
      <c r="H92" s="2"/>
      <c r="J92" s="2"/>
      <c r="K92" s="228">
        <f>+K85</f>
        <v>2.9919999999999999E-2</v>
      </c>
      <c r="L92" s="2"/>
      <c r="M92" s="228">
        <f>$M$17</f>
        <v>0.34845999999999999</v>
      </c>
      <c r="N92" s="2"/>
      <c r="O92" s="228">
        <f>+O85</f>
        <v>0</v>
      </c>
      <c r="P92" s="232"/>
      <c r="Q92" s="228">
        <f>Q85</f>
        <v>4.0800000000000003E-3</v>
      </c>
      <c r="R92" s="230"/>
      <c r="S92" s="228">
        <f>SUM(K92:Q92)</f>
        <v>0.38246000000000002</v>
      </c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28"/>
      <c r="N93" s="2"/>
      <c r="O93" s="231"/>
      <c r="P93" s="231"/>
      <c r="Q93" s="231"/>
      <c r="R93" s="231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31"/>
      <c r="P94" s="231"/>
      <c r="Q94" s="231"/>
      <c r="R94" s="231"/>
      <c r="S94" s="2"/>
    </row>
    <row r="95" spans="1:19" x14ac:dyDescent="0.25">
      <c r="A95" s="131" t="s">
        <v>483</v>
      </c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233"/>
      <c r="P95" s="233"/>
      <c r="Q95" s="233"/>
      <c r="R95" s="233"/>
      <c r="S95" s="132"/>
    </row>
    <row r="96" spans="1:19" x14ac:dyDescent="0.25">
      <c r="A96" s="23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31"/>
      <c r="P96" s="231"/>
      <c r="Q96" s="231"/>
      <c r="R96" s="231"/>
      <c r="S96" s="2"/>
    </row>
    <row r="97" spans="1:19" ht="18.75" x14ac:dyDescent="0.25">
      <c r="A97" s="51" t="s">
        <v>594</v>
      </c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233"/>
      <c r="P97" s="233"/>
      <c r="Q97" s="233"/>
      <c r="R97" s="233"/>
      <c r="S97" s="132"/>
    </row>
    <row r="98" spans="1:19" x14ac:dyDescent="0.25">
      <c r="A98" s="51" t="str">
        <f>A4</f>
        <v>RENDERED FROM</v>
      </c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233"/>
      <c r="P98" s="233"/>
      <c r="Q98" s="233"/>
      <c r="R98" s="233"/>
      <c r="S98" s="132"/>
    </row>
    <row r="99" spans="1:19" x14ac:dyDescent="0.25">
      <c r="A99" s="51" t="str">
        <f>A5</f>
        <v>August 1, 2019 through October 31, 2019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233"/>
      <c r="P99" s="233"/>
      <c r="Q99" s="233"/>
      <c r="R99" s="233"/>
      <c r="S99" s="13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31"/>
      <c r="P100" s="231"/>
      <c r="Q100" s="231"/>
      <c r="R100" s="231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31"/>
      <c r="P101" s="231"/>
      <c r="Q101" s="231"/>
      <c r="R101" s="231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L102" s="458"/>
      <c r="M102" s="458" t="s">
        <v>154</v>
      </c>
      <c r="N102" s="458"/>
      <c r="O102" s="459"/>
      <c r="P102" s="459"/>
      <c r="Q102" s="459"/>
      <c r="R102" s="235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31"/>
      <c r="P103" s="231"/>
      <c r="Q103" s="231"/>
      <c r="R103" s="231"/>
      <c r="S103" s="2"/>
    </row>
    <row r="104" spans="1:19" x14ac:dyDescent="0.25">
      <c r="A104" s="2"/>
      <c r="B104" s="2"/>
      <c r="C104" s="2"/>
      <c r="D104" s="2"/>
      <c r="E104" s="2"/>
      <c r="F104" s="2"/>
      <c r="G104" s="260"/>
      <c r="H104" s="2"/>
      <c r="I104" s="2"/>
      <c r="J104" s="2"/>
      <c r="K104" s="2"/>
      <c r="L104" s="2"/>
      <c r="M104" s="2"/>
      <c r="N104" s="2"/>
      <c r="O104" s="260"/>
      <c r="P104" s="260"/>
      <c r="Q104" s="260"/>
      <c r="R104" s="231"/>
      <c r="S104" s="2"/>
    </row>
    <row r="105" spans="1:19" x14ac:dyDescent="0.25">
      <c r="A105" s="2"/>
      <c r="B105" s="2"/>
      <c r="C105" s="2"/>
      <c r="D105" s="2"/>
      <c r="E105" s="2"/>
      <c r="F105" s="2"/>
      <c r="G105" s="260"/>
      <c r="H105" s="260"/>
      <c r="I105" s="260"/>
      <c r="J105" s="260"/>
      <c r="K105" s="260"/>
      <c r="L105" s="2"/>
      <c r="M105" s="309" t="s">
        <v>155</v>
      </c>
      <c r="N105" s="2"/>
      <c r="O105" s="260"/>
      <c r="P105" s="260"/>
      <c r="Q105" s="260"/>
      <c r="R105" s="231"/>
      <c r="S105" s="260"/>
    </row>
    <row r="106" spans="1:19" x14ac:dyDescent="0.25">
      <c r="A106" s="2"/>
      <c r="B106" s="2"/>
      <c r="C106" s="2"/>
      <c r="D106" s="2"/>
      <c r="F106" s="2"/>
      <c r="G106" s="309" t="s">
        <v>156</v>
      </c>
      <c r="H106" s="260"/>
      <c r="I106" s="260"/>
      <c r="J106" s="260"/>
      <c r="K106" s="260"/>
      <c r="L106" s="2"/>
      <c r="M106" s="309" t="s">
        <v>157</v>
      </c>
      <c r="N106" s="2"/>
      <c r="O106" s="260"/>
      <c r="P106" s="260"/>
      <c r="Q106" s="260"/>
      <c r="R106" s="236"/>
      <c r="S106" s="260"/>
    </row>
    <row r="107" spans="1:19" x14ac:dyDescent="0.25">
      <c r="A107" s="2"/>
      <c r="B107" s="2"/>
      <c r="C107" s="2"/>
      <c r="D107" s="2"/>
      <c r="F107" s="2"/>
      <c r="G107" s="309" t="s">
        <v>132</v>
      </c>
      <c r="H107" s="260"/>
      <c r="I107" s="260"/>
      <c r="J107" s="260"/>
      <c r="K107" s="260"/>
      <c r="L107" s="2"/>
      <c r="M107" s="309" t="s">
        <v>158</v>
      </c>
      <c r="N107" s="2"/>
      <c r="O107" s="260"/>
      <c r="P107" s="260"/>
      <c r="Q107" s="260"/>
      <c r="R107" s="236"/>
      <c r="S107" s="260"/>
    </row>
    <row r="108" spans="1:19" x14ac:dyDescent="0.25">
      <c r="A108" s="2" t="s">
        <v>487</v>
      </c>
      <c r="B108" s="2"/>
      <c r="C108" s="2"/>
      <c r="D108" s="2"/>
      <c r="F108" s="2"/>
      <c r="G108" s="237" t="s">
        <v>136</v>
      </c>
      <c r="H108" s="260"/>
      <c r="I108" s="260"/>
      <c r="J108" s="260"/>
      <c r="K108" s="260"/>
      <c r="L108" s="2"/>
      <c r="M108" s="237" t="s">
        <v>139</v>
      </c>
      <c r="N108" s="2"/>
      <c r="O108" s="260"/>
      <c r="P108" s="260"/>
      <c r="Q108" s="260"/>
      <c r="R108" s="238"/>
      <c r="S108" s="260"/>
    </row>
    <row r="109" spans="1:19" x14ac:dyDescent="0.25">
      <c r="A109" s="2"/>
      <c r="B109" s="2"/>
      <c r="C109" s="2"/>
      <c r="D109" s="2"/>
      <c r="F109" s="2"/>
      <c r="G109" s="2"/>
      <c r="H109" s="260"/>
      <c r="I109" s="260"/>
      <c r="J109" s="260"/>
      <c r="K109" s="260"/>
      <c r="L109" s="2"/>
      <c r="M109" s="2"/>
      <c r="N109" s="2"/>
      <c r="O109" s="260"/>
      <c r="P109" s="260"/>
      <c r="Q109" s="260"/>
      <c r="R109" s="231"/>
      <c r="S109" s="260"/>
    </row>
    <row r="110" spans="1:19" x14ac:dyDescent="0.25">
      <c r="A110" s="2"/>
      <c r="B110" s="2"/>
      <c r="C110" s="2"/>
      <c r="D110" s="2"/>
      <c r="F110" s="2"/>
      <c r="G110" s="2"/>
      <c r="H110" s="260"/>
      <c r="I110" s="260"/>
      <c r="J110" s="260"/>
      <c r="K110" s="260"/>
      <c r="L110" s="2"/>
      <c r="M110" s="2"/>
      <c r="N110" s="2"/>
      <c r="O110" s="260"/>
      <c r="P110" s="260"/>
      <c r="Q110" s="260"/>
      <c r="R110" s="231"/>
      <c r="S110" s="260"/>
    </row>
    <row r="111" spans="1:19" x14ac:dyDescent="0.25">
      <c r="A111" s="2"/>
      <c r="B111" s="336" t="s">
        <v>486</v>
      </c>
      <c r="C111" s="2"/>
      <c r="D111" s="2"/>
      <c r="F111" s="2"/>
      <c r="G111" s="2"/>
      <c r="H111" s="260"/>
      <c r="I111" s="260"/>
      <c r="J111" s="260"/>
      <c r="K111" s="260"/>
      <c r="L111" s="2"/>
      <c r="M111" s="239"/>
      <c r="N111" s="2"/>
      <c r="O111" s="260"/>
      <c r="P111" s="260"/>
      <c r="Q111" s="260"/>
      <c r="R111" s="231"/>
      <c r="S111" s="260"/>
    </row>
    <row r="112" spans="1:19" x14ac:dyDescent="0.25">
      <c r="A112" s="2"/>
      <c r="B112" s="2"/>
      <c r="C112" s="2"/>
      <c r="D112" s="2"/>
      <c r="F112" s="2"/>
      <c r="G112" s="229"/>
      <c r="H112" s="260"/>
      <c r="I112" s="260"/>
      <c r="J112" s="260"/>
      <c r="K112" s="260"/>
      <c r="L112" s="2"/>
      <c r="M112" s="239"/>
      <c r="N112" s="2"/>
      <c r="O112" s="260"/>
      <c r="P112" s="260"/>
      <c r="Q112" s="260"/>
      <c r="R112" s="230"/>
      <c r="S112" s="260"/>
    </row>
    <row r="113" spans="1:19" x14ac:dyDescent="0.25">
      <c r="A113" s="136" t="s">
        <v>143</v>
      </c>
      <c r="B113" s="2"/>
      <c r="C113" s="2"/>
      <c r="D113" s="2"/>
      <c r="F113" s="2"/>
      <c r="G113" s="229">
        <v>550</v>
      </c>
      <c r="H113" s="260"/>
      <c r="I113" s="260"/>
      <c r="J113" s="260"/>
      <c r="K113" s="260"/>
      <c r="L113" s="2"/>
      <c r="M113" s="239"/>
      <c r="N113" s="2"/>
      <c r="O113" s="260"/>
      <c r="P113" s="260"/>
      <c r="Q113" s="260"/>
      <c r="R113" s="230"/>
      <c r="S113" s="260"/>
    </row>
    <row r="114" spans="1:19" x14ac:dyDescent="0.25">
      <c r="A114" s="136" t="s">
        <v>145</v>
      </c>
      <c r="B114" s="2"/>
      <c r="C114" s="2"/>
      <c r="D114" s="2"/>
      <c r="F114" s="2"/>
      <c r="G114" s="229"/>
      <c r="H114" s="260"/>
      <c r="I114" s="260"/>
      <c r="J114" s="260"/>
      <c r="K114" s="260"/>
      <c r="L114" s="2"/>
      <c r="M114" s="239"/>
      <c r="N114" s="2"/>
      <c r="O114" s="260"/>
      <c r="P114" s="260"/>
      <c r="Q114" s="260"/>
      <c r="R114" s="230"/>
      <c r="S114" s="260"/>
    </row>
    <row r="115" spans="1:19" x14ac:dyDescent="0.25">
      <c r="A115" s="2"/>
      <c r="B115" s="136" t="s">
        <v>159</v>
      </c>
      <c r="C115" s="2"/>
      <c r="D115" s="2"/>
      <c r="F115" s="2"/>
      <c r="G115" s="229"/>
      <c r="H115" s="260"/>
      <c r="I115" s="260"/>
      <c r="J115" s="260"/>
      <c r="K115" s="260"/>
      <c r="L115" s="2"/>
      <c r="M115" s="239">
        <f>'Ex A 2 of 2'!F41</f>
        <v>0.8385999999999999</v>
      </c>
      <c r="N115" s="2"/>
      <c r="O115" s="260"/>
      <c r="P115" s="260"/>
      <c r="Q115" s="260"/>
      <c r="R115" s="230"/>
      <c r="S115" s="260"/>
    </row>
    <row r="116" spans="1:19" x14ac:dyDescent="0.25">
      <c r="A116" s="2"/>
      <c r="B116" s="136" t="s">
        <v>160</v>
      </c>
      <c r="C116" s="2"/>
      <c r="D116" s="2"/>
      <c r="F116" s="2"/>
      <c r="G116" s="229"/>
      <c r="H116" s="260"/>
      <c r="I116" s="260"/>
      <c r="J116" s="260"/>
      <c r="K116" s="260"/>
      <c r="L116" s="2"/>
      <c r="M116" s="239">
        <f>($M$115)</f>
        <v>0.8385999999999999</v>
      </c>
      <c r="N116" s="2"/>
      <c r="O116" s="260"/>
      <c r="P116" s="260"/>
      <c r="Q116" s="260"/>
      <c r="R116" s="230"/>
      <c r="S116" s="260"/>
    </row>
    <row r="117" spans="1:19" x14ac:dyDescent="0.25">
      <c r="A117" s="136" t="s">
        <v>148</v>
      </c>
      <c r="B117" s="2"/>
      <c r="C117" s="2"/>
      <c r="D117" s="2"/>
      <c r="F117" s="2"/>
      <c r="G117" s="229"/>
      <c r="H117" s="260"/>
      <c r="I117" s="260"/>
      <c r="J117" s="260"/>
      <c r="K117" s="260"/>
      <c r="L117" s="2"/>
      <c r="M117" s="239"/>
      <c r="N117" s="2"/>
      <c r="O117" s="260"/>
      <c r="P117" s="260"/>
      <c r="Q117" s="260"/>
      <c r="R117" s="230"/>
      <c r="S117" s="260"/>
    </row>
    <row r="118" spans="1:19" x14ac:dyDescent="0.25">
      <c r="A118" s="2"/>
      <c r="B118" s="136" t="s">
        <v>161</v>
      </c>
      <c r="C118" s="2"/>
      <c r="D118" s="2"/>
      <c r="F118" s="2"/>
      <c r="G118" s="229"/>
      <c r="H118" s="260"/>
      <c r="I118" s="260"/>
      <c r="J118" s="260"/>
      <c r="K118" s="260"/>
      <c r="L118" s="2"/>
      <c r="M118" s="239">
        <f>($M$115)</f>
        <v>0.8385999999999999</v>
      </c>
      <c r="N118" s="2"/>
      <c r="O118" s="260"/>
      <c r="P118" s="260"/>
      <c r="Q118" s="260"/>
      <c r="R118" s="230"/>
      <c r="S118" s="260"/>
    </row>
    <row r="119" spans="1:19" x14ac:dyDescent="0.25">
      <c r="A119" s="2"/>
      <c r="B119" s="2"/>
      <c r="C119" s="2"/>
      <c r="D119" s="2"/>
      <c r="F119" s="2"/>
      <c r="G119" s="229"/>
      <c r="H119" s="260"/>
      <c r="I119" s="260"/>
      <c r="J119" s="260"/>
      <c r="K119" s="260"/>
      <c r="L119" s="2"/>
      <c r="M119" s="239"/>
      <c r="N119" s="2"/>
      <c r="O119" s="260"/>
      <c r="P119" s="260"/>
      <c r="Q119" s="260"/>
      <c r="R119" s="230"/>
      <c r="S119" s="260"/>
    </row>
    <row r="120" spans="1:19" x14ac:dyDescent="0.25">
      <c r="A120" s="2"/>
      <c r="B120" s="2"/>
      <c r="C120" s="2"/>
      <c r="D120" s="2"/>
      <c r="F120" s="2"/>
      <c r="G120" s="229"/>
      <c r="H120" s="260"/>
      <c r="I120" s="260"/>
      <c r="J120" s="260"/>
      <c r="K120" s="260"/>
      <c r="L120" s="2"/>
      <c r="M120" s="239"/>
      <c r="N120" s="2"/>
      <c r="O120" s="260"/>
      <c r="P120" s="260"/>
      <c r="Q120" s="260"/>
      <c r="R120" s="230"/>
      <c r="S120" s="260"/>
    </row>
    <row r="121" spans="1:19" x14ac:dyDescent="0.25">
      <c r="A121" s="136" t="s">
        <v>150</v>
      </c>
      <c r="B121" s="2"/>
      <c r="C121" s="2"/>
      <c r="D121" s="2"/>
      <c r="F121" s="2"/>
      <c r="G121" s="229">
        <v>550</v>
      </c>
      <c r="H121" s="260"/>
      <c r="I121" s="260"/>
      <c r="J121" s="260"/>
      <c r="K121" s="260"/>
      <c r="L121" s="2"/>
      <c r="M121" s="239"/>
      <c r="N121" s="2"/>
      <c r="O121" s="260"/>
      <c r="P121" s="260"/>
      <c r="Q121" s="260"/>
      <c r="R121" s="230"/>
      <c r="S121" s="260"/>
    </row>
    <row r="122" spans="1:19" x14ac:dyDescent="0.25">
      <c r="A122" s="136" t="s">
        <v>145</v>
      </c>
      <c r="B122" s="2"/>
      <c r="C122" s="2"/>
      <c r="D122" s="2"/>
      <c r="F122" s="2"/>
      <c r="G122" s="229"/>
      <c r="H122" s="260"/>
      <c r="I122" s="260"/>
      <c r="J122" s="260"/>
      <c r="K122" s="260"/>
      <c r="L122" s="2"/>
      <c r="M122" s="239"/>
      <c r="N122" s="2"/>
      <c r="O122" s="260"/>
      <c r="P122" s="260"/>
      <c r="Q122" s="260"/>
      <c r="R122" s="230"/>
      <c r="S122" s="260"/>
    </row>
    <row r="123" spans="1:19" x14ac:dyDescent="0.25">
      <c r="A123" s="2"/>
      <c r="B123" s="136" t="s">
        <v>159</v>
      </c>
      <c r="C123" s="2"/>
      <c r="D123" s="2"/>
      <c r="F123" s="2"/>
      <c r="G123" s="229"/>
      <c r="H123" s="260"/>
      <c r="I123" s="260"/>
      <c r="J123" s="260"/>
      <c r="K123" s="260"/>
      <c r="L123" s="2"/>
      <c r="M123" s="239">
        <f>($M$115)</f>
        <v>0.8385999999999999</v>
      </c>
      <c r="N123" s="2"/>
      <c r="O123" s="260"/>
      <c r="P123" s="260"/>
      <c r="Q123" s="260"/>
      <c r="R123" s="230"/>
      <c r="S123" s="260"/>
    </row>
    <row r="124" spans="1:19" x14ac:dyDescent="0.25">
      <c r="A124" s="2"/>
      <c r="B124" s="136" t="s">
        <v>160</v>
      </c>
      <c r="C124" s="2"/>
      <c r="D124" s="2"/>
      <c r="F124" s="2"/>
      <c r="G124" s="229"/>
      <c r="H124" s="260"/>
      <c r="I124" s="260"/>
      <c r="J124" s="260"/>
      <c r="K124" s="260"/>
      <c r="L124" s="2"/>
      <c r="M124" s="239">
        <f>($M$115)</f>
        <v>0.8385999999999999</v>
      </c>
      <c r="N124" s="2"/>
      <c r="O124" s="260"/>
      <c r="P124" s="260"/>
      <c r="Q124" s="260"/>
      <c r="R124" s="230"/>
      <c r="S124" s="260"/>
    </row>
    <row r="125" spans="1:19" x14ac:dyDescent="0.25">
      <c r="A125" s="136" t="s">
        <v>148</v>
      </c>
      <c r="B125" s="2"/>
      <c r="C125" s="2"/>
      <c r="D125" s="2"/>
      <c r="F125" s="2"/>
      <c r="G125" s="229"/>
      <c r="H125" s="260"/>
      <c r="I125" s="260"/>
      <c r="J125" s="260"/>
      <c r="K125" s="260"/>
      <c r="L125" s="2"/>
      <c r="M125" s="239"/>
      <c r="N125" s="2"/>
      <c r="O125" s="260"/>
      <c r="P125" s="260"/>
      <c r="Q125" s="260"/>
      <c r="R125" s="230"/>
      <c r="S125" s="260"/>
    </row>
    <row r="126" spans="1:19" x14ac:dyDescent="0.25">
      <c r="A126" s="2"/>
      <c r="B126" s="136" t="s">
        <v>161</v>
      </c>
      <c r="C126" s="2"/>
      <c r="D126" s="2"/>
      <c r="F126" s="2"/>
      <c r="G126" s="229"/>
      <c r="H126" s="260"/>
      <c r="I126" s="260"/>
      <c r="J126" s="260"/>
      <c r="K126" s="260"/>
      <c r="L126" s="2"/>
      <c r="M126" s="239">
        <f>($M$115)</f>
        <v>0.8385999999999999</v>
      </c>
      <c r="N126" s="2"/>
      <c r="O126" s="260"/>
      <c r="P126" s="260"/>
      <c r="Q126" s="260"/>
      <c r="R126" s="230"/>
      <c r="S126" s="260"/>
    </row>
    <row r="127" spans="1:19" x14ac:dyDescent="0.25">
      <c r="A127" s="2"/>
      <c r="B127" s="2"/>
      <c r="C127" s="2"/>
      <c r="D127" s="2"/>
      <c r="F127" s="2"/>
      <c r="G127" s="229"/>
      <c r="H127" s="260"/>
      <c r="I127" s="260"/>
      <c r="J127" s="260"/>
      <c r="K127" s="260"/>
      <c r="L127" s="2"/>
      <c r="M127" s="239"/>
      <c r="N127" s="2"/>
      <c r="O127" s="260"/>
      <c r="P127" s="260"/>
      <c r="Q127" s="260"/>
      <c r="R127" s="230"/>
      <c r="S127" s="260"/>
    </row>
    <row r="128" spans="1:19" x14ac:dyDescent="0.25">
      <c r="A128" s="2"/>
      <c r="B128" s="2"/>
      <c r="C128" s="2"/>
      <c r="D128" s="2"/>
      <c r="F128" s="2"/>
      <c r="G128" s="229"/>
      <c r="H128" s="260"/>
      <c r="I128" s="260"/>
      <c r="J128" s="260"/>
      <c r="K128" s="260"/>
      <c r="L128" s="2"/>
      <c r="M128" s="239"/>
      <c r="N128" s="2"/>
      <c r="O128" s="260"/>
      <c r="P128" s="260"/>
      <c r="Q128" s="260"/>
      <c r="R128" s="230"/>
      <c r="S128" s="260"/>
    </row>
    <row r="129" spans="1:19" x14ac:dyDescent="0.25">
      <c r="A129" s="136" t="s">
        <v>153</v>
      </c>
      <c r="B129" s="2"/>
      <c r="C129" s="2"/>
      <c r="D129" s="2"/>
      <c r="F129" s="2"/>
      <c r="G129" s="229">
        <v>550</v>
      </c>
      <c r="H129" s="260"/>
      <c r="I129" s="260"/>
      <c r="J129" s="260"/>
      <c r="K129" s="260"/>
      <c r="L129" s="2"/>
      <c r="M129" s="239">
        <f>($M$115)</f>
        <v>0.8385999999999999</v>
      </c>
      <c r="N129" s="2"/>
      <c r="O129" s="260"/>
      <c r="P129" s="260"/>
      <c r="Q129" s="260"/>
      <c r="R129" s="230"/>
      <c r="S129" s="260"/>
    </row>
    <row r="130" spans="1:19" x14ac:dyDescent="0.25">
      <c r="A130" s="2"/>
      <c r="B130" s="2"/>
      <c r="C130" s="2"/>
      <c r="D130" s="2"/>
      <c r="E130" s="229"/>
      <c r="F130" s="2"/>
      <c r="G130" s="260"/>
      <c r="H130" s="260"/>
      <c r="I130" s="260"/>
      <c r="J130" s="260"/>
      <c r="K130" s="260"/>
      <c r="L130" s="2"/>
      <c r="M130" s="239"/>
      <c r="N130" s="2"/>
      <c r="O130" s="260"/>
      <c r="P130" s="260"/>
      <c r="Q130" s="260"/>
      <c r="R130" s="230"/>
      <c r="S130" s="260"/>
    </row>
    <row r="131" spans="1:19" x14ac:dyDescent="0.25">
      <c r="A131" s="139"/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260"/>
      <c r="P131" s="260"/>
      <c r="Q131" s="260"/>
      <c r="R131" s="240"/>
      <c r="S131" s="260"/>
    </row>
    <row r="132" spans="1:19" x14ac:dyDescent="0.25">
      <c r="A132" s="139" t="s">
        <v>579</v>
      </c>
      <c r="B132" s="139"/>
      <c r="C132" s="139"/>
      <c r="D132" s="139"/>
      <c r="E132" s="139"/>
      <c r="F132" s="139"/>
      <c r="G132" s="229">
        <v>550</v>
      </c>
      <c r="H132" s="260"/>
      <c r="I132" s="260"/>
      <c r="J132" s="260"/>
      <c r="K132" s="260"/>
      <c r="L132" s="2"/>
      <c r="M132" s="239">
        <f>($M$115)</f>
        <v>0.8385999999999999</v>
      </c>
      <c r="N132" s="139"/>
      <c r="O132" s="260"/>
      <c r="P132" s="260"/>
      <c r="Q132" s="260"/>
      <c r="R132" s="240"/>
      <c r="S132" s="260"/>
    </row>
    <row r="133" spans="1:19" x14ac:dyDescent="0.25">
      <c r="A133" s="2"/>
      <c r="O133" s="260"/>
      <c r="P133" s="260"/>
      <c r="Q133" s="260"/>
      <c r="R133" s="14"/>
      <c r="S133" s="260"/>
    </row>
    <row r="134" spans="1:19" x14ac:dyDescent="0.25">
      <c r="A134" s="2"/>
      <c r="K134" s="100"/>
      <c r="M134" s="155"/>
      <c r="O134" s="260"/>
      <c r="P134" s="260"/>
      <c r="Q134" s="260"/>
      <c r="R134" s="14"/>
      <c r="S134" s="260"/>
    </row>
    <row r="135" spans="1:19" x14ac:dyDescent="0.25">
      <c r="K135" s="100"/>
      <c r="M135" s="155"/>
      <c r="O135" s="260"/>
      <c r="P135" s="260"/>
      <c r="Q135" s="260"/>
      <c r="R135" s="14"/>
      <c r="S135" s="260"/>
    </row>
    <row r="136" spans="1:19" x14ac:dyDescent="0.25">
      <c r="K136" s="100"/>
      <c r="O136" s="260"/>
      <c r="P136" s="260"/>
      <c r="Q136" s="260"/>
      <c r="R136" s="14"/>
      <c r="S136" s="260"/>
    </row>
    <row r="137" spans="1:19" x14ac:dyDescent="0.25">
      <c r="K137" s="100"/>
      <c r="O137" s="260"/>
      <c r="P137" s="260"/>
      <c r="Q137" s="260"/>
      <c r="R137" s="14"/>
      <c r="S137" s="260"/>
    </row>
    <row r="138" spans="1:19" x14ac:dyDescent="0.25">
      <c r="K138" s="100"/>
      <c r="O138" s="260"/>
      <c r="P138" s="260"/>
      <c r="Q138" s="260"/>
      <c r="R138" s="14"/>
      <c r="S138" s="260"/>
    </row>
    <row r="139" spans="1:19" x14ac:dyDescent="0.25">
      <c r="K139" s="100"/>
      <c r="O139" s="14"/>
      <c r="P139" s="14"/>
      <c r="Q139" s="14"/>
      <c r="R139" s="14"/>
      <c r="S139" s="260"/>
    </row>
    <row r="140" spans="1:19" x14ac:dyDescent="0.25">
      <c r="K140" s="100"/>
      <c r="O140" s="14"/>
      <c r="P140" s="14"/>
      <c r="Q140" s="14"/>
      <c r="R140" s="14"/>
    </row>
    <row r="141" spans="1:19" x14ac:dyDescent="0.25">
      <c r="K141" s="100"/>
      <c r="O141" s="14"/>
      <c r="P141" s="14"/>
      <c r="Q141" s="14"/>
      <c r="R141" s="14"/>
    </row>
    <row r="142" spans="1:19" x14ac:dyDescent="0.25">
      <c r="K142" s="100"/>
      <c r="O142" s="14"/>
      <c r="P142" s="14"/>
      <c r="Q142" s="14"/>
      <c r="R142" s="14"/>
    </row>
    <row r="143" spans="1:19" x14ac:dyDescent="0.25">
      <c r="K143" s="100"/>
      <c r="O143" s="14"/>
      <c r="P143" s="14"/>
      <c r="Q143" s="14"/>
      <c r="R143" s="14"/>
    </row>
    <row r="144" spans="1:19" x14ac:dyDescent="0.25">
      <c r="K144" s="100"/>
      <c r="O144" s="14"/>
      <c r="P144" s="14"/>
      <c r="Q144" s="14"/>
      <c r="R144" s="14"/>
    </row>
    <row r="145" spans="15:18" x14ac:dyDescent="0.25">
      <c r="O145" s="14"/>
      <c r="P145" s="14"/>
      <c r="Q145" s="14"/>
      <c r="R145" s="14"/>
    </row>
    <row r="146" spans="15:18" x14ac:dyDescent="0.25">
      <c r="O146" s="14"/>
      <c r="P146" s="14"/>
      <c r="Q146" s="14"/>
      <c r="R146" s="14"/>
    </row>
    <row r="147" spans="15:18" x14ac:dyDescent="0.25">
      <c r="O147" s="14"/>
      <c r="P147" s="14"/>
      <c r="Q147" s="14"/>
      <c r="R147" s="14"/>
    </row>
    <row r="148" spans="15:18" x14ac:dyDescent="0.25">
      <c r="O148" s="14"/>
      <c r="P148" s="14"/>
      <c r="Q148" s="14"/>
      <c r="R148" s="14"/>
    </row>
    <row r="149" spans="15:18" x14ac:dyDescent="0.25">
      <c r="O149" s="14"/>
      <c r="P149" s="14"/>
      <c r="Q149" s="14"/>
      <c r="R149" s="14"/>
    </row>
    <row r="150" spans="15:18" x14ac:dyDescent="0.25">
      <c r="O150" s="14"/>
      <c r="P150" s="14"/>
      <c r="Q150" s="14"/>
      <c r="R150" s="14"/>
    </row>
    <row r="151" spans="15:18" x14ac:dyDescent="0.25">
      <c r="O151" s="14"/>
      <c r="P151" s="14"/>
      <c r="Q151" s="14"/>
      <c r="R151" s="14"/>
    </row>
    <row r="152" spans="15:18" x14ac:dyDescent="0.25">
      <c r="O152" s="14"/>
      <c r="P152" s="14"/>
      <c r="Q152" s="14"/>
      <c r="R152" s="14"/>
    </row>
    <row r="153" spans="15:18" x14ac:dyDescent="0.25">
      <c r="O153" s="14"/>
      <c r="P153" s="14"/>
      <c r="Q153" s="14"/>
      <c r="R153" s="14"/>
    </row>
    <row r="154" spans="15:18" x14ac:dyDescent="0.25">
      <c r="O154" s="14"/>
      <c r="P154" s="14"/>
      <c r="Q154" s="14"/>
      <c r="R154" s="14"/>
    </row>
    <row r="155" spans="15:18" x14ac:dyDescent="0.25">
      <c r="O155" s="14"/>
      <c r="P155" s="14"/>
      <c r="Q155" s="14"/>
      <c r="R155" s="14"/>
    </row>
    <row r="156" spans="15:18" x14ac:dyDescent="0.25">
      <c r="O156" s="14"/>
      <c r="P156" s="14"/>
      <c r="Q156" s="14"/>
      <c r="R156" s="14"/>
    </row>
    <row r="157" spans="15:18" x14ac:dyDescent="0.25">
      <c r="O157" s="14"/>
      <c r="P157" s="14"/>
      <c r="Q157" s="14"/>
      <c r="R157" s="14"/>
    </row>
    <row r="158" spans="15:18" x14ac:dyDescent="0.25">
      <c r="O158" s="14"/>
      <c r="P158" s="14"/>
      <c r="Q158" s="14"/>
      <c r="R158" s="14"/>
    </row>
    <row r="159" spans="15:18" x14ac:dyDescent="0.25">
      <c r="O159" s="14"/>
      <c r="P159" s="14"/>
      <c r="Q159" s="14"/>
      <c r="R159" s="14"/>
    </row>
    <row r="160" spans="15:18" x14ac:dyDescent="0.25">
      <c r="O160" s="14"/>
      <c r="P160" s="14"/>
      <c r="Q160" s="14"/>
      <c r="R160" s="14"/>
    </row>
    <row r="161" spans="15:18" x14ac:dyDescent="0.25">
      <c r="O161" s="14"/>
      <c r="P161" s="14"/>
      <c r="Q161" s="14"/>
      <c r="R161" s="14"/>
    </row>
    <row r="162" spans="15:18" x14ac:dyDescent="0.25">
      <c r="O162" s="14"/>
      <c r="P162" s="14"/>
      <c r="Q162" s="14"/>
      <c r="R162" s="14"/>
    </row>
    <row r="163" spans="15:18" x14ac:dyDescent="0.25">
      <c r="O163" s="14"/>
      <c r="P163" s="14"/>
      <c r="Q163" s="14"/>
      <c r="R163" s="14"/>
    </row>
    <row r="164" spans="15:18" x14ac:dyDescent="0.25">
      <c r="O164" s="14"/>
      <c r="P164" s="14"/>
      <c r="Q164" s="14"/>
      <c r="R164" s="14"/>
    </row>
    <row r="165" spans="15:18" x14ac:dyDescent="0.25">
      <c r="O165" s="14"/>
      <c r="P165" s="14"/>
      <c r="Q165" s="14"/>
      <c r="R165" s="14"/>
    </row>
    <row r="166" spans="15:18" x14ac:dyDescent="0.25">
      <c r="O166" s="14"/>
      <c r="P166" s="14"/>
      <c r="Q166" s="14"/>
      <c r="R166" s="14"/>
    </row>
    <row r="167" spans="15:18" x14ac:dyDescent="0.25">
      <c r="O167" s="14"/>
      <c r="P167" s="14"/>
      <c r="Q167" s="14"/>
      <c r="R167" s="14"/>
    </row>
  </sheetData>
  <mergeCells count="1">
    <mergeCell ref="A5:S5"/>
  </mergeCells>
  <phoneticPr fontId="2" type="noConversion"/>
  <pageMargins left="0.75" right="0.75" top="1" bottom="0.75" header="0.5" footer="0.5"/>
  <pageSetup scale="42" fitToHeight="2" orientation="portrait" blackAndWhite="1" r:id="rId1"/>
  <headerFooter alignWithMargins="0"/>
  <rowBreaks count="1" manualBreakCount="1">
    <brk id="94" max="18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7">
    <tabColor theme="9" tint="0.59999389629810485"/>
  </sheetPr>
  <dimension ref="A1:L111"/>
  <sheetViews>
    <sheetView zoomScale="80" zoomScaleNormal="80" workbookViewId="0"/>
  </sheetViews>
  <sheetFormatPr defaultColWidth="9.77734375" defaultRowHeight="15.75" x14ac:dyDescent="0.25"/>
  <cols>
    <col min="1" max="1" width="2.77734375" style="3" customWidth="1"/>
    <col min="2" max="4" width="9.77734375" style="3"/>
    <col min="5" max="5" width="21.77734375" style="3" customWidth="1"/>
    <col min="6" max="6" width="13.77734375" style="3" customWidth="1"/>
    <col min="7" max="7" width="9.88671875" style="3" customWidth="1"/>
    <col min="8" max="8" width="7.77734375" style="3" customWidth="1"/>
    <col min="9" max="16384" width="9.77734375" style="3"/>
  </cols>
  <sheetData>
    <row r="1" spans="1:8" x14ac:dyDescent="0.25">
      <c r="A1" s="51" t="s">
        <v>162</v>
      </c>
      <c r="B1" s="226"/>
      <c r="C1" s="226"/>
      <c r="D1" s="226"/>
      <c r="E1" s="226"/>
      <c r="F1" s="226"/>
      <c r="G1" s="226"/>
      <c r="H1" s="226"/>
    </row>
    <row r="4" spans="1:8" x14ac:dyDescent="0.25">
      <c r="A4" s="51" t="s">
        <v>607</v>
      </c>
      <c r="B4" s="226"/>
      <c r="C4" s="226"/>
      <c r="D4" s="226"/>
      <c r="E4" s="226"/>
      <c r="F4" s="226"/>
      <c r="G4" s="226"/>
      <c r="H4" s="226"/>
    </row>
    <row r="6" spans="1:8" x14ac:dyDescent="0.25">
      <c r="A6" s="226" t="str">
        <f>CONCATENATE('Input Data'!D4," through ",'Input Data'!D5)</f>
        <v>August 1, 2019 through October 31, 2019</v>
      </c>
      <c r="B6" s="226"/>
      <c r="C6" s="226"/>
      <c r="D6" s="226"/>
      <c r="E6" s="226"/>
      <c r="F6" s="226"/>
      <c r="G6" s="226"/>
      <c r="H6" s="226"/>
    </row>
    <row r="7" spans="1:8" x14ac:dyDescent="0.25">
      <c r="A7" s="241"/>
      <c r="B7" s="241"/>
      <c r="C7" s="241"/>
      <c r="D7" s="241"/>
      <c r="E7" s="241"/>
      <c r="F7" s="241"/>
      <c r="G7" s="241"/>
      <c r="H7" s="241"/>
    </row>
    <row r="9" spans="1:8" x14ac:dyDescent="0.25">
      <c r="B9" s="242"/>
      <c r="G9" s="243"/>
    </row>
    <row r="11" spans="1:8" x14ac:dyDescent="0.25">
      <c r="C11" s="244" t="s">
        <v>163</v>
      </c>
    </row>
    <row r="13" spans="1:8" x14ac:dyDescent="0.25">
      <c r="B13" s="13" t="s">
        <v>164</v>
      </c>
      <c r="G13" s="577">
        <v>550</v>
      </c>
    </row>
    <row r="15" spans="1:8" x14ac:dyDescent="0.25">
      <c r="B15" s="13" t="s">
        <v>581</v>
      </c>
      <c r="G15" s="577">
        <v>750</v>
      </c>
    </row>
    <row r="17" spans="1:8" x14ac:dyDescent="0.25">
      <c r="B17" s="13" t="s">
        <v>583</v>
      </c>
      <c r="G17" s="100">
        <v>4.8899999999999997</v>
      </c>
    </row>
    <row r="19" spans="1:8" x14ac:dyDescent="0.25">
      <c r="B19" s="13" t="s">
        <v>165</v>
      </c>
      <c r="G19" s="100">
        <v>3.7999999999999999E-2</v>
      </c>
    </row>
    <row r="21" spans="1:8" x14ac:dyDescent="0.25">
      <c r="B21" s="3" t="s">
        <v>578</v>
      </c>
      <c r="G21" s="100">
        <v>4.7999999999999996E-3</v>
      </c>
    </row>
    <row r="22" spans="1:8" x14ac:dyDescent="0.25">
      <c r="A22" s="241"/>
      <c r="B22" s="241"/>
      <c r="C22" s="241"/>
      <c r="D22" s="241"/>
      <c r="E22" s="241"/>
      <c r="F22" s="241"/>
      <c r="G22" s="241"/>
      <c r="H22" s="241"/>
    </row>
    <row r="26" spans="1:8" x14ac:dyDescent="0.25">
      <c r="C26" s="244" t="s">
        <v>166</v>
      </c>
    </row>
    <row r="28" spans="1:8" x14ac:dyDescent="0.25">
      <c r="B28" s="13" t="s">
        <v>167</v>
      </c>
      <c r="G28" s="100">
        <f>'Ex A 2 of 2'!F54</f>
        <v>0.161</v>
      </c>
    </row>
    <row r="29" spans="1:8" x14ac:dyDescent="0.25">
      <c r="B29" s="13" t="s">
        <v>168</v>
      </c>
      <c r="G29" s="578">
        <v>0.37969999999999998</v>
      </c>
    </row>
    <row r="30" spans="1:8" x14ac:dyDescent="0.25">
      <c r="B30" s="13" t="s">
        <v>169</v>
      </c>
      <c r="G30" s="100">
        <f>(G28+G29)</f>
        <v>0.54069999999999996</v>
      </c>
    </row>
    <row r="32" spans="1:8" x14ac:dyDescent="0.25">
      <c r="B32" s="3" t="s">
        <v>595</v>
      </c>
    </row>
    <row r="33" spans="2:8" x14ac:dyDescent="0.25">
      <c r="C33" s="3" t="s">
        <v>170</v>
      </c>
      <c r="F33" s="3" t="s">
        <v>171</v>
      </c>
    </row>
    <row r="34" spans="2:8" x14ac:dyDescent="0.25">
      <c r="F34" s="3" t="s">
        <v>172</v>
      </c>
    </row>
    <row r="35" spans="2:8" x14ac:dyDescent="0.25">
      <c r="F35" s="3" t="s">
        <v>553</v>
      </c>
    </row>
    <row r="36" spans="2:8" x14ac:dyDescent="0.25">
      <c r="B36" s="3" t="s">
        <v>595</v>
      </c>
    </row>
    <row r="37" spans="2:8" x14ac:dyDescent="0.25">
      <c r="B37" s="245" t="s">
        <v>173</v>
      </c>
    </row>
    <row r="39" spans="2:8" x14ac:dyDescent="0.25">
      <c r="B39" s="244" t="s">
        <v>174</v>
      </c>
    </row>
    <row r="40" spans="2:8" x14ac:dyDescent="0.25">
      <c r="C40" s="13" t="s">
        <v>175</v>
      </c>
      <c r="F40" s="246"/>
      <c r="G40" s="247">
        <v>1</v>
      </c>
      <c r="H40" s="13"/>
    </row>
    <row r="41" spans="2:8" x14ac:dyDescent="0.25">
      <c r="C41" s="13" t="s">
        <v>176</v>
      </c>
      <c r="G41" s="247">
        <f>(G$40*1.1)</f>
        <v>1.1000000000000001</v>
      </c>
    </row>
    <row r="42" spans="2:8" x14ac:dyDescent="0.25">
      <c r="C42" s="13" t="s">
        <v>176</v>
      </c>
      <c r="G42" s="247">
        <f>(G$40*1.2)</f>
        <v>1.2</v>
      </c>
    </row>
    <row r="43" spans="2:8" x14ac:dyDescent="0.25">
      <c r="C43" s="13" t="s">
        <v>176</v>
      </c>
      <c r="G43" s="247">
        <f>(G$40*1.3)</f>
        <v>1.3</v>
      </c>
    </row>
    <row r="44" spans="2:8" x14ac:dyDescent="0.25">
      <c r="C44" s="13" t="s">
        <v>177</v>
      </c>
      <c r="G44" s="247">
        <f>(G$40*1.4)</f>
        <v>1.4</v>
      </c>
    </row>
    <row r="46" spans="2:8" x14ac:dyDescent="0.25">
      <c r="B46" s="244" t="s">
        <v>178</v>
      </c>
    </row>
    <row r="47" spans="2:8" x14ac:dyDescent="0.25">
      <c r="C47" s="13" t="s">
        <v>175</v>
      </c>
      <c r="G47" s="247">
        <f>(G40)</f>
        <v>1</v>
      </c>
      <c r="H47" s="13"/>
    </row>
    <row r="48" spans="2:8" x14ac:dyDescent="0.25">
      <c r="C48" s="13" t="s">
        <v>176</v>
      </c>
      <c r="G48" s="247">
        <f>(G$40*0.9)</f>
        <v>0.9</v>
      </c>
    </row>
    <row r="49" spans="1:12" x14ac:dyDescent="0.25">
      <c r="C49" s="13" t="s">
        <v>176</v>
      </c>
      <c r="G49" s="247">
        <f>(G$40*0.8)</f>
        <v>0.8</v>
      </c>
    </row>
    <row r="50" spans="1:12" x14ac:dyDescent="0.25">
      <c r="C50" s="13" t="s">
        <v>176</v>
      </c>
      <c r="G50" s="247">
        <f>(G$40*0.7)</f>
        <v>0.7</v>
      </c>
    </row>
    <row r="51" spans="1:12" x14ac:dyDescent="0.25">
      <c r="C51" s="13" t="s">
        <v>177</v>
      </c>
      <c r="G51" s="247">
        <f>(G$40*0.6)</f>
        <v>0.6</v>
      </c>
    </row>
    <row r="52" spans="1:12" x14ac:dyDescent="0.25">
      <c r="C52" s="13"/>
      <c r="G52" s="247"/>
    </row>
    <row r="53" spans="1:12" x14ac:dyDescent="0.25">
      <c r="A53" s="30"/>
      <c r="C53" s="13"/>
      <c r="G53" s="247"/>
    </row>
    <row r="54" spans="1:12" x14ac:dyDescent="0.25">
      <c r="A54" s="248"/>
      <c r="C54" s="13"/>
      <c r="G54" s="247"/>
    </row>
    <row r="55" spans="1:12" x14ac:dyDescent="0.25">
      <c r="A55" s="249"/>
      <c r="B55" s="241"/>
      <c r="C55" s="241"/>
      <c r="D55" s="241"/>
      <c r="E55" s="241"/>
      <c r="F55" s="241"/>
      <c r="G55" s="241"/>
      <c r="H55" s="241"/>
    </row>
    <row r="57" spans="1:12" x14ac:dyDescent="0.25">
      <c r="A57" s="2"/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</row>
    <row r="58" spans="1:12" x14ac:dyDescent="0.25">
      <c r="A58" s="435"/>
      <c r="B58" s="435"/>
      <c r="C58" s="435"/>
      <c r="D58" s="435"/>
      <c r="E58" s="435"/>
      <c r="F58" s="435"/>
      <c r="G58" s="435"/>
      <c r="H58" s="435"/>
      <c r="I58" s="435"/>
      <c r="J58" s="435"/>
      <c r="K58" s="435"/>
      <c r="L58" s="435"/>
    </row>
    <row r="59" spans="1:12" x14ac:dyDescent="0.25">
      <c r="A59" s="435"/>
      <c r="B59" s="435"/>
      <c r="C59" s="435"/>
      <c r="D59" s="435"/>
      <c r="E59" s="435"/>
      <c r="F59" s="435"/>
      <c r="G59" s="435"/>
      <c r="H59" s="435"/>
      <c r="I59" s="435"/>
      <c r="J59" s="435"/>
      <c r="K59" s="435"/>
      <c r="L59" s="435"/>
    </row>
    <row r="60" spans="1:12" x14ac:dyDescent="0.25">
      <c r="A60" s="435"/>
      <c r="B60" s="435"/>
      <c r="C60" s="435"/>
      <c r="D60" s="435"/>
      <c r="E60" s="435"/>
      <c r="F60" s="435"/>
      <c r="G60" s="435"/>
      <c r="H60" s="435"/>
      <c r="I60" s="435"/>
      <c r="J60" s="435"/>
      <c r="K60" s="435"/>
      <c r="L60" s="435"/>
    </row>
    <row r="61" spans="1:12" x14ac:dyDescent="0.25">
      <c r="A61" s="435"/>
      <c r="B61" s="435"/>
      <c r="C61" s="435"/>
      <c r="D61" s="435"/>
      <c r="E61" s="435"/>
      <c r="F61" s="435"/>
      <c r="G61" s="435"/>
      <c r="H61" s="435"/>
      <c r="I61" s="435"/>
      <c r="J61" s="435"/>
      <c r="K61" s="435"/>
      <c r="L61" s="435"/>
    </row>
    <row r="62" spans="1:12" x14ac:dyDescent="0.25">
      <c r="A62" s="435"/>
      <c r="B62" s="435"/>
      <c r="C62" s="435"/>
      <c r="D62" s="435"/>
      <c r="E62" s="435"/>
      <c r="F62" s="435"/>
      <c r="G62" s="435"/>
      <c r="H62" s="435"/>
      <c r="I62" s="435"/>
      <c r="J62" s="435"/>
      <c r="K62" s="435"/>
      <c r="L62" s="435"/>
    </row>
    <row r="63" spans="1:12" x14ac:dyDescent="0.25">
      <c r="A63" s="435"/>
      <c r="B63" s="435"/>
      <c r="C63" s="435"/>
      <c r="D63" s="435"/>
      <c r="E63" s="435"/>
      <c r="F63" s="435"/>
      <c r="G63" s="435"/>
      <c r="H63" s="435"/>
      <c r="I63" s="435"/>
      <c r="J63" s="435"/>
      <c r="K63" s="435"/>
      <c r="L63" s="435"/>
    </row>
    <row r="64" spans="1:12" x14ac:dyDescent="0.25">
      <c r="A64" s="435"/>
      <c r="B64" s="435"/>
      <c r="C64" s="435"/>
      <c r="D64" s="435"/>
      <c r="E64" s="435"/>
      <c r="F64" s="435"/>
      <c r="G64" s="435"/>
      <c r="H64" s="435"/>
      <c r="I64" s="435"/>
      <c r="J64" s="435"/>
      <c r="K64" s="435"/>
      <c r="L64" s="435"/>
    </row>
    <row r="65" spans="1:12" x14ac:dyDescent="0.25">
      <c r="A65" s="435"/>
      <c r="B65" s="435"/>
      <c r="C65" s="435"/>
      <c r="D65" s="435"/>
      <c r="E65" s="435"/>
      <c r="F65" s="435"/>
      <c r="G65" s="435"/>
      <c r="H65" s="435"/>
      <c r="I65" s="435"/>
      <c r="J65" s="435"/>
      <c r="K65" s="435"/>
      <c r="L65" s="435"/>
    </row>
    <row r="66" spans="1:12" x14ac:dyDescent="0.25">
      <c r="A66" s="435"/>
      <c r="B66" s="435"/>
      <c r="C66" s="435"/>
      <c r="D66" s="435"/>
      <c r="E66" s="435"/>
      <c r="F66" s="435"/>
      <c r="G66" s="435"/>
      <c r="H66" s="435"/>
      <c r="I66" s="435"/>
      <c r="J66" s="435"/>
      <c r="K66" s="435"/>
      <c r="L66" s="435"/>
    </row>
    <row r="67" spans="1:12" x14ac:dyDescent="0.25">
      <c r="A67" s="435"/>
      <c r="B67" s="435"/>
      <c r="C67" s="435"/>
      <c r="D67" s="435"/>
      <c r="E67" s="435"/>
      <c r="F67" s="435"/>
      <c r="G67" s="435"/>
      <c r="H67" s="435"/>
      <c r="I67" s="435"/>
      <c r="J67" s="435"/>
      <c r="K67" s="435"/>
      <c r="L67" s="435"/>
    </row>
    <row r="68" spans="1:12" x14ac:dyDescent="0.25">
      <c r="A68" s="435"/>
      <c r="B68" s="435"/>
      <c r="C68" s="435"/>
      <c r="D68" s="435"/>
      <c r="E68" s="435"/>
      <c r="F68" s="435"/>
      <c r="G68" s="435"/>
      <c r="H68" s="435"/>
      <c r="I68" s="435"/>
      <c r="J68" s="435"/>
      <c r="K68" s="435"/>
      <c r="L68" s="435"/>
    </row>
    <row r="69" spans="1:12" x14ac:dyDescent="0.25">
      <c r="A69" s="435"/>
      <c r="B69" s="435"/>
      <c r="C69" s="435"/>
      <c r="D69" s="435"/>
      <c r="E69" s="435"/>
      <c r="F69" s="435"/>
      <c r="G69" s="435"/>
      <c r="H69" s="435"/>
      <c r="I69" s="435"/>
      <c r="J69" s="435"/>
      <c r="K69" s="435"/>
      <c r="L69" s="435"/>
    </row>
    <row r="70" spans="1:12" x14ac:dyDescent="0.25">
      <c r="A70" s="435"/>
      <c r="B70" s="435"/>
      <c r="C70" s="435"/>
      <c r="D70" s="435"/>
      <c r="E70" s="435"/>
      <c r="F70" s="435"/>
      <c r="G70" s="435"/>
      <c r="H70" s="435"/>
      <c r="I70" s="435"/>
      <c r="J70" s="435"/>
      <c r="K70" s="435"/>
      <c r="L70" s="435"/>
    </row>
    <row r="71" spans="1:12" x14ac:dyDescent="0.25">
      <c r="A71" s="435"/>
      <c r="B71" s="435"/>
      <c r="C71" s="435"/>
      <c r="D71" s="435"/>
      <c r="E71" s="435"/>
      <c r="F71" s="435"/>
      <c r="G71" s="435"/>
      <c r="H71" s="435"/>
      <c r="I71" s="435"/>
      <c r="J71" s="435"/>
      <c r="K71" s="435"/>
      <c r="L71" s="435"/>
    </row>
    <row r="72" spans="1:12" x14ac:dyDescent="0.25">
      <c r="A72" s="435"/>
      <c r="B72" s="435"/>
      <c r="C72" s="435"/>
      <c r="D72" s="435"/>
      <c r="E72" s="435"/>
      <c r="F72" s="435"/>
      <c r="G72" s="435"/>
      <c r="H72" s="435"/>
      <c r="I72" s="435"/>
      <c r="J72" s="435"/>
      <c r="K72" s="435"/>
      <c r="L72" s="435"/>
    </row>
    <row r="73" spans="1:12" x14ac:dyDescent="0.25">
      <c r="A73" s="435"/>
      <c r="B73" s="435"/>
      <c r="C73" s="435"/>
      <c r="D73" s="435"/>
      <c r="E73" s="435"/>
      <c r="F73" s="435"/>
      <c r="G73" s="435"/>
      <c r="H73" s="435"/>
      <c r="I73" s="435"/>
      <c r="J73" s="435"/>
      <c r="K73" s="435"/>
      <c r="L73" s="435"/>
    </row>
    <row r="74" spans="1:12" x14ac:dyDescent="0.25">
      <c r="A74" s="435"/>
      <c r="B74" s="435"/>
      <c r="C74" s="435"/>
      <c r="D74" s="435"/>
      <c r="E74" s="435"/>
      <c r="F74" s="435"/>
      <c r="G74" s="435"/>
      <c r="H74" s="435"/>
      <c r="I74" s="435"/>
      <c r="J74" s="435"/>
      <c r="K74" s="435"/>
      <c r="L74" s="435"/>
    </row>
    <row r="75" spans="1:12" x14ac:dyDescent="0.25">
      <c r="A75" s="435"/>
      <c r="B75" s="435"/>
      <c r="C75" s="435"/>
      <c r="D75" s="435"/>
      <c r="E75" s="435"/>
      <c r="F75" s="435"/>
      <c r="G75" s="435"/>
      <c r="H75" s="435"/>
      <c r="I75" s="435"/>
      <c r="J75" s="435"/>
      <c r="K75" s="435"/>
      <c r="L75" s="435"/>
    </row>
    <row r="76" spans="1:12" x14ac:dyDescent="0.25">
      <c r="A76" s="435"/>
      <c r="B76" s="435"/>
      <c r="C76" s="435"/>
      <c r="D76" s="435"/>
      <c r="E76" s="435"/>
      <c r="F76" s="435"/>
      <c r="G76" s="435"/>
      <c r="H76" s="435"/>
      <c r="I76" s="435"/>
      <c r="J76" s="435"/>
      <c r="K76" s="435"/>
      <c r="L76" s="435"/>
    </row>
    <row r="77" spans="1:12" x14ac:dyDescent="0.25">
      <c r="A77" s="435"/>
      <c r="B77" s="435"/>
      <c r="C77" s="435"/>
      <c r="D77" s="435"/>
      <c r="E77" s="435"/>
      <c r="F77" s="435"/>
      <c r="G77" s="435"/>
      <c r="H77" s="435"/>
      <c r="I77" s="435"/>
      <c r="J77" s="435"/>
      <c r="K77" s="435"/>
      <c r="L77" s="435"/>
    </row>
    <row r="78" spans="1:12" x14ac:dyDescent="0.25">
      <c r="A78" s="435"/>
      <c r="B78" s="435"/>
      <c r="C78" s="435"/>
      <c r="D78" s="435"/>
      <c r="E78" s="435"/>
      <c r="F78" s="435"/>
      <c r="G78" s="435"/>
      <c r="H78" s="435"/>
      <c r="I78" s="435"/>
      <c r="J78" s="435"/>
      <c r="K78" s="435"/>
      <c r="L78" s="435"/>
    </row>
    <row r="79" spans="1:12" x14ac:dyDescent="0.25">
      <c r="A79" s="435"/>
      <c r="B79" s="435"/>
      <c r="C79" s="435"/>
      <c r="D79" s="435"/>
      <c r="E79" s="435"/>
      <c r="F79" s="435"/>
      <c r="G79" s="435"/>
      <c r="H79" s="435"/>
      <c r="I79" s="435"/>
      <c r="J79" s="435"/>
      <c r="K79" s="435"/>
      <c r="L79" s="435"/>
    </row>
    <row r="80" spans="1:12" x14ac:dyDescent="0.25">
      <c r="A80" s="435"/>
      <c r="B80" s="435"/>
      <c r="C80" s="435"/>
      <c r="D80" s="435"/>
      <c r="E80" s="435"/>
      <c r="F80" s="435"/>
      <c r="G80" s="435"/>
      <c r="H80" s="435"/>
      <c r="I80" s="435"/>
      <c r="J80" s="435"/>
      <c r="K80" s="435"/>
      <c r="L80" s="435"/>
    </row>
    <row r="81" spans="1:12" x14ac:dyDescent="0.25">
      <c r="A81" s="435"/>
      <c r="B81" s="435"/>
      <c r="C81" s="435"/>
      <c r="D81" s="435"/>
      <c r="E81" s="435"/>
      <c r="F81" s="435"/>
      <c r="G81" s="435"/>
      <c r="H81" s="435"/>
      <c r="I81" s="435"/>
      <c r="J81" s="435"/>
      <c r="K81" s="435"/>
      <c r="L81" s="435"/>
    </row>
    <row r="82" spans="1:12" x14ac:dyDescent="0.25">
      <c r="A82" s="435"/>
      <c r="B82" s="435"/>
      <c r="C82" s="435"/>
      <c r="D82" s="435"/>
      <c r="E82" s="435"/>
      <c r="F82" s="435"/>
      <c r="G82" s="435"/>
      <c r="H82" s="435"/>
      <c r="I82" s="435"/>
      <c r="J82" s="435"/>
      <c r="K82" s="435"/>
      <c r="L82" s="435"/>
    </row>
    <row r="83" spans="1:12" x14ac:dyDescent="0.25">
      <c r="A83" s="435"/>
      <c r="B83" s="435"/>
      <c r="C83" s="435"/>
      <c r="D83" s="435"/>
      <c r="E83" s="435"/>
      <c r="F83" s="435"/>
      <c r="G83" s="435"/>
      <c r="H83" s="435"/>
      <c r="I83" s="435"/>
      <c r="J83" s="435"/>
      <c r="K83" s="435"/>
      <c r="L83" s="435"/>
    </row>
    <row r="84" spans="1:12" x14ac:dyDescent="0.25">
      <c r="A84" s="435"/>
      <c r="B84" s="435"/>
      <c r="C84" s="435"/>
      <c r="D84" s="435"/>
      <c r="E84" s="435"/>
      <c r="F84" s="435"/>
      <c r="G84" s="435"/>
      <c r="H84" s="435"/>
      <c r="I84" s="435"/>
      <c r="J84" s="435"/>
      <c r="K84" s="435"/>
      <c r="L84" s="435"/>
    </row>
    <row r="85" spans="1:12" x14ac:dyDescent="0.25">
      <c r="A85" s="435"/>
      <c r="B85" s="435"/>
      <c r="C85" s="435"/>
      <c r="D85" s="435"/>
      <c r="E85" s="435"/>
      <c r="F85" s="435"/>
      <c r="G85" s="435"/>
      <c r="H85" s="435"/>
      <c r="I85" s="435"/>
      <c r="J85" s="435"/>
      <c r="K85" s="435"/>
      <c r="L85" s="435"/>
    </row>
    <row r="86" spans="1:12" x14ac:dyDescent="0.25">
      <c r="A86" s="435"/>
      <c r="B86" s="435"/>
      <c r="C86" s="435"/>
      <c r="D86" s="435"/>
      <c r="E86" s="435"/>
      <c r="F86" s="435"/>
      <c r="G86" s="435"/>
      <c r="H86" s="435"/>
      <c r="I86" s="435"/>
      <c r="J86" s="435"/>
      <c r="K86" s="435"/>
      <c r="L86" s="435"/>
    </row>
    <row r="87" spans="1:12" x14ac:dyDescent="0.25">
      <c r="A87" s="435"/>
      <c r="B87" s="435"/>
      <c r="C87" s="435"/>
      <c r="D87" s="435"/>
      <c r="E87" s="435"/>
      <c r="F87" s="435"/>
      <c r="G87" s="435"/>
      <c r="H87" s="435"/>
      <c r="I87" s="435"/>
      <c r="J87" s="435"/>
      <c r="K87" s="435"/>
      <c r="L87" s="435"/>
    </row>
    <row r="88" spans="1:12" x14ac:dyDescent="0.25">
      <c r="A88" s="435"/>
      <c r="B88" s="435"/>
      <c r="C88" s="435"/>
      <c r="D88" s="435"/>
      <c r="E88" s="435"/>
      <c r="F88" s="435"/>
      <c r="G88" s="435"/>
      <c r="H88" s="435"/>
      <c r="I88" s="435"/>
      <c r="J88" s="435"/>
      <c r="K88" s="435"/>
      <c r="L88" s="435"/>
    </row>
    <row r="89" spans="1:12" x14ac:dyDescent="0.25">
      <c r="A89" s="435"/>
      <c r="B89" s="435"/>
      <c r="C89" s="435"/>
      <c r="D89" s="435"/>
      <c r="E89" s="435"/>
      <c r="F89" s="435"/>
      <c r="G89" s="435"/>
      <c r="H89" s="435"/>
      <c r="I89" s="435"/>
      <c r="J89" s="435"/>
      <c r="K89" s="435"/>
      <c r="L89" s="435"/>
    </row>
    <row r="90" spans="1:12" x14ac:dyDescent="0.25">
      <c r="A90" s="435"/>
      <c r="B90" s="435"/>
      <c r="C90" s="435"/>
      <c r="D90" s="435"/>
      <c r="E90" s="435"/>
      <c r="F90" s="435"/>
      <c r="G90" s="435"/>
      <c r="H90" s="435"/>
      <c r="I90" s="435"/>
      <c r="J90" s="435"/>
      <c r="K90" s="435"/>
      <c r="L90" s="435"/>
    </row>
    <row r="91" spans="1:12" x14ac:dyDescent="0.25">
      <c r="A91" s="435"/>
      <c r="B91" s="435"/>
      <c r="C91" s="435"/>
      <c r="D91" s="435"/>
      <c r="E91" s="435"/>
      <c r="F91" s="435"/>
      <c r="G91" s="435"/>
      <c r="H91" s="435"/>
      <c r="I91" s="435"/>
      <c r="J91" s="435"/>
      <c r="K91" s="435"/>
      <c r="L91" s="435"/>
    </row>
    <row r="92" spans="1:12" x14ac:dyDescent="0.25">
      <c r="A92" s="435"/>
      <c r="B92" s="435"/>
      <c r="C92" s="435"/>
      <c r="D92" s="435"/>
      <c r="E92" s="435"/>
      <c r="F92" s="435"/>
      <c r="G92" s="435"/>
      <c r="H92" s="435"/>
      <c r="I92" s="435"/>
      <c r="J92" s="435"/>
      <c r="K92" s="435"/>
      <c r="L92" s="435"/>
    </row>
    <row r="93" spans="1:12" x14ac:dyDescent="0.25">
      <c r="A93" s="435"/>
      <c r="B93" s="435"/>
      <c r="C93" s="435"/>
      <c r="D93" s="435"/>
      <c r="E93" s="435"/>
      <c r="F93" s="435"/>
      <c r="G93" s="435"/>
      <c r="H93" s="435"/>
      <c r="I93" s="435"/>
      <c r="J93" s="435"/>
      <c r="K93" s="435"/>
      <c r="L93" s="435"/>
    </row>
    <row r="94" spans="1:12" x14ac:dyDescent="0.25">
      <c r="A94" s="435"/>
      <c r="B94" s="435"/>
      <c r="C94" s="435"/>
      <c r="D94" s="435"/>
      <c r="E94" s="435"/>
      <c r="F94" s="435"/>
      <c r="G94" s="435"/>
      <c r="H94" s="435"/>
      <c r="I94" s="435"/>
      <c r="J94" s="435"/>
      <c r="K94" s="435"/>
      <c r="L94" s="435"/>
    </row>
    <row r="95" spans="1:12" x14ac:dyDescent="0.25">
      <c r="A95" s="435"/>
      <c r="B95" s="435"/>
      <c r="C95" s="435"/>
      <c r="D95" s="435"/>
      <c r="E95" s="435"/>
      <c r="F95" s="435"/>
      <c r="G95" s="435"/>
      <c r="H95" s="435"/>
      <c r="I95" s="435"/>
      <c r="J95" s="435"/>
      <c r="K95" s="435"/>
      <c r="L95" s="435"/>
    </row>
    <row r="96" spans="1:12" x14ac:dyDescent="0.25">
      <c r="A96" s="435"/>
      <c r="B96" s="435"/>
      <c r="C96" s="435"/>
      <c r="D96" s="435"/>
      <c r="E96" s="435"/>
      <c r="F96" s="435"/>
      <c r="G96" s="435"/>
      <c r="H96" s="435"/>
      <c r="I96" s="435"/>
      <c r="J96" s="435"/>
      <c r="K96" s="435"/>
      <c r="L96" s="435"/>
    </row>
    <row r="97" spans="1:12" x14ac:dyDescent="0.25">
      <c r="A97" s="435"/>
      <c r="B97" s="435"/>
      <c r="C97" s="435"/>
      <c r="D97" s="435"/>
      <c r="E97" s="435"/>
      <c r="F97" s="435"/>
      <c r="G97" s="435"/>
      <c r="H97" s="435"/>
      <c r="I97" s="435"/>
      <c r="J97" s="435"/>
      <c r="K97" s="435"/>
      <c r="L97" s="435"/>
    </row>
    <row r="98" spans="1:12" x14ac:dyDescent="0.25">
      <c r="A98" s="435"/>
      <c r="B98" s="435"/>
      <c r="C98" s="435"/>
      <c r="D98" s="435"/>
      <c r="E98" s="435"/>
      <c r="F98" s="435"/>
      <c r="G98" s="435"/>
      <c r="H98" s="435"/>
      <c r="I98" s="435"/>
      <c r="J98" s="435"/>
      <c r="K98" s="435"/>
      <c r="L98" s="435"/>
    </row>
    <row r="99" spans="1:12" x14ac:dyDescent="0.25">
      <c r="A99" s="435"/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</row>
    <row r="100" spans="1:12" x14ac:dyDescent="0.25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</row>
    <row r="101" spans="1:12" x14ac:dyDescent="0.25">
      <c r="A101" s="435"/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  <row r="102" spans="1:12" x14ac:dyDescent="0.25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</row>
    <row r="103" spans="1:12" x14ac:dyDescent="0.25">
      <c r="A103" s="435"/>
      <c r="B103" s="435"/>
      <c r="C103" s="435"/>
      <c r="D103" s="435"/>
      <c r="E103" s="435"/>
      <c r="F103" s="435"/>
      <c r="G103" s="435"/>
      <c r="H103" s="435"/>
      <c r="I103" s="435"/>
      <c r="J103" s="435"/>
      <c r="K103" s="435"/>
      <c r="L103" s="435"/>
    </row>
    <row r="104" spans="1:12" x14ac:dyDescent="0.25">
      <c r="A104" s="435"/>
      <c r="B104" s="435"/>
      <c r="C104" s="435"/>
      <c r="D104" s="435"/>
      <c r="E104" s="435"/>
      <c r="F104" s="435"/>
      <c r="G104" s="435"/>
      <c r="H104" s="435"/>
      <c r="I104" s="435"/>
      <c r="J104" s="435"/>
      <c r="K104" s="435"/>
      <c r="L104" s="435"/>
    </row>
    <row r="105" spans="1:12" x14ac:dyDescent="0.25">
      <c r="A105" s="435"/>
      <c r="B105" s="435"/>
      <c r="C105" s="435"/>
      <c r="D105" s="435"/>
      <c r="E105" s="435"/>
      <c r="F105" s="435"/>
      <c r="G105" s="435"/>
      <c r="H105" s="435"/>
      <c r="I105" s="435"/>
      <c r="J105" s="435"/>
      <c r="K105" s="435"/>
      <c r="L105" s="435"/>
    </row>
    <row r="106" spans="1:12" x14ac:dyDescent="0.25">
      <c r="A106" s="435"/>
      <c r="B106" s="435"/>
      <c r="C106" s="435"/>
      <c r="D106" s="435"/>
      <c r="E106" s="435"/>
      <c r="F106" s="435"/>
      <c r="G106" s="435"/>
      <c r="H106" s="435"/>
      <c r="I106" s="435"/>
      <c r="J106" s="435"/>
      <c r="K106" s="435"/>
      <c r="L106" s="435"/>
    </row>
    <row r="107" spans="1:12" x14ac:dyDescent="0.25">
      <c r="A107" s="435"/>
      <c r="B107" s="435"/>
      <c r="C107" s="435"/>
      <c r="D107" s="435"/>
      <c r="E107" s="435"/>
      <c r="F107" s="435"/>
      <c r="G107" s="435"/>
      <c r="H107" s="435"/>
      <c r="I107" s="435"/>
      <c r="J107" s="435"/>
      <c r="K107" s="435"/>
      <c r="L107" s="435"/>
    </row>
    <row r="108" spans="1:12" x14ac:dyDescent="0.25">
      <c r="A108" s="435"/>
      <c r="B108" s="435"/>
      <c r="C108" s="435"/>
      <c r="D108" s="435"/>
      <c r="E108" s="435"/>
      <c r="F108" s="435"/>
      <c r="G108" s="435"/>
      <c r="H108" s="435"/>
      <c r="I108" s="435"/>
      <c r="J108" s="435"/>
      <c r="K108" s="435"/>
      <c r="L108" s="435"/>
    </row>
    <row r="109" spans="1:12" x14ac:dyDescent="0.25">
      <c r="A109" s="435"/>
      <c r="B109" s="435"/>
      <c r="C109" s="435"/>
      <c r="D109" s="435"/>
      <c r="E109" s="435"/>
      <c r="F109" s="435"/>
      <c r="G109" s="435"/>
      <c r="H109" s="435"/>
      <c r="I109" s="435"/>
      <c r="J109" s="435"/>
      <c r="K109" s="435"/>
      <c r="L109" s="435"/>
    </row>
    <row r="110" spans="1:12" x14ac:dyDescent="0.25">
      <c r="A110" s="435"/>
      <c r="B110" s="435"/>
      <c r="C110" s="435"/>
      <c r="D110" s="435"/>
      <c r="E110" s="435"/>
      <c r="F110" s="435"/>
      <c r="G110" s="435"/>
      <c r="H110" s="435"/>
      <c r="I110" s="435"/>
      <c r="J110" s="435"/>
      <c r="K110" s="435"/>
      <c r="L110" s="435"/>
    </row>
    <row r="111" spans="1:12" x14ac:dyDescent="0.25">
      <c r="A111" s="435"/>
      <c r="B111" s="435"/>
      <c r="C111" s="435"/>
      <c r="D111" s="435"/>
      <c r="E111" s="435"/>
      <c r="F111" s="435"/>
      <c r="G111" s="435"/>
      <c r="H111" s="435"/>
      <c r="I111" s="435"/>
      <c r="J111" s="435"/>
      <c r="K111" s="435"/>
      <c r="L111" s="435"/>
    </row>
  </sheetData>
  <phoneticPr fontId="0" type="noConversion"/>
  <pageMargins left="0.75" right="0.75" top="1" bottom="1" header="0.5" footer="0.5"/>
  <pageSetup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9998168889431442"/>
    <pageSetUpPr fitToPage="1"/>
  </sheetPr>
  <dimension ref="A2:F101"/>
  <sheetViews>
    <sheetView zoomScaleNormal="100" workbookViewId="0">
      <pane ySplit="3" topLeftCell="A70" activePane="bottomLeft" state="frozen"/>
      <selection pane="bottomLeft"/>
    </sheetView>
  </sheetViews>
  <sheetFormatPr defaultColWidth="8.88671875" defaultRowHeight="15" x14ac:dyDescent="0.2"/>
  <cols>
    <col min="1" max="1" width="20.88671875" style="27" customWidth="1"/>
    <col min="2" max="2" width="22.44140625" style="27" customWidth="1"/>
    <col min="3" max="3" width="24.6640625" style="27" customWidth="1"/>
    <col min="4" max="4" width="19.44140625" style="27" customWidth="1"/>
    <col min="5" max="5" width="17.5546875" style="25" customWidth="1"/>
    <col min="6" max="6" width="10.5546875" style="25" bestFit="1" customWidth="1"/>
    <col min="7" max="16384" width="8.88671875" style="25"/>
  </cols>
  <sheetData>
    <row r="2" spans="1:6" x14ac:dyDescent="0.2">
      <c r="A2" s="28">
        <v>1</v>
      </c>
      <c r="B2" s="28">
        <v>2</v>
      </c>
      <c r="C2" s="28">
        <v>3</v>
      </c>
      <c r="D2" s="28">
        <v>4</v>
      </c>
    </row>
    <row r="3" spans="1:6" ht="15.75" x14ac:dyDescent="0.25">
      <c r="A3" s="90" t="s">
        <v>195</v>
      </c>
      <c r="B3" s="90" t="s">
        <v>338</v>
      </c>
      <c r="C3" s="90" t="s">
        <v>116</v>
      </c>
      <c r="D3" s="90" t="s">
        <v>339</v>
      </c>
    </row>
    <row r="5" spans="1:6" ht="15.75" x14ac:dyDescent="0.25">
      <c r="A5" s="141">
        <v>36831</v>
      </c>
      <c r="B5" s="141">
        <f>EOMONTH(A5,2)</f>
        <v>36922</v>
      </c>
      <c r="C5" s="142" t="s">
        <v>85</v>
      </c>
      <c r="D5" s="142"/>
    </row>
    <row r="6" spans="1:6" ht="15.75" x14ac:dyDescent="0.25">
      <c r="A6" s="141">
        <f>EDATE(A5,3)</f>
        <v>36923</v>
      </c>
      <c r="B6" s="141">
        <f t="shared" ref="B6:B51" si="0">EOMONTH(A6,2)</f>
        <v>37011</v>
      </c>
      <c r="C6" s="142" t="s">
        <v>198</v>
      </c>
      <c r="D6" s="142"/>
    </row>
    <row r="7" spans="1:6" ht="15.75" x14ac:dyDescent="0.25">
      <c r="A7" s="141">
        <f t="shared" ref="A7:A51" si="1">EDATE(A6,3)</f>
        <v>37012</v>
      </c>
      <c r="B7" s="141">
        <f t="shared" si="0"/>
        <v>37103</v>
      </c>
      <c r="C7" s="142" t="s">
        <v>199</v>
      </c>
      <c r="D7" s="142"/>
    </row>
    <row r="8" spans="1:6" ht="15.75" x14ac:dyDescent="0.25">
      <c r="A8" s="141">
        <f t="shared" si="1"/>
        <v>37104</v>
      </c>
      <c r="B8" s="141">
        <f t="shared" si="0"/>
        <v>37195</v>
      </c>
      <c r="C8" s="142" t="s">
        <v>200</v>
      </c>
      <c r="D8" s="142"/>
    </row>
    <row r="9" spans="1:6" ht="15.75" x14ac:dyDescent="0.25">
      <c r="A9" s="141">
        <f t="shared" si="1"/>
        <v>37196</v>
      </c>
      <c r="B9" s="141">
        <f t="shared" si="0"/>
        <v>37287</v>
      </c>
      <c r="C9" s="142" t="s">
        <v>201</v>
      </c>
      <c r="D9" s="142"/>
    </row>
    <row r="10" spans="1:6" ht="15.75" x14ac:dyDescent="0.25">
      <c r="A10" s="141">
        <f t="shared" si="1"/>
        <v>37288</v>
      </c>
      <c r="B10" s="141">
        <f t="shared" si="0"/>
        <v>37376</v>
      </c>
      <c r="C10" s="142" t="s">
        <v>202</v>
      </c>
      <c r="D10" s="142"/>
    </row>
    <row r="11" spans="1:6" ht="15.75" x14ac:dyDescent="0.25">
      <c r="A11" s="141">
        <f t="shared" si="1"/>
        <v>37377</v>
      </c>
      <c r="B11" s="141">
        <f t="shared" si="0"/>
        <v>37468</v>
      </c>
      <c r="C11" s="142" t="s">
        <v>203</v>
      </c>
      <c r="D11" s="142"/>
    </row>
    <row r="12" spans="1:6" ht="15.75" x14ac:dyDescent="0.25">
      <c r="A12" s="141">
        <f t="shared" si="1"/>
        <v>37469</v>
      </c>
      <c r="B12" s="141">
        <f t="shared" si="0"/>
        <v>37560</v>
      </c>
      <c r="C12" s="142" t="s">
        <v>179</v>
      </c>
      <c r="D12" s="142"/>
      <c r="E12" s="86"/>
      <c r="F12" s="86"/>
    </row>
    <row r="13" spans="1:6" ht="15.75" x14ac:dyDescent="0.25">
      <c r="A13" s="141">
        <f t="shared" si="1"/>
        <v>37561</v>
      </c>
      <c r="B13" s="141">
        <f t="shared" si="0"/>
        <v>37652</v>
      </c>
      <c r="C13" s="142" t="s">
        <v>180</v>
      </c>
      <c r="D13" s="142"/>
    </row>
    <row r="14" spans="1:6" ht="15.75" x14ac:dyDescent="0.25">
      <c r="A14" s="141">
        <f t="shared" si="1"/>
        <v>37653</v>
      </c>
      <c r="B14" s="141">
        <f t="shared" si="0"/>
        <v>37741</v>
      </c>
      <c r="C14" s="142" t="s">
        <v>181</v>
      </c>
      <c r="D14" s="142" t="str">
        <f>C12</f>
        <v>(Case No. 2002-00261)</v>
      </c>
    </row>
    <row r="15" spans="1:6" ht="15.75" x14ac:dyDescent="0.25">
      <c r="A15" s="141">
        <f t="shared" si="1"/>
        <v>37742</v>
      </c>
      <c r="B15" s="141">
        <f t="shared" si="0"/>
        <v>37833</v>
      </c>
      <c r="C15" s="142" t="s">
        <v>182</v>
      </c>
      <c r="D15" s="142" t="str">
        <f t="shared" ref="D15:D28" si="2">C13</f>
        <v>(Case No. 2002-00368)</v>
      </c>
    </row>
    <row r="16" spans="1:6" ht="15.75" x14ac:dyDescent="0.25">
      <c r="A16" s="141">
        <f t="shared" si="1"/>
        <v>37834</v>
      </c>
      <c r="B16" s="141">
        <f t="shared" si="0"/>
        <v>37925</v>
      </c>
      <c r="C16" s="142" t="s">
        <v>183</v>
      </c>
      <c r="D16" s="142" t="str">
        <f t="shared" si="2"/>
        <v>(Case No. 2003-00004)</v>
      </c>
    </row>
    <row r="17" spans="1:4" ht="15.75" x14ac:dyDescent="0.25">
      <c r="A17" s="141">
        <f t="shared" si="1"/>
        <v>37926</v>
      </c>
      <c r="B17" s="141">
        <f t="shared" si="0"/>
        <v>38017</v>
      </c>
      <c r="C17" s="142" t="s">
        <v>184</v>
      </c>
      <c r="D17" s="142" t="str">
        <f t="shared" si="2"/>
        <v>(Case No. 2003-00121)</v>
      </c>
    </row>
    <row r="18" spans="1:4" ht="15.75" x14ac:dyDescent="0.25">
      <c r="A18" s="141">
        <f t="shared" si="1"/>
        <v>38018</v>
      </c>
      <c r="B18" s="141">
        <f t="shared" si="0"/>
        <v>38107</v>
      </c>
      <c r="C18" s="142" t="s">
        <v>185</v>
      </c>
      <c r="D18" s="142" t="str">
        <f t="shared" si="2"/>
        <v>(Case No. 2003-00260)</v>
      </c>
    </row>
    <row r="19" spans="1:4" ht="15.75" x14ac:dyDescent="0.25">
      <c r="A19" s="141">
        <f t="shared" si="1"/>
        <v>38108</v>
      </c>
      <c r="B19" s="141">
        <f t="shared" si="0"/>
        <v>38199</v>
      </c>
      <c r="C19" s="142" t="s">
        <v>186</v>
      </c>
      <c r="D19" s="142" t="str">
        <f t="shared" si="2"/>
        <v>(Case No. 2003-00385)</v>
      </c>
    </row>
    <row r="20" spans="1:4" ht="15.75" x14ac:dyDescent="0.25">
      <c r="A20" s="141">
        <f t="shared" si="1"/>
        <v>38200</v>
      </c>
      <c r="B20" s="141">
        <f t="shared" si="0"/>
        <v>38291</v>
      </c>
      <c r="C20" s="142" t="s">
        <v>187</v>
      </c>
      <c r="D20" s="142" t="str">
        <f t="shared" si="2"/>
        <v>(Case No. 2004-00506)</v>
      </c>
    </row>
    <row r="21" spans="1:4" ht="15.75" x14ac:dyDescent="0.25">
      <c r="A21" s="141">
        <f t="shared" si="1"/>
        <v>38292</v>
      </c>
      <c r="B21" s="141">
        <f t="shared" si="0"/>
        <v>38383</v>
      </c>
      <c r="C21" s="142" t="s">
        <v>188</v>
      </c>
      <c r="D21" s="142" t="str">
        <f t="shared" si="2"/>
        <v>(Case No. 2004-00117)</v>
      </c>
    </row>
    <row r="22" spans="1:4" ht="15.75" x14ac:dyDescent="0.25">
      <c r="A22" s="141">
        <f t="shared" si="1"/>
        <v>38384</v>
      </c>
      <c r="B22" s="141">
        <f t="shared" si="0"/>
        <v>38472</v>
      </c>
      <c r="C22" s="142" t="s">
        <v>189</v>
      </c>
      <c r="D22" s="142" t="str">
        <f t="shared" si="2"/>
        <v>(Case No. 2004-00271)</v>
      </c>
    </row>
    <row r="23" spans="1:4" ht="15.75" x14ac:dyDescent="0.25">
      <c r="A23" s="141">
        <f t="shared" si="1"/>
        <v>38473</v>
      </c>
      <c r="B23" s="141">
        <f t="shared" si="0"/>
        <v>38564</v>
      </c>
      <c r="C23" s="142" t="s">
        <v>190</v>
      </c>
      <c r="D23" s="142" t="str">
        <f t="shared" si="2"/>
        <v>(Case No. 2004-00390)</v>
      </c>
    </row>
    <row r="24" spans="1:4" ht="15.75" x14ac:dyDescent="0.25">
      <c r="A24" s="141">
        <f t="shared" si="1"/>
        <v>38565</v>
      </c>
      <c r="B24" s="141">
        <f t="shared" si="0"/>
        <v>38656</v>
      </c>
      <c r="C24" s="142" t="s">
        <v>196</v>
      </c>
      <c r="D24" s="142" t="str">
        <f t="shared" si="2"/>
        <v>(Case No. 2004-00526)</v>
      </c>
    </row>
    <row r="25" spans="1:4" ht="15.75" x14ac:dyDescent="0.25">
      <c r="A25" s="141">
        <f t="shared" si="1"/>
        <v>38657</v>
      </c>
      <c r="B25" s="141">
        <f t="shared" si="0"/>
        <v>38748</v>
      </c>
      <c r="C25" s="142" t="s">
        <v>191</v>
      </c>
      <c r="D25" s="142" t="str">
        <f t="shared" si="2"/>
        <v>(Case No. 2005-00143)</v>
      </c>
    </row>
    <row r="26" spans="1:4" ht="15.75" x14ac:dyDescent="0.25">
      <c r="A26" s="141">
        <f t="shared" si="1"/>
        <v>38749</v>
      </c>
      <c r="B26" s="141">
        <f t="shared" si="0"/>
        <v>38837</v>
      </c>
      <c r="C26" s="142" t="s">
        <v>192</v>
      </c>
      <c r="D26" s="142" t="str">
        <f t="shared" si="2"/>
        <v>(Case No. 2005-00274)</v>
      </c>
    </row>
    <row r="27" spans="1:4" ht="15.75" x14ac:dyDescent="0.25">
      <c r="A27" s="141">
        <f t="shared" si="1"/>
        <v>38838</v>
      </c>
      <c r="B27" s="141">
        <f t="shared" si="0"/>
        <v>38929</v>
      </c>
      <c r="C27" s="142" t="s">
        <v>193</v>
      </c>
      <c r="D27" s="142" t="str">
        <f t="shared" si="2"/>
        <v>(Case No. 2005-00401)</v>
      </c>
    </row>
    <row r="28" spans="1:4" ht="15.75" x14ac:dyDescent="0.25">
      <c r="A28" s="141">
        <f t="shared" si="1"/>
        <v>38930</v>
      </c>
      <c r="B28" s="141">
        <f t="shared" si="0"/>
        <v>39021</v>
      </c>
      <c r="C28" s="142" t="s">
        <v>194</v>
      </c>
      <c r="D28" s="142" t="str">
        <f t="shared" si="2"/>
        <v>(Case No. 2006-00005)</v>
      </c>
    </row>
    <row r="29" spans="1:4" ht="15.75" x14ac:dyDescent="0.25">
      <c r="A29" s="141">
        <f t="shared" si="1"/>
        <v>39022</v>
      </c>
      <c r="B29" s="141">
        <f t="shared" si="0"/>
        <v>39113</v>
      </c>
      <c r="C29" s="142" t="s">
        <v>207</v>
      </c>
      <c r="D29" s="142" t="str">
        <f>C27</f>
        <v>(Case No. 2006-00138)</v>
      </c>
    </row>
    <row r="30" spans="1:4" ht="15.75" x14ac:dyDescent="0.25">
      <c r="A30" s="141">
        <f t="shared" si="1"/>
        <v>39114</v>
      </c>
      <c r="B30" s="141">
        <f t="shared" si="0"/>
        <v>39202</v>
      </c>
      <c r="C30" s="142" t="s">
        <v>208</v>
      </c>
      <c r="D30" s="142" t="str">
        <f t="shared" ref="D30:D73" si="3">C28</f>
        <v>(Case No. 2006-00335)</v>
      </c>
    </row>
    <row r="31" spans="1:4" ht="15.75" x14ac:dyDescent="0.25">
      <c r="A31" s="141">
        <f t="shared" si="1"/>
        <v>39203</v>
      </c>
      <c r="B31" s="141">
        <f t="shared" si="0"/>
        <v>39294</v>
      </c>
      <c r="C31" s="142" t="s">
        <v>209</v>
      </c>
      <c r="D31" s="142" t="str">
        <f t="shared" si="3"/>
        <v>(Case No. 2006-00431)</v>
      </c>
    </row>
    <row r="32" spans="1:4" ht="15.75" x14ac:dyDescent="0.25">
      <c r="A32" s="141">
        <f t="shared" si="1"/>
        <v>39295</v>
      </c>
      <c r="B32" s="141">
        <f t="shared" si="0"/>
        <v>39386</v>
      </c>
      <c r="C32" s="142" t="s">
        <v>210</v>
      </c>
      <c r="D32" s="142" t="str">
        <f t="shared" si="3"/>
        <v>(Case No. 2007-00001)</v>
      </c>
    </row>
    <row r="33" spans="1:4" ht="15.75" x14ac:dyDescent="0.25">
      <c r="A33" s="141">
        <f t="shared" si="1"/>
        <v>39387</v>
      </c>
      <c r="B33" s="141">
        <f t="shared" si="0"/>
        <v>39478</v>
      </c>
      <c r="C33" s="142" t="s">
        <v>211</v>
      </c>
      <c r="D33" s="142" t="str">
        <f t="shared" si="3"/>
        <v>(Case No. 2007-00141)</v>
      </c>
    </row>
    <row r="34" spans="1:4" ht="15.75" x14ac:dyDescent="0.25">
      <c r="A34" s="141">
        <f t="shared" si="1"/>
        <v>39479</v>
      </c>
      <c r="B34" s="141">
        <f t="shared" si="0"/>
        <v>39568</v>
      </c>
      <c r="C34" s="142" t="s">
        <v>38</v>
      </c>
      <c r="D34" s="142" t="str">
        <f t="shared" si="3"/>
        <v>(Case No. 2007-00267)</v>
      </c>
    </row>
    <row r="35" spans="1:4" ht="15.75" x14ac:dyDescent="0.25">
      <c r="A35" s="141">
        <f t="shared" si="1"/>
        <v>39569</v>
      </c>
      <c r="B35" s="141">
        <f t="shared" si="0"/>
        <v>39660</v>
      </c>
      <c r="C35" s="142" t="s">
        <v>216</v>
      </c>
      <c r="D35" s="142" t="str">
        <f t="shared" si="3"/>
        <v>(Case No. 2007-00428)</v>
      </c>
    </row>
    <row r="36" spans="1:4" ht="15.75" x14ac:dyDescent="0.25">
      <c r="A36" s="141">
        <f t="shared" si="1"/>
        <v>39661</v>
      </c>
      <c r="B36" s="141">
        <f t="shared" si="0"/>
        <v>39752</v>
      </c>
      <c r="C36" s="142" t="s">
        <v>71</v>
      </c>
      <c r="D36" s="142" t="str">
        <f t="shared" si="3"/>
        <v>(Case No. 2007-00559)</v>
      </c>
    </row>
    <row r="37" spans="1:4" ht="15.75" x14ac:dyDescent="0.25">
      <c r="A37" s="141">
        <f t="shared" si="1"/>
        <v>39753</v>
      </c>
      <c r="B37" s="141">
        <f t="shared" si="0"/>
        <v>39844</v>
      </c>
      <c r="C37" s="142" t="s">
        <v>1</v>
      </c>
      <c r="D37" s="142" t="str">
        <f t="shared" si="3"/>
        <v>(Case No. 2008-00117)</v>
      </c>
    </row>
    <row r="38" spans="1:4" ht="15.75" x14ac:dyDescent="0.25">
      <c r="A38" s="141">
        <f t="shared" si="1"/>
        <v>39845</v>
      </c>
      <c r="B38" s="141">
        <f t="shared" si="0"/>
        <v>39933</v>
      </c>
      <c r="C38" s="142" t="s">
        <v>3</v>
      </c>
      <c r="D38" s="142" t="str">
        <f t="shared" si="3"/>
        <v>(Case No. 2008-00246)</v>
      </c>
    </row>
    <row r="39" spans="1:4" ht="15.75" x14ac:dyDescent="0.25">
      <c r="A39" s="141">
        <f t="shared" si="1"/>
        <v>39934</v>
      </c>
      <c r="B39" s="141">
        <f t="shared" si="0"/>
        <v>40025</v>
      </c>
      <c r="C39" s="142" t="s">
        <v>2</v>
      </c>
      <c r="D39" s="142" t="str">
        <f t="shared" si="3"/>
        <v>(Case No. 2008-00430)</v>
      </c>
    </row>
    <row r="40" spans="1:4" ht="15.75" x14ac:dyDescent="0.25">
      <c r="A40" s="141">
        <f t="shared" si="1"/>
        <v>40026</v>
      </c>
      <c r="B40" s="141">
        <f t="shared" si="0"/>
        <v>40117</v>
      </c>
      <c r="C40" s="142" t="s">
        <v>340</v>
      </c>
      <c r="D40" s="142" t="str">
        <f t="shared" si="3"/>
        <v>(Case No. 2008-00564)</v>
      </c>
    </row>
    <row r="41" spans="1:4" ht="15.75" x14ac:dyDescent="0.25">
      <c r="A41" s="141">
        <f t="shared" si="1"/>
        <v>40118</v>
      </c>
      <c r="B41" s="141">
        <f t="shared" si="0"/>
        <v>40209</v>
      </c>
      <c r="C41" s="142" t="s">
        <v>341</v>
      </c>
      <c r="D41" s="142" t="str">
        <f t="shared" si="3"/>
        <v>(Case No. 2009-00140)</v>
      </c>
    </row>
    <row r="42" spans="1:4" ht="15.75" x14ac:dyDescent="0.25">
      <c r="A42" s="141">
        <f t="shared" si="1"/>
        <v>40210</v>
      </c>
      <c r="B42" s="141">
        <f t="shared" si="0"/>
        <v>40298</v>
      </c>
      <c r="C42" s="142" t="s">
        <v>342</v>
      </c>
      <c r="D42" s="142" t="str">
        <f t="shared" si="3"/>
        <v>(Case No. 2009-00248)</v>
      </c>
    </row>
    <row r="43" spans="1:4" ht="15.75" x14ac:dyDescent="0.25">
      <c r="A43" s="141">
        <f t="shared" si="1"/>
        <v>40299</v>
      </c>
      <c r="B43" s="141">
        <f t="shared" si="0"/>
        <v>40390</v>
      </c>
      <c r="C43" s="142" t="s">
        <v>343</v>
      </c>
      <c r="D43" s="142" t="str">
        <f t="shared" si="3"/>
        <v>(Case No. 2009-00395)</v>
      </c>
    </row>
    <row r="44" spans="1:4" ht="15.75" x14ac:dyDescent="0.25">
      <c r="A44" s="141">
        <f t="shared" si="1"/>
        <v>40391</v>
      </c>
      <c r="B44" s="141">
        <f t="shared" si="0"/>
        <v>40482</v>
      </c>
      <c r="C44" s="142" t="s">
        <v>344</v>
      </c>
      <c r="D44" s="142" t="str">
        <f t="shared" si="3"/>
        <v>(Case No. 2009-00457)</v>
      </c>
    </row>
    <row r="45" spans="1:4" ht="15.75" x14ac:dyDescent="0.25">
      <c r="A45" s="141">
        <f t="shared" si="1"/>
        <v>40483</v>
      </c>
      <c r="B45" s="141">
        <f t="shared" si="0"/>
        <v>40574</v>
      </c>
      <c r="C45" s="142" t="s">
        <v>345</v>
      </c>
      <c r="D45" s="142" t="str">
        <f t="shared" si="3"/>
        <v>(Case No. 2010-00140)</v>
      </c>
    </row>
    <row r="46" spans="1:4" ht="15.75" x14ac:dyDescent="0.25">
      <c r="A46" s="141">
        <f t="shared" si="1"/>
        <v>40575</v>
      </c>
      <c r="B46" s="141">
        <f t="shared" si="0"/>
        <v>40663</v>
      </c>
      <c r="C46" s="142" t="s">
        <v>346</v>
      </c>
      <c r="D46" s="142" t="str">
        <f t="shared" si="3"/>
        <v>(Case No. 2010-00263)</v>
      </c>
    </row>
    <row r="47" spans="1:4" ht="15.75" x14ac:dyDescent="0.25">
      <c r="A47" s="141">
        <f t="shared" si="1"/>
        <v>40664</v>
      </c>
      <c r="B47" s="141">
        <f t="shared" si="0"/>
        <v>40755</v>
      </c>
      <c r="C47" s="142" t="s">
        <v>296</v>
      </c>
      <c r="D47" s="142" t="str">
        <f t="shared" si="3"/>
        <v>(Case No. 2010-00387)</v>
      </c>
    </row>
    <row r="48" spans="1:4" ht="15.75" x14ac:dyDescent="0.25">
      <c r="A48" s="141">
        <f t="shared" si="1"/>
        <v>40756</v>
      </c>
      <c r="B48" s="141">
        <f t="shared" si="0"/>
        <v>40847</v>
      </c>
      <c r="C48" s="142" t="s">
        <v>295</v>
      </c>
      <c r="D48" s="142" t="str">
        <f t="shared" si="3"/>
        <v>(Case No. 2010-00525)</v>
      </c>
    </row>
    <row r="49" spans="1:4" ht="15.75" x14ac:dyDescent="0.25">
      <c r="A49" s="141">
        <f t="shared" si="1"/>
        <v>40848</v>
      </c>
      <c r="B49" s="141">
        <f t="shared" si="0"/>
        <v>40939</v>
      </c>
      <c r="C49" s="142" t="s">
        <v>294</v>
      </c>
      <c r="D49" s="142" t="str">
        <f t="shared" si="3"/>
        <v>2011-00119</v>
      </c>
    </row>
    <row r="50" spans="1:4" ht="15.75" x14ac:dyDescent="0.25">
      <c r="A50" s="141">
        <f t="shared" si="1"/>
        <v>40940</v>
      </c>
      <c r="B50" s="141">
        <f t="shared" si="0"/>
        <v>41029</v>
      </c>
      <c r="C50" s="142" t="s">
        <v>236</v>
      </c>
      <c r="D50" s="142" t="str">
        <f t="shared" si="3"/>
        <v>2011-00228</v>
      </c>
    </row>
    <row r="51" spans="1:4" ht="15.75" x14ac:dyDescent="0.25">
      <c r="A51" s="141">
        <f t="shared" si="1"/>
        <v>41030</v>
      </c>
      <c r="B51" s="141">
        <f t="shared" si="0"/>
        <v>41121</v>
      </c>
      <c r="C51" s="142" t="s">
        <v>266</v>
      </c>
      <c r="D51" s="142" t="str">
        <f t="shared" si="3"/>
        <v>2011-00402</v>
      </c>
    </row>
    <row r="52" spans="1:4" ht="15.75" x14ac:dyDescent="0.25">
      <c r="A52" s="141">
        <v>41122</v>
      </c>
      <c r="B52" s="141">
        <f t="shared" ref="B52:B73" si="4">EOMONTH(A52,2)</f>
        <v>41213</v>
      </c>
      <c r="C52" s="142" t="s">
        <v>329</v>
      </c>
      <c r="D52" s="142" t="str">
        <f t="shared" si="3"/>
        <v>2011-00523</v>
      </c>
    </row>
    <row r="53" spans="1:4" ht="15.75" x14ac:dyDescent="0.25">
      <c r="A53" s="141">
        <v>41214</v>
      </c>
      <c r="B53" s="141">
        <f t="shared" si="4"/>
        <v>41305</v>
      </c>
      <c r="C53" s="142" t="s">
        <v>354</v>
      </c>
      <c r="D53" s="142" t="str">
        <f t="shared" si="3"/>
        <v>2012-00125</v>
      </c>
    </row>
    <row r="54" spans="1:4" ht="15.75" x14ac:dyDescent="0.25">
      <c r="A54" s="141">
        <v>41306</v>
      </c>
      <c r="B54" s="141">
        <f t="shared" si="4"/>
        <v>41394</v>
      </c>
      <c r="C54" s="142" t="s">
        <v>355</v>
      </c>
      <c r="D54" s="142" t="str">
        <f t="shared" si="3"/>
        <v>2012-00286</v>
      </c>
    </row>
    <row r="55" spans="1:4" ht="15.75" x14ac:dyDescent="0.25">
      <c r="A55" s="141">
        <v>41395</v>
      </c>
      <c r="B55" s="141">
        <f t="shared" si="4"/>
        <v>41486</v>
      </c>
      <c r="C55" s="142" t="s">
        <v>365</v>
      </c>
      <c r="D55" s="142" t="str">
        <f t="shared" si="3"/>
        <v>2012-00446</v>
      </c>
    </row>
    <row r="56" spans="1:4" ht="15.75" x14ac:dyDescent="0.25">
      <c r="A56" s="141">
        <v>41487</v>
      </c>
      <c r="B56" s="141">
        <f t="shared" si="4"/>
        <v>41578</v>
      </c>
      <c r="C56" s="142" t="s">
        <v>373</v>
      </c>
      <c r="D56" s="142" t="str">
        <f t="shared" si="3"/>
        <v>2012-00591</v>
      </c>
    </row>
    <row r="57" spans="1:4" ht="15.75" x14ac:dyDescent="0.25">
      <c r="A57" s="141">
        <v>41579</v>
      </c>
      <c r="B57" s="141">
        <f t="shared" si="4"/>
        <v>41670</v>
      </c>
      <c r="C57" s="142" t="s">
        <v>386</v>
      </c>
      <c r="D57" s="142" t="str">
        <f t="shared" si="3"/>
        <v>2013-00126</v>
      </c>
    </row>
    <row r="58" spans="1:4" ht="15.75" x14ac:dyDescent="0.25">
      <c r="A58" s="141">
        <v>41671</v>
      </c>
      <c r="B58" s="141">
        <f t="shared" si="4"/>
        <v>41759</v>
      </c>
      <c r="C58" s="142" t="s">
        <v>404</v>
      </c>
      <c r="D58" s="142" t="str">
        <f t="shared" si="3"/>
        <v>2013-00253</v>
      </c>
    </row>
    <row r="59" spans="1:4" ht="15.75" x14ac:dyDescent="0.25">
      <c r="A59" s="141">
        <v>41760</v>
      </c>
      <c r="B59" s="141">
        <f t="shared" si="4"/>
        <v>41851</v>
      </c>
      <c r="C59" s="142" t="s">
        <v>407</v>
      </c>
      <c r="D59" s="142" t="str">
        <f t="shared" si="3"/>
        <v>2013-00361</v>
      </c>
    </row>
    <row r="60" spans="1:4" ht="15.75" x14ac:dyDescent="0.25">
      <c r="A60" s="141">
        <v>41852</v>
      </c>
      <c r="B60" s="141">
        <f t="shared" si="4"/>
        <v>41943</v>
      </c>
      <c r="C60" s="142" t="s">
        <v>414</v>
      </c>
      <c r="D60" s="142" t="str">
        <f t="shared" si="3"/>
        <v>2013-00486</v>
      </c>
    </row>
    <row r="61" spans="1:4" ht="15.75" x14ac:dyDescent="0.25">
      <c r="A61" s="141">
        <v>41944</v>
      </c>
      <c r="B61" s="141">
        <f t="shared" si="4"/>
        <v>42035</v>
      </c>
      <c r="C61" s="142" t="s">
        <v>419</v>
      </c>
      <c r="D61" s="142" t="str">
        <f t="shared" si="3"/>
        <v>2014-00115</v>
      </c>
    </row>
    <row r="62" spans="1:4" ht="15.75" x14ac:dyDescent="0.25">
      <c r="A62" s="141">
        <v>42036</v>
      </c>
      <c r="B62" s="141">
        <f t="shared" si="4"/>
        <v>42124</v>
      </c>
      <c r="C62" s="142" t="s">
        <v>420</v>
      </c>
      <c r="D62" s="142" t="str">
        <f t="shared" si="3"/>
        <v>2014-00217</v>
      </c>
    </row>
    <row r="63" spans="1:4" ht="15.75" x14ac:dyDescent="0.25">
      <c r="A63" s="141">
        <v>42125</v>
      </c>
      <c r="B63" s="141">
        <f t="shared" si="4"/>
        <v>42216</v>
      </c>
      <c r="C63" s="142" t="s">
        <v>423</v>
      </c>
      <c r="D63" s="142" t="str">
        <f t="shared" si="3"/>
        <v>2014-00348</v>
      </c>
    </row>
    <row r="64" spans="1:4" ht="15.75" x14ac:dyDescent="0.25">
      <c r="A64" s="141">
        <v>42217</v>
      </c>
      <c r="B64" s="141">
        <f t="shared" si="4"/>
        <v>42308</v>
      </c>
      <c r="C64" s="142" t="s">
        <v>437</v>
      </c>
      <c r="D64" s="142" t="str">
        <f t="shared" si="3"/>
        <v>2014-00475</v>
      </c>
    </row>
    <row r="65" spans="1:4" ht="15.75" x14ac:dyDescent="0.25">
      <c r="A65" s="141">
        <v>42309</v>
      </c>
      <c r="B65" s="141">
        <f t="shared" si="4"/>
        <v>42400</v>
      </c>
      <c r="C65" s="142" t="s">
        <v>460</v>
      </c>
      <c r="D65" s="142" t="str">
        <f t="shared" si="3"/>
        <v>2015-00105</v>
      </c>
    </row>
    <row r="66" spans="1:4" ht="15.75" x14ac:dyDescent="0.25">
      <c r="A66" s="141">
        <v>42401</v>
      </c>
      <c r="B66" s="141">
        <f t="shared" si="4"/>
        <v>42490</v>
      </c>
      <c r="C66" s="142" t="s">
        <v>482</v>
      </c>
      <c r="D66" s="142" t="str">
        <f t="shared" si="3"/>
        <v>2015-00218</v>
      </c>
    </row>
    <row r="67" spans="1:4" ht="15.75" x14ac:dyDescent="0.25">
      <c r="A67" s="141">
        <v>42491</v>
      </c>
      <c r="B67" s="141">
        <f t="shared" si="4"/>
        <v>42582</v>
      </c>
      <c r="C67" s="142" t="s">
        <v>555</v>
      </c>
      <c r="D67" s="142" t="str">
        <f t="shared" si="3"/>
        <v>2015-00329</v>
      </c>
    </row>
    <row r="68" spans="1:4" ht="15.75" x14ac:dyDescent="0.25">
      <c r="A68" s="141">
        <v>42583</v>
      </c>
      <c r="B68" s="141">
        <f t="shared" si="4"/>
        <v>42674</v>
      </c>
      <c r="C68" s="142" t="s">
        <v>537</v>
      </c>
      <c r="D68" s="142" t="str">
        <f t="shared" si="3"/>
        <v>2015-00429</v>
      </c>
    </row>
    <row r="69" spans="1:4" ht="15.75" x14ac:dyDescent="0.25">
      <c r="A69" s="141">
        <v>42675</v>
      </c>
      <c r="B69" s="141">
        <f t="shared" si="4"/>
        <v>42766</v>
      </c>
      <c r="C69" s="142" t="s">
        <v>554</v>
      </c>
      <c r="D69" s="142" t="str">
        <f t="shared" si="3"/>
        <v>2016-00137</v>
      </c>
    </row>
    <row r="70" spans="1:4" ht="15.75" x14ac:dyDescent="0.25">
      <c r="A70" s="141">
        <v>42767</v>
      </c>
      <c r="B70" s="141">
        <f t="shared" si="4"/>
        <v>42855</v>
      </c>
      <c r="C70" s="142" t="s">
        <v>556</v>
      </c>
      <c r="D70" s="142" t="str">
        <f t="shared" si="3"/>
        <v>2016-00225</v>
      </c>
    </row>
    <row r="71" spans="1:4" ht="15.75" x14ac:dyDescent="0.25">
      <c r="A71" s="141">
        <v>42856</v>
      </c>
      <c r="B71" s="141">
        <f t="shared" si="4"/>
        <v>42947</v>
      </c>
      <c r="C71" s="142" t="s">
        <v>572</v>
      </c>
      <c r="D71" s="142" t="str">
        <f t="shared" si="3"/>
        <v>2016-00353</v>
      </c>
    </row>
    <row r="72" spans="1:4" ht="15.75" x14ac:dyDescent="0.25">
      <c r="A72" s="141">
        <v>42948</v>
      </c>
      <c r="B72" s="141">
        <f t="shared" si="4"/>
        <v>43039</v>
      </c>
      <c r="C72" s="142" t="s">
        <v>574</v>
      </c>
      <c r="D72" s="142" t="str">
        <f t="shared" si="3"/>
        <v>2016-00428</v>
      </c>
    </row>
    <row r="73" spans="1:4" ht="15.75" x14ac:dyDescent="0.25">
      <c r="A73" s="141">
        <v>43040</v>
      </c>
      <c r="B73" s="141">
        <f t="shared" si="4"/>
        <v>43131</v>
      </c>
      <c r="C73" s="142" t="s">
        <v>589</v>
      </c>
      <c r="D73" s="142" t="str">
        <f t="shared" si="3"/>
        <v>2017-00131</v>
      </c>
    </row>
    <row r="74" spans="1:4" ht="15.75" x14ac:dyDescent="0.25">
      <c r="A74" s="141">
        <v>43132</v>
      </c>
      <c r="B74" s="141">
        <f t="shared" ref="B74:B76" si="5">EOMONTH(A74,2)</f>
        <v>43220</v>
      </c>
      <c r="C74" s="13" t="s">
        <v>592</v>
      </c>
      <c r="D74" s="142" t="str">
        <f t="shared" ref="D74:D76" si="6">C72</f>
        <v>2017-00235</v>
      </c>
    </row>
    <row r="75" spans="1:4" ht="15.75" x14ac:dyDescent="0.25">
      <c r="A75" s="141">
        <v>43221</v>
      </c>
      <c r="B75" s="141">
        <f t="shared" si="5"/>
        <v>43312</v>
      </c>
      <c r="C75" s="13" t="s">
        <v>593</v>
      </c>
      <c r="D75" s="142" t="str">
        <f t="shared" si="6"/>
        <v>2017-00364</v>
      </c>
    </row>
    <row r="76" spans="1:4" ht="15.75" x14ac:dyDescent="0.25">
      <c r="A76" s="141">
        <v>43313</v>
      </c>
      <c r="B76" s="141">
        <f t="shared" si="5"/>
        <v>43404</v>
      </c>
      <c r="C76" s="142" t="s">
        <v>602</v>
      </c>
      <c r="D76" s="142" t="str">
        <f t="shared" si="6"/>
        <v>2017-00457</v>
      </c>
    </row>
    <row r="77" spans="1:4" ht="15.75" x14ac:dyDescent="0.25">
      <c r="A77" s="141">
        <v>43405</v>
      </c>
      <c r="B77" s="141">
        <f t="shared" ref="B77:B78" si="7">EOMONTH(A77,2)</f>
        <v>43496</v>
      </c>
      <c r="C77" s="142" t="s">
        <v>608</v>
      </c>
      <c r="D77" s="142" t="str">
        <f t="shared" ref="D77:D78" si="8">C75</f>
        <v>2018-00088</v>
      </c>
    </row>
    <row r="78" spans="1:4" ht="15.75" x14ac:dyDescent="0.25">
      <c r="A78" s="141">
        <v>43497</v>
      </c>
      <c r="B78" s="141">
        <f t="shared" si="7"/>
        <v>43585</v>
      </c>
      <c r="C78" s="13" t="s">
        <v>619</v>
      </c>
      <c r="D78" s="142" t="str">
        <f t="shared" si="8"/>
        <v>2018-00182</v>
      </c>
    </row>
    <row r="79" spans="1:4" ht="15.75" x14ac:dyDescent="0.25">
      <c r="A79" s="141">
        <v>43586</v>
      </c>
      <c r="B79" s="141">
        <f t="shared" ref="B79" si="9">EOMONTH(A79,2)</f>
        <v>43677</v>
      </c>
      <c r="C79" s="13" t="s">
        <v>620</v>
      </c>
      <c r="D79" s="142" t="str">
        <f>C77</f>
        <v>2018-00302</v>
      </c>
    </row>
    <row r="80" spans="1:4" ht="15.75" x14ac:dyDescent="0.25">
      <c r="A80" s="141">
        <v>43678</v>
      </c>
      <c r="B80" s="141">
        <f>EOMONTH(A80,2)</f>
        <v>43769</v>
      </c>
      <c r="C80" s="13" t="s">
        <v>625</v>
      </c>
      <c r="D80" s="142" t="str">
        <f>C78</f>
        <v>2018-00403</v>
      </c>
    </row>
    <row r="81" spans="1:4" ht="15.75" x14ac:dyDescent="0.25">
      <c r="A81" s="141"/>
      <c r="B81" s="141"/>
      <c r="C81" s="142"/>
      <c r="D81" s="142"/>
    </row>
    <row r="82" spans="1:4" ht="15.75" x14ac:dyDescent="0.25">
      <c r="A82" s="141"/>
      <c r="B82" s="141"/>
      <c r="C82" s="142"/>
      <c r="D82" s="142"/>
    </row>
    <row r="83" spans="1:4" ht="15.75" x14ac:dyDescent="0.25">
      <c r="A83" s="141"/>
      <c r="B83" s="141"/>
      <c r="C83" s="142"/>
      <c r="D83" s="142"/>
    </row>
    <row r="84" spans="1:4" ht="15.75" x14ac:dyDescent="0.25">
      <c r="A84" s="141"/>
      <c r="B84" s="141"/>
      <c r="C84" s="142"/>
      <c r="D84" s="142"/>
    </row>
    <row r="85" spans="1:4" ht="15.75" x14ac:dyDescent="0.25">
      <c r="A85" s="141"/>
      <c r="B85" s="141"/>
      <c r="C85" s="142"/>
      <c r="D85" s="142"/>
    </row>
    <row r="86" spans="1:4" ht="15.75" x14ac:dyDescent="0.25">
      <c r="C86" s="142"/>
      <c r="D86" s="142"/>
    </row>
    <row r="87" spans="1:4" ht="15.75" x14ac:dyDescent="0.25">
      <c r="C87" s="142"/>
      <c r="D87" s="142"/>
    </row>
    <row r="88" spans="1:4" ht="15.75" x14ac:dyDescent="0.25">
      <c r="C88" s="142"/>
      <c r="D88" s="142"/>
    </row>
    <row r="89" spans="1:4" ht="15.75" x14ac:dyDescent="0.25">
      <c r="C89" s="142"/>
      <c r="D89" s="142"/>
    </row>
    <row r="90" spans="1:4" ht="15.75" x14ac:dyDescent="0.25">
      <c r="C90" s="142"/>
      <c r="D90" s="142"/>
    </row>
    <row r="91" spans="1:4" ht="15.75" x14ac:dyDescent="0.25">
      <c r="C91" s="142"/>
      <c r="D91" s="142"/>
    </row>
    <row r="92" spans="1:4" ht="15.75" x14ac:dyDescent="0.25">
      <c r="C92" s="142"/>
      <c r="D92" s="142"/>
    </row>
    <row r="93" spans="1:4" ht="15.75" x14ac:dyDescent="0.25">
      <c r="C93" s="142"/>
      <c r="D93" s="142"/>
    </row>
    <row r="94" spans="1:4" ht="15.75" x14ac:dyDescent="0.25">
      <c r="C94" s="142"/>
      <c r="D94" s="142"/>
    </row>
    <row r="95" spans="1:4" ht="15.75" x14ac:dyDescent="0.25">
      <c r="C95" s="142"/>
      <c r="D95" s="142"/>
    </row>
    <row r="96" spans="1:4" ht="15.75" x14ac:dyDescent="0.25">
      <c r="C96" s="142"/>
      <c r="D96" s="142"/>
    </row>
    <row r="97" spans="3:4" ht="15.75" x14ac:dyDescent="0.25">
      <c r="C97" s="142"/>
      <c r="D97" s="142"/>
    </row>
    <row r="98" spans="3:4" ht="15.75" x14ac:dyDescent="0.25">
      <c r="C98" s="142"/>
      <c r="D98" s="142"/>
    </row>
    <row r="99" spans="3:4" ht="15.75" x14ac:dyDescent="0.25">
      <c r="C99" s="142"/>
      <c r="D99" s="142"/>
    </row>
    <row r="100" spans="3:4" ht="15.75" x14ac:dyDescent="0.25">
      <c r="D100" s="142"/>
    </row>
    <row r="101" spans="3:4" ht="15.75" x14ac:dyDescent="0.25">
      <c r="D101" s="142"/>
    </row>
  </sheetData>
  <phoneticPr fontId="2" type="noConversion"/>
  <pageMargins left="0.75" right="0.75" top="1" bottom="1" header="0.5" footer="0.5"/>
  <pageSetup scale="8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 tint="0.59999389629810485"/>
  </sheetPr>
  <dimension ref="A1:L111"/>
  <sheetViews>
    <sheetView zoomScale="80" zoomScaleNormal="80" workbookViewId="0"/>
  </sheetViews>
  <sheetFormatPr defaultColWidth="9.77734375" defaultRowHeight="15.75" x14ac:dyDescent="0.25"/>
  <cols>
    <col min="1" max="1" width="2.77734375" style="3" customWidth="1"/>
    <col min="2" max="4" width="9.77734375" style="3"/>
    <col min="5" max="5" width="21.77734375" style="3" customWidth="1"/>
    <col min="6" max="6" width="13.77734375" style="3" customWidth="1"/>
    <col min="7" max="7" width="9.88671875" style="3" customWidth="1"/>
    <col min="8" max="8" width="7.77734375" style="3" customWidth="1"/>
    <col min="9" max="16384" width="9.77734375" style="3"/>
  </cols>
  <sheetData>
    <row r="1" spans="1:8" x14ac:dyDescent="0.25">
      <c r="A1" s="51" t="s">
        <v>162</v>
      </c>
      <c r="B1" s="226"/>
      <c r="C1" s="226"/>
      <c r="D1" s="226"/>
      <c r="E1" s="226"/>
      <c r="F1" s="226"/>
      <c r="G1" s="226"/>
      <c r="H1" s="226"/>
    </row>
    <row r="4" spans="1:8" x14ac:dyDescent="0.25">
      <c r="A4" s="51" t="s">
        <v>606</v>
      </c>
      <c r="B4" s="226"/>
      <c r="C4" s="226"/>
      <c r="D4" s="226"/>
      <c r="E4" s="226"/>
      <c r="F4" s="226"/>
      <c r="G4" s="226"/>
      <c r="H4" s="226"/>
    </row>
    <row r="6" spans="1:8" x14ac:dyDescent="0.25">
      <c r="A6" s="226" t="str">
        <f>CONCATENATE('Input Data'!D4," through ",'Input Data'!D5)</f>
        <v>August 1, 2019 through October 31, 2019</v>
      </c>
      <c r="B6" s="226"/>
      <c r="C6" s="226"/>
      <c r="D6" s="226"/>
      <c r="E6" s="226"/>
      <c r="F6" s="226"/>
      <c r="G6" s="226"/>
      <c r="H6" s="226"/>
    </row>
    <row r="7" spans="1:8" x14ac:dyDescent="0.25">
      <c r="A7" s="241"/>
      <c r="B7" s="241"/>
      <c r="C7" s="241"/>
      <c r="D7" s="241"/>
      <c r="E7" s="241"/>
      <c r="F7" s="241"/>
      <c r="G7" s="241"/>
      <c r="H7" s="241"/>
    </row>
    <row r="9" spans="1:8" x14ac:dyDescent="0.25">
      <c r="B9" s="242"/>
      <c r="G9" s="243"/>
    </row>
    <row r="11" spans="1:8" x14ac:dyDescent="0.25">
      <c r="C11" s="244" t="s">
        <v>580</v>
      </c>
    </row>
    <row r="13" spans="1:8" x14ac:dyDescent="0.25">
      <c r="B13" s="13" t="s">
        <v>164</v>
      </c>
      <c r="G13" s="577">
        <v>550</v>
      </c>
    </row>
    <row r="15" spans="1:8" x14ac:dyDescent="0.25">
      <c r="B15" s="13" t="s">
        <v>581</v>
      </c>
      <c r="G15" s="577">
        <v>750</v>
      </c>
    </row>
    <row r="17" spans="1:8" x14ac:dyDescent="0.25">
      <c r="B17" s="13" t="s">
        <v>583</v>
      </c>
      <c r="G17" s="100">
        <v>4.8899999999999997</v>
      </c>
    </row>
    <row r="19" spans="1:8" x14ac:dyDescent="0.25">
      <c r="B19" s="13" t="s">
        <v>165</v>
      </c>
      <c r="G19" s="100">
        <v>3.7999999999999999E-2</v>
      </c>
    </row>
    <row r="20" spans="1:8" x14ac:dyDescent="0.25">
      <c r="B20" s="13"/>
      <c r="G20" s="100"/>
    </row>
    <row r="21" spans="1:8" x14ac:dyDescent="0.25">
      <c r="B21" s="3" t="s">
        <v>578</v>
      </c>
      <c r="G21" s="100">
        <v>4.7999999999999996E-3</v>
      </c>
    </row>
    <row r="22" spans="1:8" x14ac:dyDescent="0.25">
      <c r="A22" s="241"/>
      <c r="B22" s="241"/>
      <c r="C22" s="241"/>
      <c r="D22" s="241"/>
      <c r="E22" s="241"/>
      <c r="F22" s="241"/>
      <c r="G22" s="241"/>
      <c r="H22" s="241"/>
    </row>
    <row r="26" spans="1:8" x14ac:dyDescent="0.25">
      <c r="C26" s="244" t="s">
        <v>166</v>
      </c>
    </row>
    <row r="28" spans="1:8" x14ac:dyDescent="0.25">
      <c r="B28" s="13" t="s">
        <v>167</v>
      </c>
      <c r="G28" s="100">
        <f>'Ex A 2 of 2'!F54</f>
        <v>0.161</v>
      </c>
    </row>
    <row r="29" spans="1:8" x14ac:dyDescent="0.25">
      <c r="B29" s="13" t="s">
        <v>168</v>
      </c>
      <c r="G29" s="578">
        <v>0.37969999999999998</v>
      </c>
    </row>
    <row r="30" spans="1:8" x14ac:dyDescent="0.25">
      <c r="B30" s="13" t="s">
        <v>169</v>
      </c>
      <c r="G30" s="100">
        <f>(G28+G29)</f>
        <v>0.54069999999999996</v>
      </c>
    </row>
    <row r="32" spans="1:8" x14ac:dyDescent="0.25">
      <c r="B32" s="3" t="s">
        <v>595</v>
      </c>
    </row>
    <row r="33" spans="2:8" x14ac:dyDescent="0.25">
      <c r="C33" s="3" t="s">
        <v>170</v>
      </c>
      <c r="F33" s="3" t="s">
        <v>171</v>
      </c>
    </row>
    <row r="34" spans="2:8" x14ac:dyDescent="0.25">
      <c r="F34" s="3" t="s">
        <v>172</v>
      </c>
    </row>
    <row r="35" spans="2:8" x14ac:dyDescent="0.25">
      <c r="F35" s="3" t="s">
        <v>582</v>
      </c>
    </row>
    <row r="36" spans="2:8" x14ac:dyDescent="0.25">
      <c r="B36" s="3" t="s">
        <v>595</v>
      </c>
    </row>
    <row r="37" spans="2:8" x14ac:dyDescent="0.25">
      <c r="B37" s="245" t="s">
        <v>173</v>
      </c>
    </row>
    <row r="39" spans="2:8" x14ac:dyDescent="0.25">
      <c r="B39" s="244" t="s">
        <v>587</v>
      </c>
    </row>
    <row r="40" spans="2:8" x14ac:dyDescent="0.25">
      <c r="C40" s="13" t="s">
        <v>175</v>
      </c>
      <c r="F40" s="246"/>
      <c r="G40" s="247">
        <v>1</v>
      </c>
      <c r="H40" s="13"/>
    </row>
    <row r="41" spans="2:8" x14ac:dyDescent="0.25">
      <c r="C41" s="13" t="s">
        <v>176</v>
      </c>
      <c r="G41" s="247">
        <f>(G$40*1.1)</f>
        <v>1.1000000000000001</v>
      </c>
    </row>
    <row r="42" spans="2:8" x14ac:dyDescent="0.25">
      <c r="C42" s="13" t="s">
        <v>176</v>
      </c>
      <c r="G42" s="247">
        <f>(G$40*1.2)</f>
        <v>1.2</v>
      </c>
    </row>
    <row r="43" spans="2:8" x14ac:dyDescent="0.25">
      <c r="C43" s="13" t="s">
        <v>176</v>
      </c>
      <c r="G43" s="247">
        <f>(G$40*1.3)</f>
        <v>1.3</v>
      </c>
    </row>
    <row r="44" spans="2:8" x14ac:dyDescent="0.25">
      <c r="C44" s="13" t="s">
        <v>177</v>
      </c>
      <c r="G44" s="247">
        <f>(G$40*1.4)</f>
        <v>1.4</v>
      </c>
    </row>
    <row r="46" spans="2:8" x14ac:dyDescent="0.25">
      <c r="B46" s="244" t="s">
        <v>588</v>
      </c>
    </row>
    <row r="47" spans="2:8" x14ac:dyDescent="0.25">
      <c r="C47" s="13" t="s">
        <v>175</v>
      </c>
      <c r="G47" s="247">
        <f>(G40)</f>
        <v>1</v>
      </c>
      <c r="H47" s="13"/>
    </row>
    <row r="48" spans="2:8" x14ac:dyDescent="0.25">
      <c r="C48" s="13" t="s">
        <v>176</v>
      </c>
      <c r="G48" s="247">
        <f>(G$40*0.9)</f>
        <v>0.9</v>
      </c>
    </row>
    <row r="49" spans="1:12" x14ac:dyDescent="0.25">
      <c r="C49" s="13" t="s">
        <v>176</v>
      </c>
      <c r="G49" s="247">
        <f>(G$40*0.8)</f>
        <v>0.8</v>
      </c>
    </row>
    <row r="50" spans="1:12" x14ac:dyDescent="0.25">
      <c r="C50" s="13" t="s">
        <v>176</v>
      </c>
      <c r="G50" s="247">
        <f>(G$40*0.7)</f>
        <v>0.7</v>
      </c>
    </row>
    <row r="51" spans="1:12" x14ac:dyDescent="0.25">
      <c r="C51" s="13" t="s">
        <v>177</v>
      </c>
      <c r="G51" s="247">
        <f>(G$40*0.6)</f>
        <v>0.6</v>
      </c>
    </row>
    <row r="52" spans="1:12" x14ac:dyDescent="0.25">
      <c r="C52" s="13"/>
      <c r="G52" s="247"/>
    </row>
    <row r="53" spans="1:12" x14ac:dyDescent="0.25">
      <c r="A53" s="30"/>
      <c r="C53" s="13"/>
      <c r="G53" s="247"/>
    </row>
    <row r="54" spans="1:12" x14ac:dyDescent="0.25">
      <c r="A54" s="248"/>
      <c r="C54" s="13"/>
      <c r="G54" s="247"/>
    </row>
    <row r="55" spans="1:12" x14ac:dyDescent="0.25">
      <c r="A55" s="249"/>
      <c r="B55" s="241"/>
      <c r="C55" s="241"/>
      <c r="D55" s="241"/>
      <c r="E55" s="241"/>
      <c r="F55" s="241"/>
      <c r="G55" s="241"/>
      <c r="H55" s="241"/>
    </row>
    <row r="57" spans="1:12" x14ac:dyDescent="0.25">
      <c r="A57" s="2"/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</row>
    <row r="58" spans="1:12" x14ac:dyDescent="0.25">
      <c r="A58" s="435"/>
      <c r="B58" s="435"/>
      <c r="C58" s="435"/>
      <c r="D58" s="435"/>
      <c r="E58" s="435"/>
      <c r="F58" s="435"/>
      <c r="G58" s="435"/>
      <c r="H58" s="435"/>
      <c r="I58" s="435"/>
      <c r="J58" s="435"/>
      <c r="K58" s="435"/>
      <c r="L58" s="435"/>
    </row>
    <row r="59" spans="1:12" x14ac:dyDescent="0.25">
      <c r="A59" s="435"/>
      <c r="B59" s="435"/>
      <c r="C59" s="435"/>
      <c r="D59" s="435"/>
      <c r="E59" s="435"/>
      <c r="F59" s="435"/>
      <c r="G59" s="435"/>
      <c r="H59" s="435"/>
      <c r="I59" s="435"/>
      <c r="J59" s="435"/>
      <c r="K59" s="435"/>
      <c r="L59" s="435"/>
    </row>
    <row r="60" spans="1:12" x14ac:dyDescent="0.25">
      <c r="A60" s="435"/>
      <c r="B60" s="435"/>
      <c r="C60" s="435"/>
      <c r="D60" s="435"/>
      <c r="E60" s="435"/>
      <c r="F60" s="435"/>
      <c r="G60" s="435"/>
      <c r="H60" s="435"/>
      <c r="I60" s="435"/>
      <c r="J60" s="435"/>
      <c r="K60" s="435"/>
      <c r="L60" s="435"/>
    </row>
    <row r="61" spans="1:12" x14ac:dyDescent="0.25">
      <c r="A61" s="435"/>
      <c r="B61" s="435"/>
      <c r="C61" s="435"/>
      <c r="D61" s="435"/>
      <c r="E61" s="435"/>
      <c r="F61" s="435"/>
      <c r="G61" s="435"/>
      <c r="H61" s="435"/>
      <c r="I61" s="435"/>
      <c r="J61" s="435"/>
      <c r="K61" s="435"/>
      <c r="L61" s="435"/>
    </row>
    <row r="62" spans="1:12" x14ac:dyDescent="0.25">
      <c r="A62" s="435"/>
      <c r="B62" s="435"/>
      <c r="C62" s="435"/>
      <c r="D62" s="435"/>
      <c r="E62" s="435"/>
      <c r="F62" s="435"/>
      <c r="G62" s="435"/>
      <c r="H62" s="435"/>
      <c r="I62" s="435"/>
      <c r="J62" s="435"/>
      <c r="K62" s="435"/>
      <c r="L62" s="435"/>
    </row>
    <row r="63" spans="1:12" x14ac:dyDescent="0.25">
      <c r="A63" s="435"/>
      <c r="B63" s="435"/>
      <c r="C63" s="435"/>
      <c r="D63" s="435"/>
      <c r="E63" s="435"/>
      <c r="F63" s="435"/>
      <c r="G63" s="435"/>
      <c r="H63" s="435"/>
      <c r="I63" s="435"/>
      <c r="J63" s="435"/>
      <c r="K63" s="435"/>
      <c r="L63" s="435"/>
    </row>
    <row r="64" spans="1:12" x14ac:dyDescent="0.25">
      <c r="A64" s="435"/>
      <c r="B64" s="435"/>
      <c r="C64" s="435"/>
      <c r="D64" s="435"/>
      <c r="E64" s="435"/>
      <c r="F64" s="435"/>
      <c r="G64" s="435"/>
      <c r="H64" s="435"/>
      <c r="I64" s="435"/>
      <c r="J64" s="435"/>
      <c r="K64" s="435"/>
      <c r="L64" s="435"/>
    </row>
    <row r="65" spans="1:12" x14ac:dyDescent="0.25">
      <c r="A65" s="435"/>
      <c r="B65" s="435"/>
      <c r="C65" s="435"/>
      <c r="D65" s="435"/>
      <c r="E65" s="435"/>
      <c r="F65" s="435"/>
      <c r="G65" s="435"/>
      <c r="H65" s="435"/>
      <c r="I65" s="435"/>
      <c r="J65" s="435"/>
      <c r="K65" s="435"/>
      <c r="L65" s="435"/>
    </row>
    <row r="66" spans="1:12" x14ac:dyDescent="0.25">
      <c r="A66" s="435"/>
      <c r="B66" s="435"/>
      <c r="C66" s="435"/>
      <c r="D66" s="435"/>
      <c r="E66" s="435"/>
      <c r="F66" s="435"/>
      <c r="G66" s="435"/>
      <c r="H66" s="435"/>
      <c r="I66" s="435"/>
      <c r="J66" s="435"/>
      <c r="K66" s="435"/>
      <c r="L66" s="435"/>
    </row>
    <row r="67" spans="1:12" x14ac:dyDescent="0.25">
      <c r="A67" s="435"/>
      <c r="B67" s="435"/>
      <c r="C67" s="435"/>
      <c r="D67" s="435"/>
      <c r="E67" s="435"/>
      <c r="F67" s="435"/>
      <c r="G67" s="435"/>
      <c r="H67" s="435"/>
      <c r="I67" s="435"/>
      <c r="J67" s="435"/>
      <c r="K67" s="435"/>
      <c r="L67" s="435"/>
    </row>
    <row r="68" spans="1:12" x14ac:dyDescent="0.25">
      <c r="A68" s="435"/>
      <c r="B68" s="435"/>
      <c r="C68" s="435"/>
      <c r="D68" s="435"/>
      <c r="E68" s="435"/>
      <c r="F68" s="435"/>
      <c r="G68" s="435"/>
      <c r="H68" s="435"/>
      <c r="I68" s="435"/>
      <c r="J68" s="435"/>
      <c r="K68" s="435"/>
      <c r="L68" s="435"/>
    </row>
    <row r="69" spans="1:12" x14ac:dyDescent="0.25">
      <c r="A69" s="435"/>
      <c r="B69" s="435"/>
      <c r="C69" s="435"/>
      <c r="D69" s="435"/>
      <c r="E69" s="435"/>
      <c r="F69" s="435"/>
      <c r="G69" s="435"/>
      <c r="H69" s="435"/>
      <c r="I69" s="435"/>
      <c r="J69" s="435"/>
      <c r="K69" s="435"/>
      <c r="L69" s="435"/>
    </row>
    <row r="70" spans="1:12" x14ac:dyDescent="0.25">
      <c r="A70" s="435"/>
      <c r="B70" s="435"/>
      <c r="C70" s="435"/>
      <c r="D70" s="435"/>
      <c r="E70" s="435"/>
      <c r="F70" s="435"/>
      <c r="G70" s="435"/>
      <c r="H70" s="435"/>
      <c r="I70" s="435"/>
      <c r="J70" s="435"/>
      <c r="K70" s="435"/>
      <c r="L70" s="435"/>
    </row>
    <row r="71" spans="1:12" x14ac:dyDescent="0.25">
      <c r="A71" s="435"/>
      <c r="B71" s="435"/>
      <c r="C71" s="435"/>
      <c r="D71" s="435"/>
      <c r="E71" s="435"/>
      <c r="F71" s="435"/>
      <c r="G71" s="435"/>
      <c r="H71" s="435"/>
      <c r="I71" s="435"/>
      <c r="J71" s="435"/>
      <c r="K71" s="435"/>
      <c r="L71" s="435"/>
    </row>
    <row r="72" spans="1:12" x14ac:dyDescent="0.25">
      <c r="A72" s="435"/>
      <c r="B72" s="435"/>
      <c r="C72" s="435"/>
      <c r="D72" s="435"/>
      <c r="E72" s="435"/>
      <c r="F72" s="435"/>
      <c r="G72" s="435"/>
      <c r="H72" s="435"/>
      <c r="I72" s="435"/>
      <c r="J72" s="435"/>
      <c r="K72" s="435"/>
      <c r="L72" s="435"/>
    </row>
    <row r="73" spans="1:12" x14ac:dyDescent="0.25">
      <c r="A73" s="435"/>
      <c r="B73" s="435"/>
      <c r="C73" s="435"/>
      <c r="D73" s="435"/>
      <c r="E73" s="435"/>
      <c r="F73" s="435"/>
      <c r="G73" s="435"/>
      <c r="H73" s="435"/>
      <c r="I73" s="435"/>
      <c r="J73" s="435"/>
      <c r="K73" s="435"/>
      <c r="L73" s="435"/>
    </row>
    <row r="74" spans="1:12" x14ac:dyDescent="0.25">
      <c r="A74" s="435"/>
      <c r="B74" s="435"/>
      <c r="C74" s="435"/>
      <c r="D74" s="435"/>
      <c r="E74" s="435"/>
      <c r="F74" s="435"/>
      <c r="G74" s="435"/>
      <c r="H74" s="435"/>
      <c r="I74" s="435"/>
      <c r="J74" s="435"/>
      <c r="K74" s="435"/>
      <c r="L74" s="435"/>
    </row>
    <row r="75" spans="1:12" x14ac:dyDescent="0.25">
      <c r="A75" s="435"/>
      <c r="B75" s="435"/>
      <c r="C75" s="435"/>
      <c r="D75" s="435"/>
      <c r="E75" s="435"/>
      <c r="F75" s="435"/>
      <c r="G75" s="435"/>
      <c r="H75" s="435"/>
      <c r="I75" s="435"/>
      <c r="J75" s="435"/>
      <c r="K75" s="435"/>
      <c r="L75" s="435"/>
    </row>
    <row r="76" spans="1:12" x14ac:dyDescent="0.25">
      <c r="A76" s="435"/>
      <c r="B76" s="435"/>
      <c r="C76" s="435"/>
      <c r="D76" s="435"/>
      <c r="E76" s="435"/>
      <c r="F76" s="435"/>
      <c r="G76" s="435"/>
      <c r="H76" s="435"/>
      <c r="I76" s="435"/>
      <c r="J76" s="435"/>
      <c r="K76" s="435"/>
      <c r="L76" s="435"/>
    </row>
    <row r="77" spans="1:12" x14ac:dyDescent="0.25">
      <c r="A77" s="435"/>
      <c r="B77" s="435"/>
      <c r="C77" s="435"/>
      <c r="D77" s="435"/>
      <c r="E77" s="435"/>
      <c r="F77" s="435"/>
      <c r="G77" s="435"/>
      <c r="H77" s="435"/>
      <c r="I77" s="435"/>
      <c r="J77" s="435"/>
      <c r="K77" s="435"/>
      <c r="L77" s="435"/>
    </row>
    <row r="78" spans="1:12" x14ac:dyDescent="0.25">
      <c r="A78" s="435"/>
      <c r="B78" s="435"/>
      <c r="C78" s="435"/>
      <c r="D78" s="435"/>
      <c r="E78" s="435"/>
      <c r="F78" s="435"/>
      <c r="G78" s="435"/>
      <c r="H78" s="435"/>
      <c r="I78" s="435"/>
      <c r="J78" s="435"/>
      <c r="K78" s="435"/>
      <c r="L78" s="435"/>
    </row>
    <row r="79" spans="1:12" x14ac:dyDescent="0.25">
      <c r="A79" s="435"/>
      <c r="B79" s="435"/>
      <c r="C79" s="435"/>
      <c r="D79" s="435"/>
      <c r="E79" s="435"/>
      <c r="F79" s="435"/>
      <c r="G79" s="435"/>
      <c r="H79" s="435"/>
      <c r="I79" s="435"/>
      <c r="J79" s="435"/>
      <c r="K79" s="435"/>
      <c r="L79" s="435"/>
    </row>
    <row r="80" spans="1:12" x14ac:dyDescent="0.25">
      <c r="A80" s="435"/>
      <c r="B80" s="435"/>
      <c r="C80" s="435"/>
      <c r="D80" s="435"/>
      <c r="E80" s="435"/>
      <c r="F80" s="435"/>
      <c r="G80" s="435"/>
      <c r="H80" s="435"/>
      <c r="I80" s="435"/>
      <c r="J80" s="435"/>
      <c r="K80" s="435"/>
      <c r="L80" s="435"/>
    </row>
    <row r="81" spans="1:12" x14ac:dyDescent="0.25">
      <c r="A81" s="435"/>
      <c r="B81" s="435"/>
      <c r="C81" s="435"/>
      <c r="D81" s="435"/>
      <c r="E81" s="435"/>
      <c r="F81" s="435"/>
      <c r="G81" s="435"/>
      <c r="H81" s="435"/>
      <c r="I81" s="435"/>
      <c r="J81" s="435"/>
      <c r="K81" s="435"/>
      <c r="L81" s="435"/>
    </row>
    <row r="82" spans="1:12" x14ac:dyDescent="0.25">
      <c r="A82" s="435"/>
      <c r="B82" s="435"/>
      <c r="C82" s="435"/>
      <c r="D82" s="435"/>
      <c r="E82" s="435"/>
      <c r="F82" s="435"/>
      <c r="G82" s="435"/>
      <c r="H82" s="435"/>
      <c r="I82" s="435"/>
      <c r="J82" s="435"/>
      <c r="K82" s="435"/>
      <c r="L82" s="435"/>
    </row>
    <row r="83" spans="1:12" x14ac:dyDescent="0.25">
      <c r="A83" s="435"/>
      <c r="B83" s="435"/>
      <c r="C83" s="435"/>
      <c r="D83" s="435"/>
      <c r="E83" s="435"/>
      <c r="F83" s="435"/>
      <c r="G83" s="435"/>
      <c r="H83" s="435"/>
      <c r="I83" s="435"/>
      <c r="J83" s="435"/>
      <c r="K83" s="435"/>
      <c r="L83" s="435"/>
    </row>
    <row r="84" spans="1:12" x14ac:dyDescent="0.25">
      <c r="A84" s="435"/>
      <c r="B84" s="435"/>
      <c r="C84" s="435"/>
      <c r="D84" s="435"/>
      <c r="E84" s="435"/>
      <c r="F84" s="435"/>
      <c r="G84" s="435"/>
      <c r="H84" s="435"/>
      <c r="I84" s="435"/>
      <c r="J84" s="435"/>
      <c r="K84" s="435"/>
      <c r="L84" s="435"/>
    </row>
    <row r="85" spans="1:12" x14ac:dyDescent="0.25">
      <c r="A85" s="435"/>
      <c r="B85" s="435"/>
      <c r="C85" s="435"/>
      <c r="D85" s="435"/>
      <c r="E85" s="435"/>
      <c r="F85" s="435"/>
      <c r="G85" s="435"/>
      <c r="H85" s="435"/>
      <c r="I85" s="435"/>
      <c r="J85" s="435"/>
      <c r="K85" s="435"/>
      <c r="L85" s="435"/>
    </row>
    <row r="86" spans="1:12" x14ac:dyDescent="0.25">
      <c r="A86" s="435"/>
      <c r="B86" s="435"/>
      <c r="C86" s="435"/>
      <c r="D86" s="435"/>
      <c r="E86" s="435"/>
      <c r="F86" s="435"/>
      <c r="G86" s="435"/>
      <c r="H86" s="435"/>
      <c r="I86" s="435"/>
      <c r="J86" s="435"/>
      <c r="K86" s="435"/>
      <c r="L86" s="435"/>
    </row>
    <row r="87" spans="1:12" x14ac:dyDescent="0.25">
      <c r="A87" s="435"/>
      <c r="B87" s="435"/>
      <c r="C87" s="435"/>
      <c r="D87" s="435"/>
      <c r="E87" s="435"/>
      <c r="F87" s="435"/>
      <c r="G87" s="435"/>
      <c r="H87" s="435"/>
      <c r="I87" s="435"/>
      <c r="J87" s="435"/>
      <c r="K87" s="435"/>
      <c r="L87" s="435"/>
    </row>
    <row r="88" spans="1:12" x14ac:dyDescent="0.25">
      <c r="A88" s="435"/>
      <c r="B88" s="435"/>
      <c r="C88" s="435"/>
      <c r="D88" s="435"/>
      <c r="E88" s="435"/>
      <c r="F88" s="435"/>
      <c r="G88" s="435"/>
      <c r="H88" s="435"/>
      <c r="I88" s="435"/>
      <c r="J88" s="435"/>
      <c r="K88" s="435"/>
      <c r="L88" s="435"/>
    </row>
    <row r="89" spans="1:12" x14ac:dyDescent="0.25">
      <c r="A89" s="435"/>
      <c r="B89" s="435"/>
      <c r="C89" s="435"/>
      <c r="D89" s="435"/>
      <c r="E89" s="435"/>
      <c r="F89" s="435"/>
      <c r="G89" s="435"/>
      <c r="H89" s="435"/>
      <c r="I89" s="435"/>
      <c r="J89" s="435"/>
      <c r="K89" s="435"/>
      <c r="L89" s="435"/>
    </row>
    <row r="90" spans="1:12" x14ac:dyDescent="0.25">
      <c r="A90" s="435"/>
      <c r="B90" s="435"/>
      <c r="C90" s="435"/>
      <c r="D90" s="435"/>
      <c r="E90" s="435"/>
      <c r="F90" s="435"/>
      <c r="G90" s="435"/>
      <c r="H90" s="435"/>
      <c r="I90" s="435"/>
      <c r="J90" s="435"/>
      <c r="K90" s="435"/>
      <c r="L90" s="435"/>
    </row>
    <row r="91" spans="1:12" x14ac:dyDescent="0.25">
      <c r="A91" s="435"/>
      <c r="B91" s="435"/>
      <c r="C91" s="435"/>
      <c r="D91" s="435"/>
      <c r="E91" s="435"/>
      <c r="F91" s="435"/>
      <c r="G91" s="435"/>
      <c r="H91" s="435"/>
      <c r="I91" s="435"/>
      <c r="J91" s="435"/>
      <c r="K91" s="435"/>
      <c r="L91" s="435"/>
    </row>
    <row r="92" spans="1:12" x14ac:dyDescent="0.25">
      <c r="A92" s="435"/>
      <c r="B92" s="435"/>
      <c r="C92" s="435"/>
      <c r="D92" s="435"/>
      <c r="E92" s="435"/>
      <c r="F92" s="435"/>
      <c r="G92" s="435"/>
      <c r="H92" s="435"/>
      <c r="I92" s="435"/>
      <c r="J92" s="435"/>
      <c r="K92" s="435"/>
      <c r="L92" s="435"/>
    </row>
    <row r="93" spans="1:12" x14ac:dyDescent="0.25">
      <c r="A93" s="435"/>
      <c r="B93" s="435"/>
      <c r="C93" s="435"/>
      <c r="D93" s="435"/>
      <c r="E93" s="435"/>
      <c r="F93" s="435"/>
      <c r="G93" s="435"/>
      <c r="H93" s="435"/>
      <c r="I93" s="435"/>
      <c r="J93" s="435"/>
      <c r="K93" s="435"/>
      <c r="L93" s="435"/>
    </row>
    <row r="94" spans="1:12" x14ac:dyDescent="0.25">
      <c r="A94" s="435"/>
      <c r="B94" s="435"/>
      <c r="C94" s="435"/>
      <c r="D94" s="435"/>
      <c r="E94" s="435"/>
      <c r="F94" s="435"/>
      <c r="G94" s="435"/>
      <c r="H94" s="435"/>
      <c r="I94" s="435"/>
      <c r="J94" s="435"/>
      <c r="K94" s="435"/>
      <c r="L94" s="435"/>
    </row>
    <row r="95" spans="1:12" x14ac:dyDescent="0.25">
      <c r="A95" s="435"/>
      <c r="B95" s="435"/>
      <c r="C95" s="435"/>
      <c r="D95" s="435"/>
      <c r="E95" s="435"/>
      <c r="F95" s="435"/>
      <c r="G95" s="435"/>
      <c r="H95" s="435"/>
      <c r="I95" s="435"/>
      <c r="J95" s="435"/>
      <c r="K95" s="435"/>
      <c r="L95" s="435"/>
    </row>
    <row r="96" spans="1:12" x14ac:dyDescent="0.25">
      <c r="A96" s="435"/>
      <c r="B96" s="435"/>
      <c r="C96" s="435"/>
      <c r="D96" s="435"/>
      <c r="E96" s="435"/>
      <c r="F96" s="435"/>
      <c r="G96" s="435"/>
      <c r="H96" s="435"/>
      <c r="I96" s="435"/>
      <c r="J96" s="435"/>
      <c r="K96" s="435"/>
      <c r="L96" s="435"/>
    </row>
    <row r="97" spans="1:12" x14ac:dyDescent="0.25">
      <c r="A97" s="435"/>
      <c r="B97" s="435"/>
      <c r="C97" s="435"/>
      <c r="D97" s="435"/>
      <c r="E97" s="435"/>
      <c r="F97" s="435"/>
      <c r="G97" s="435"/>
      <c r="H97" s="435"/>
      <c r="I97" s="435"/>
      <c r="J97" s="435"/>
      <c r="K97" s="435"/>
      <c r="L97" s="435"/>
    </row>
    <row r="98" spans="1:12" x14ac:dyDescent="0.25">
      <c r="A98" s="435"/>
      <c r="B98" s="435"/>
      <c r="C98" s="435"/>
      <c r="D98" s="435"/>
      <c r="E98" s="435"/>
      <c r="F98" s="435"/>
      <c r="G98" s="435"/>
      <c r="H98" s="435"/>
      <c r="I98" s="435"/>
      <c r="J98" s="435"/>
      <c r="K98" s="435"/>
      <c r="L98" s="435"/>
    </row>
    <row r="99" spans="1:12" x14ac:dyDescent="0.25">
      <c r="A99" s="435"/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</row>
    <row r="100" spans="1:12" x14ac:dyDescent="0.25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</row>
    <row r="101" spans="1:12" x14ac:dyDescent="0.25">
      <c r="A101" s="435"/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  <row r="102" spans="1:12" x14ac:dyDescent="0.25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</row>
    <row r="103" spans="1:12" x14ac:dyDescent="0.25">
      <c r="A103" s="435"/>
      <c r="B103" s="435"/>
      <c r="C103" s="435"/>
      <c r="D103" s="435"/>
      <c r="E103" s="435"/>
      <c r="F103" s="435"/>
      <c r="G103" s="435"/>
      <c r="H103" s="435"/>
      <c r="I103" s="435"/>
      <c r="J103" s="435"/>
      <c r="K103" s="435"/>
      <c r="L103" s="435"/>
    </row>
    <row r="104" spans="1:12" x14ac:dyDescent="0.25">
      <c r="A104" s="435"/>
      <c r="B104" s="435"/>
      <c r="C104" s="435"/>
      <c r="D104" s="435"/>
      <c r="E104" s="435"/>
      <c r="F104" s="435"/>
      <c r="G104" s="435"/>
      <c r="H104" s="435"/>
      <c r="I104" s="435"/>
      <c r="J104" s="435"/>
      <c r="K104" s="435"/>
      <c r="L104" s="435"/>
    </row>
    <row r="105" spans="1:12" x14ac:dyDescent="0.25">
      <c r="A105" s="435"/>
      <c r="B105" s="435"/>
      <c r="C105" s="435"/>
      <c r="D105" s="435"/>
      <c r="E105" s="435"/>
      <c r="F105" s="435"/>
      <c r="G105" s="435"/>
      <c r="H105" s="435"/>
      <c r="I105" s="435"/>
      <c r="J105" s="435"/>
      <c r="K105" s="435"/>
      <c r="L105" s="435"/>
    </row>
    <row r="106" spans="1:12" x14ac:dyDescent="0.25">
      <c r="A106" s="435"/>
      <c r="B106" s="435"/>
      <c r="C106" s="435"/>
      <c r="D106" s="435"/>
      <c r="E106" s="435"/>
      <c r="F106" s="435"/>
      <c r="G106" s="435"/>
      <c r="H106" s="435"/>
      <c r="I106" s="435"/>
      <c r="J106" s="435"/>
      <c r="K106" s="435"/>
      <c r="L106" s="435"/>
    </row>
    <row r="107" spans="1:12" x14ac:dyDescent="0.25">
      <c r="A107" s="435"/>
      <c r="B107" s="435"/>
      <c r="C107" s="435"/>
      <c r="D107" s="435"/>
      <c r="E107" s="435"/>
      <c r="F107" s="435"/>
      <c r="G107" s="435"/>
      <c r="H107" s="435"/>
      <c r="I107" s="435"/>
      <c r="J107" s="435"/>
      <c r="K107" s="435"/>
      <c r="L107" s="435"/>
    </row>
    <row r="108" spans="1:12" x14ac:dyDescent="0.25">
      <c r="A108" s="435"/>
      <c r="B108" s="435"/>
      <c r="C108" s="435"/>
      <c r="D108" s="435"/>
      <c r="E108" s="435"/>
      <c r="F108" s="435"/>
      <c r="G108" s="435"/>
      <c r="H108" s="435"/>
      <c r="I108" s="435"/>
      <c r="J108" s="435"/>
      <c r="K108" s="435"/>
      <c r="L108" s="435"/>
    </row>
    <row r="109" spans="1:12" x14ac:dyDescent="0.25">
      <c r="A109" s="435"/>
      <c r="B109" s="435"/>
      <c r="C109" s="435"/>
      <c r="D109" s="435"/>
      <c r="E109" s="435"/>
      <c r="F109" s="435"/>
      <c r="G109" s="435"/>
      <c r="H109" s="435"/>
      <c r="I109" s="435"/>
      <c r="J109" s="435"/>
      <c r="K109" s="435"/>
      <c r="L109" s="435"/>
    </row>
    <row r="110" spans="1:12" x14ac:dyDescent="0.25">
      <c r="A110" s="435"/>
      <c r="B110" s="435"/>
      <c r="C110" s="435"/>
      <c r="D110" s="435"/>
      <c r="E110" s="435"/>
      <c r="F110" s="435"/>
      <c r="G110" s="435"/>
      <c r="H110" s="435"/>
      <c r="I110" s="435"/>
      <c r="J110" s="435"/>
      <c r="K110" s="435"/>
      <c r="L110" s="435"/>
    </row>
    <row r="111" spans="1:12" x14ac:dyDescent="0.25">
      <c r="A111" s="435"/>
      <c r="B111" s="435"/>
      <c r="C111" s="435"/>
      <c r="D111" s="435"/>
      <c r="E111" s="435"/>
      <c r="F111" s="435"/>
      <c r="G111" s="435"/>
      <c r="H111" s="435"/>
      <c r="I111" s="435"/>
      <c r="J111" s="435"/>
      <c r="K111" s="435"/>
      <c r="L111" s="435"/>
    </row>
  </sheetData>
  <pageMargins left="0.75" right="0.75" top="1" bottom="1" header="0.5" footer="0.5"/>
  <pageSetup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3" tint="0.79998168889431442"/>
  </sheetPr>
  <dimension ref="A1:O79"/>
  <sheetViews>
    <sheetView zoomScaleNormal="100" workbookViewId="0">
      <pane ySplit="9" topLeftCell="A61" activePane="bottomLeft" state="frozen"/>
      <selection pane="bottomLeft"/>
    </sheetView>
  </sheetViews>
  <sheetFormatPr defaultColWidth="8.88671875" defaultRowHeight="15.75" x14ac:dyDescent="0.25"/>
  <cols>
    <col min="1" max="1" width="13.109375" style="6" customWidth="1"/>
    <col min="2" max="2" width="15.21875" style="6" customWidth="1"/>
    <col min="3" max="3" width="15.109375" style="6" customWidth="1"/>
    <col min="4" max="4" width="16.109375" style="6" customWidth="1"/>
    <col min="5" max="5" width="11.88671875" style="6" customWidth="1"/>
    <col min="6" max="6" width="11.109375" style="6" customWidth="1"/>
    <col min="7" max="7" width="10.6640625" style="6" customWidth="1"/>
    <col min="8" max="8" width="11.44140625" style="6" customWidth="1"/>
    <col min="9" max="9" width="11.6640625" style="6" customWidth="1"/>
    <col min="10" max="10" width="11.88671875" style="6" customWidth="1"/>
    <col min="11" max="11" width="15.109375" style="435" customWidth="1"/>
    <col min="12" max="12" width="12.77734375" style="435" customWidth="1"/>
    <col min="13" max="16384" width="8.88671875" style="6"/>
  </cols>
  <sheetData>
    <row r="1" spans="1:15" x14ac:dyDescent="0.25">
      <c r="A1" s="579" t="s">
        <v>573</v>
      </c>
      <c r="B1" s="579"/>
      <c r="C1" s="579"/>
      <c r="D1" s="579"/>
      <c r="E1" s="579"/>
      <c r="F1" s="579"/>
      <c r="G1" s="579"/>
      <c r="H1" s="579"/>
      <c r="I1" s="579"/>
      <c r="J1" s="579"/>
    </row>
    <row r="3" spans="1:15" x14ac:dyDescent="0.25">
      <c r="A3" s="579" t="s">
        <v>244</v>
      </c>
      <c r="B3" s="579"/>
      <c r="C3" s="579"/>
      <c r="D3" s="579"/>
      <c r="E3" s="579"/>
      <c r="F3" s="579"/>
      <c r="G3" s="579"/>
      <c r="H3" s="579"/>
      <c r="I3" s="579"/>
      <c r="J3" s="579"/>
    </row>
    <row r="4" spans="1:15" x14ac:dyDescent="0.25">
      <c r="A4" s="580" t="s">
        <v>609</v>
      </c>
      <c r="B4" s="580"/>
      <c r="C4" s="580"/>
      <c r="D4" s="580"/>
      <c r="E4" s="580"/>
      <c r="F4" s="580"/>
      <c r="G4" s="580"/>
      <c r="H4" s="580"/>
      <c r="I4" s="580"/>
      <c r="J4" s="580"/>
    </row>
    <row r="6" spans="1:15" x14ac:dyDescent="0.25">
      <c r="A6" s="530"/>
      <c r="B6" s="530"/>
      <c r="C6" s="530"/>
      <c r="D6" s="530"/>
      <c r="E6" s="530"/>
      <c r="F6" s="530"/>
      <c r="G6" s="530"/>
      <c r="H6" s="530"/>
      <c r="I6" s="530"/>
      <c r="J6" s="530"/>
    </row>
    <row r="7" spans="1:15" x14ac:dyDescent="0.25">
      <c r="A7" s="581" t="s">
        <v>241</v>
      </c>
      <c r="B7" s="582"/>
      <c r="C7" s="583"/>
      <c r="D7" s="581" t="s">
        <v>242</v>
      </c>
      <c r="E7" s="582"/>
      <c r="F7" s="582"/>
      <c r="G7" s="582"/>
      <c r="H7" s="582"/>
      <c r="I7" s="582"/>
      <c r="J7" s="583"/>
    </row>
    <row r="8" spans="1:15" ht="63" x14ac:dyDescent="0.25">
      <c r="A8" s="44" t="s">
        <v>78</v>
      </c>
      <c r="B8" s="44" t="s">
        <v>94</v>
      </c>
      <c r="C8" s="41" t="s">
        <v>368</v>
      </c>
      <c r="D8" s="41" t="s">
        <v>243</v>
      </c>
      <c r="E8" s="42" t="s">
        <v>247</v>
      </c>
      <c r="F8" s="42" t="s">
        <v>238</v>
      </c>
      <c r="G8" s="42" t="s">
        <v>239</v>
      </c>
      <c r="H8" s="42" t="s">
        <v>240</v>
      </c>
      <c r="I8" s="42" t="s">
        <v>245</v>
      </c>
      <c r="J8" s="42" t="s">
        <v>246</v>
      </c>
      <c r="L8" s="6"/>
    </row>
    <row r="9" spans="1:15" x14ac:dyDescent="0.25">
      <c r="A9" s="45" t="s">
        <v>60</v>
      </c>
      <c r="B9" s="45" t="s">
        <v>61</v>
      </c>
      <c r="C9" s="45" t="s">
        <v>62</v>
      </c>
      <c r="D9" s="45" t="s">
        <v>63</v>
      </c>
      <c r="E9" s="45" t="s">
        <v>64</v>
      </c>
      <c r="F9" s="45" t="s">
        <v>65</v>
      </c>
      <c r="G9" s="45" t="s">
        <v>66</v>
      </c>
      <c r="H9" s="46" t="s">
        <v>111</v>
      </c>
      <c r="I9" s="46" t="s">
        <v>112</v>
      </c>
      <c r="J9" s="46" t="s">
        <v>113</v>
      </c>
      <c r="L9" s="6"/>
    </row>
    <row r="10" spans="1:15" x14ac:dyDescent="0.25">
      <c r="A10" s="120">
        <v>42005</v>
      </c>
      <c r="B10" s="47">
        <v>3389771</v>
      </c>
      <c r="C10" s="47">
        <v>34043</v>
      </c>
      <c r="D10" s="47">
        <v>3740</v>
      </c>
      <c r="E10" s="47">
        <v>0</v>
      </c>
      <c r="F10" s="47">
        <v>0</v>
      </c>
      <c r="G10" s="47">
        <v>3224582</v>
      </c>
      <c r="H10" s="47">
        <v>45418</v>
      </c>
      <c r="I10" s="47">
        <v>6382527</v>
      </c>
      <c r="J10" s="47">
        <v>28119</v>
      </c>
      <c r="K10" s="260"/>
      <c r="L10" s="6"/>
      <c r="M10" s="530"/>
      <c r="N10" s="530"/>
      <c r="O10" s="530"/>
    </row>
    <row r="11" spans="1:15" x14ac:dyDescent="0.25">
      <c r="A11" s="120">
        <f t="shared" ref="A11:A75" si="0">EDATE(A10,1)</f>
        <v>42036</v>
      </c>
      <c r="B11" s="47">
        <v>2793445</v>
      </c>
      <c r="C11" s="47">
        <v>25942</v>
      </c>
      <c r="D11" s="47">
        <v>2645</v>
      </c>
      <c r="E11" s="47">
        <v>0</v>
      </c>
      <c r="F11" s="47">
        <v>0</v>
      </c>
      <c r="G11" s="47">
        <v>2941034</v>
      </c>
      <c r="H11" s="47">
        <v>38966</v>
      </c>
      <c r="I11" s="47">
        <v>5515071</v>
      </c>
      <c r="J11" s="47">
        <v>29495</v>
      </c>
      <c r="K11" s="260"/>
      <c r="L11" s="6"/>
    </row>
    <row r="12" spans="1:15" x14ac:dyDescent="0.25">
      <c r="A12" s="120">
        <f t="shared" si="0"/>
        <v>42064</v>
      </c>
      <c r="B12" s="47">
        <v>1896715</v>
      </c>
      <c r="C12" s="47">
        <v>20111</v>
      </c>
      <c r="D12" s="47">
        <v>1128</v>
      </c>
      <c r="E12" s="47">
        <v>0</v>
      </c>
      <c r="F12" s="47">
        <v>0</v>
      </c>
      <c r="G12" s="47">
        <v>2177383</v>
      </c>
      <c r="H12" s="47">
        <v>32617</v>
      </c>
      <c r="I12" s="47">
        <v>3869594</v>
      </c>
      <c r="J12" s="47">
        <v>27926</v>
      </c>
      <c r="K12" s="260"/>
      <c r="L12" s="6"/>
    </row>
    <row r="13" spans="1:15" x14ac:dyDescent="0.25">
      <c r="A13" s="120">
        <f t="shared" si="0"/>
        <v>42095</v>
      </c>
      <c r="B13" s="47">
        <v>1451374</v>
      </c>
      <c r="C13" s="47">
        <v>9243</v>
      </c>
      <c r="D13" s="47">
        <v>430</v>
      </c>
      <c r="E13" s="47">
        <v>0</v>
      </c>
      <c r="F13" s="47">
        <v>0</v>
      </c>
      <c r="G13" s="47">
        <v>773060</v>
      </c>
      <c r="H13" s="47">
        <v>26940</v>
      </c>
      <c r="I13" s="47">
        <v>2087330</v>
      </c>
      <c r="J13" s="47">
        <v>31123</v>
      </c>
      <c r="K13" s="260"/>
      <c r="L13" s="6"/>
    </row>
    <row r="14" spans="1:15" x14ac:dyDescent="0.25">
      <c r="A14" s="120">
        <f t="shared" si="0"/>
        <v>42125</v>
      </c>
      <c r="B14" s="47">
        <v>1185902</v>
      </c>
      <c r="C14" s="47">
        <v>9084</v>
      </c>
      <c r="D14" s="47">
        <v>266</v>
      </c>
      <c r="E14" s="47">
        <v>0</v>
      </c>
      <c r="F14" s="47">
        <v>0</v>
      </c>
      <c r="G14" s="47">
        <v>174800</v>
      </c>
      <c r="H14" s="47">
        <v>25200</v>
      </c>
      <c r="I14" s="47">
        <v>1246147</v>
      </c>
      <c r="J14" s="47">
        <v>30870</v>
      </c>
      <c r="K14" s="260"/>
      <c r="L14" s="6"/>
    </row>
    <row r="15" spans="1:15" x14ac:dyDescent="0.25">
      <c r="A15" s="120">
        <f t="shared" si="0"/>
        <v>42156</v>
      </c>
      <c r="B15" s="47">
        <v>2527642</v>
      </c>
      <c r="C15" s="47">
        <v>7764</v>
      </c>
      <c r="D15" s="47">
        <v>100</v>
      </c>
      <c r="E15" s="47">
        <v>0</v>
      </c>
      <c r="F15" s="47">
        <v>1617092</v>
      </c>
      <c r="G15" s="47">
        <v>0</v>
      </c>
      <c r="H15" s="47">
        <v>28092</v>
      </c>
      <c r="I15" s="47">
        <v>816879</v>
      </c>
      <c r="J15" s="47">
        <v>28119</v>
      </c>
      <c r="K15" s="260"/>
      <c r="L15" s="6"/>
    </row>
    <row r="16" spans="1:15" x14ac:dyDescent="0.25">
      <c r="A16" s="120">
        <f t="shared" si="0"/>
        <v>42186</v>
      </c>
      <c r="B16" s="47">
        <v>3671237</v>
      </c>
      <c r="C16" s="47">
        <v>3433</v>
      </c>
      <c r="D16" s="47">
        <v>134</v>
      </c>
      <c r="E16" s="47">
        <v>0</v>
      </c>
      <c r="F16" s="47">
        <v>2852869</v>
      </c>
      <c r="G16" s="47">
        <v>0</v>
      </c>
      <c r="H16" s="47">
        <v>31869</v>
      </c>
      <c r="I16" s="47">
        <v>739675</v>
      </c>
      <c r="J16" s="47">
        <v>30870</v>
      </c>
      <c r="K16" s="260"/>
      <c r="L16" s="6"/>
    </row>
    <row r="17" spans="1:12" x14ac:dyDescent="0.25">
      <c r="A17" s="120">
        <f t="shared" si="0"/>
        <v>42217</v>
      </c>
      <c r="B17" s="47">
        <v>3768891</v>
      </c>
      <c r="C17" s="47">
        <v>19134</v>
      </c>
      <c r="D17" s="47">
        <v>73</v>
      </c>
      <c r="E17" s="47">
        <v>0</v>
      </c>
      <c r="F17" s="47">
        <v>2939274</v>
      </c>
      <c r="G17" s="47">
        <v>0</v>
      </c>
      <c r="H17" s="47">
        <v>39274</v>
      </c>
      <c r="I17" s="47">
        <v>755771</v>
      </c>
      <c r="J17" s="47">
        <v>29495</v>
      </c>
      <c r="K17" s="260"/>
      <c r="L17" s="6"/>
    </row>
    <row r="18" spans="1:12" x14ac:dyDescent="0.25">
      <c r="A18" s="120">
        <f t="shared" si="0"/>
        <v>42248</v>
      </c>
      <c r="B18" s="47">
        <v>3628403</v>
      </c>
      <c r="C18" s="47">
        <v>41870</v>
      </c>
      <c r="D18" s="47">
        <v>62</v>
      </c>
      <c r="E18" s="47">
        <v>0</v>
      </c>
      <c r="F18" s="47">
        <v>2734226</v>
      </c>
      <c r="G18" s="47">
        <v>0</v>
      </c>
      <c r="H18" s="47">
        <v>44226</v>
      </c>
      <c r="I18" s="47">
        <v>818388</v>
      </c>
      <c r="J18" s="47">
        <v>32499</v>
      </c>
      <c r="K18" s="260"/>
      <c r="L18" s="6"/>
    </row>
    <row r="19" spans="1:12" x14ac:dyDescent="0.25">
      <c r="A19" s="120">
        <f t="shared" si="0"/>
        <v>42278</v>
      </c>
      <c r="B19" s="47">
        <v>3717845</v>
      </c>
      <c r="C19" s="47">
        <v>41660</v>
      </c>
      <c r="D19" s="47">
        <v>157</v>
      </c>
      <c r="E19" s="47">
        <v>0</v>
      </c>
      <c r="F19" s="47">
        <v>2189178</v>
      </c>
      <c r="G19" s="47">
        <v>0</v>
      </c>
      <c r="H19" s="47">
        <v>49178</v>
      </c>
      <c r="I19" s="47">
        <v>1444480</v>
      </c>
      <c r="J19" s="47">
        <v>30870</v>
      </c>
      <c r="K19" s="260"/>
      <c r="L19" s="6"/>
    </row>
    <row r="20" spans="1:12" x14ac:dyDescent="0.25">
      <c r="A20" s="120">
        <f t="shared" si="0"/>
        <v>42309</v>
      </c>
      <c r="B20" s="47">
        <v>3223697</v>
      </c>
      <c r="C20" s="47">
        <v>72141</v>
      </c>
      <c r="D20" s="47">
        <v>636</v>
      </c>
      <c r="E20" s="47">
        <v>0</v>
      </c>
      <c r="F20" s="47">
        <v>251623</v>
      </c>
      <c r="G20" s="47">
        <v>200000</v>
      </c>
      <c r="H20" s="47">
        <v>51623</v>
      </c>
      <c r="I20" s="47">
        <v>3071369</v>
      </c>
      <c r="J20" s="47">
        <v>16937</v>
      </c>
      <c r="K20" s="260"/>
    </row>
    <row r="21" spans="1:12" x14ac:dyDescent="0.25">
      <c r="A21" s="120">
        <f t="shared" si="0"/>
        <v>42339</v>
      </c>
      <c r="B21" s="47">
        <v>3443198</v>
      </c>
      <c r="C21" s="47">
        <v>53313</v>
      </c>
      <c r="D21" s="47">
        <v>1627</v>
      </c>
      <c r="E21" s="47">
        <v>0</v>
      </c>
      <c r="F21" s="47">
        <v>0</v>
      </c>
      <c r="G21" s="47">
        <v>2150123</v>
      </c>
      <c r="H21" s="47">
        <v>49877</v>
      </c>
      <c r="I21" s="47">
        <v>5429369</v>
      </c>
      <c r="J21" s="47">
        <v>12722</v>
      </c>
    </row>
    <row r="22" spans="1:12" x14ac:dyDescent="0.25">
      <c r="A22" s="120">
        <f t="shared" si="0"/>
        <v>42370</v>
      </c>
      <c r="B22" s="47">
        <v>3612775</v>
      </c>
      <c r="C22" s="47">
        <v>45361</v>
      </c>
      <c r="D22" s="47">
        <v>2006</v>
      </c>
      <c r="E22" s="47">
        <v>0</v>
      </c>
      <c r="F22" s="47">
        <v>0</v>
      </c>
      <c r="G22" s="47">
        <v>3355135</v>
      </c>
      <c r="H22" s="47">
        <v>44865</v>
      </c>
      <c r="I22" s="47">
        <v>6752035</v>
      </c>
      <c r="J22" s="47">
        <v>12722</v>
      </c>
    </row>
    <row r="23" spans="1:12" x14ac:dyDescent="0.25">
      <c r="A23" s="120">
        <f t="shared" si="0"/>
        <v>42401</v>
      </c>
      <c r="B23" s="47">
        <v>2846423</v>
      </c>
      <c r="C23" s="47">
        <v>30828</v>
      </c>
      <c r="D23" s="47">
        <v>1832</v>
      </c>
      <c r="E23" s="47">
        <v>0</v>
      </c>
      <c r="F23" s="47">
        <v>0</v>
      </c>
      <c r="G23" s="47">
        <v>3062005</v>
      </c>
      <c r="H23" s="47">
        <v>37995</v>
      </c>
      <c r="I23" s="47">
        <v>5697804</v>
      </c>
      <c r="J23" s="47">
        <v>13795</v>
      </c>
    </row>
    <row r="24" spans="1:12" x14ac:dyDescent="0.25">
      <c r="A24" s="120">
        <f t="shared" si="0"/>
        <v>42430</v>
      </c>
      <c r="B24" s="47">
        <v>2154248</v>
      </c>
      <c r="C24" s="47">
        <v>25324</v>
      </c>
      <c r="D24" s="47">
        <v>2226</v>
      </c>
      <c r="E24" s="47">
        <v>0</v>
      </c>
      <c r="F24" s="47">
        <v>0</v>
      </c>
      <c r="G24" s="47">
        <v>2109395</v>
      </c>
      <c r="H24" s="47">
        <v>30605</v>
      </c>
      <c r="I24" s="47">
        <v>4071725</v>
      </c>
      <c r="J24" s="47">
        <v>14829</v>
      </c>
    </row>
    <row r="25" spans="1:12" x14ac:dyDescent="0.25">
      <c r="A25" s="120">
        <f t="shared" si="0"/>
        <v>42461</v>
      </c>
      <c r="B25" s="47">
        <v>1368396</v>
      </c>
      <c r="C25" s="47">
        <v>30367</v>
      </c>
      <c r="D25" s="47">
        <v>1039</v>
      </c>
      <c r="E25" s="47">
        <v>0</v>
      </c>
      <c r="F25" s="47">
        <v>0</v>
      </c>
      <c r="G25" s="47">
        <v>772504</v>
      </c>
      <c r="H25" s="47">
        <v>27496</v>
      </c>
      <c r="I25" s="47">
        <v>2023224</v>
      </c>
      <c r="J25" s="47">
        <v>11688</v>
      </c>
    </row>
    <row r="26" spans="1:12" x14ac:dyDescent="0.25">
      <c r="A26" s="120">
        <f t="shared" si="0"/>
        <v>42491</v>
      </c>
      <c r="B26" s="47">
        <v>1210348</v>
      </c>
      <c r="C26" s="47">
        <v>34732</v>
      </c>
      <c r="D26" s="47">
        <v>362</v>
      </c>
      <c r="E26" s="47">
        <v>0</v>
      </c>
      <c r="F26" s="47">
        <v>0</v>
      </c>
      <c r="G26" s="47">
        <v>71918</v>
      </c>
      <c r="H26" s="47">
        <v>28082</v>
      </c>
      <c r="I26" s="47">
        <v>1190652</v>
      </c>
      <c r="J26" s="47">
        <v>8507</v>
      </c>
    </row>
    <row r="27" spans="1:12" x14ac:dyDescent="0.25">
      <c r="A27" s="120">
        <f t="shared" si="0"/>
        <v>42522</v>
      </c>
      <c r="B27" s="47">
        <v>2219781</v>
      </c>
      <c r="C27" s="47">
        <v>53116</v>
      </c>
      <c r="D27" s="47">
        <v>282</v>
      </c>
      <c r="E27" s="47">
        <v>0</v>
      </c>
      <c r="F27" s="47">
        <v>1366882</v>
      </c>
      <c r="G27" s="47">
        <v>0</v>
      </c>
      <c r="H27" s="47">
        <v>28882</v>
      </c>
      <c r="I27" s="47">
        <v>772506</v>
      </c>
      <c r="J27" s="47">
        <v>14829</v>
      </c>
    </row>
    <row r="28" spans="1:12" x14ac:dyDescent="0.25">
      <c r="A28" s="120">
        <f t="shared" si="0"/>
        <v>42552</v>
      </c>
      <c r="B28" s="47">
        <v>3601166</v>
      </c>
      <c r="C28" s="47">
        <v>48607</v>
      </c>
      <c r="D28" s="47">
        <v>149</v>
      </c>
      <c r="E28" s="47">
        <v>1020</v>
      </c>
      <c r="F28" s="47">
        <v>2824824</v>
      </c>
      <c r="G28" s="47">
        <v>0</v>
      </c>
      <c r="H28" s="47">
        <v>32824</v>
      </c>
      <c r="I28" s="47">
        <v>716538</v>
      </c>
      <c r="J28" s="47">
        <v>12824</v>
      </c>
    </row>
    <row r="29" spans="1:12" x14ac:dyDescent="0.25">
      <c r="A29" s="120">
        <f t="shared" si="0"/>
        <v>42583</v>
      </c>
      <c r="B29" s="47">
        <v>3693887</v>
      </c>
      <c r="C29" s="47">
        <v>44130</v>
      </c>
      <c r="D29" s="47">
        <v>101</v>
      </c>
      <c r="E29" s="47">
        <v>1020</v>
      </c>
      <c r="F29" s="47">
        <v>2891045</v>
      </c>
      <c r="G29" s="47">
        <v>0</v>
      </c>
      <c r="H29" s="47">
        <v>41045</v>
      </c>
      <c r="I29" s="47">
        <v>746708</v>
      </c>
      <c r="J29" s="47">
        <v>12824</v>
      </c>
    </row>
    <row r="30" spans="1:12" x14ac:dyDescent="0.25">
      <c r="A30" s="120">
        <f t="shared" si="0"/>
        <v>42614</v>
      </c>
      <c r="B30" s="47">
        <v>3664808</v>
      </c>
      <c r="C30" s="47">
        <v>53342</v>
      </c>
      <c r="D30" s="47">
        <v>92</v>
      </c>
      <c r="E30" s="47">
        <v>510</v>
      </c>
      <c r="F30" s="47">
        <v>2783959</v>
      </c>
      <c r="G30" s="47">
        <v>0</v>
      </c>
      <c r="H30" s="47">
        <v>43959</v>
      </c>
      <c r="I30" s="47">
        <v>825538</v>
      </c>
      <c r="J30" s="47">
        <v>12773</v>
      </c>
    </row>
    <row r="31" spans="1:12" x14ac:dyDescent="0.25">
      <c r="A31" s="120">
        <f t="shared" si="0"/>
        <v>42644</v>
      </c>
      <c r="B31" s="47">
        <v>3637644</v>
      </c>
      <c r="C31" s="47">
        <v>82865</v>
      </c>
      <c r="D31" s="47">
        <v>143</v>
      </c>
      <c r="E31" s="47">
        <v>0</v>
      </c>
      <c r="F31" s="47">
        <v>2069628</v>
      </c>
      <c r="G31" s="47">
        <v>0</v>
      </c>
      <c r="H31" s="47">
        <v>49628</v>
      </c>
      <c r="I31" s="47">
        <v>1504037</v>
      </c>
      <c r="J31" s="47">
        <v>10615</v>
      </c>
    </row>
    <row r="32" spans="1:12" x14ac:dyDescent="0.25">
      <c r="A32" s="120">
        <f t="shared" si="0"/>
        <v>42675</v>
      </c>
      <c r="B32" s="47">
        <v>2490812</v>
      </c>
      <c r="C32" s="47">
        <v>62445</v>
      </c>
      <c r="D32" s="47">
        <v>635.5</v>
      </c>
      <c r="E32" s="47">
        <v>0</v>
      </c>
      <c r="F32" s="47">
        <v>250423</v>
      </c>
      <c r="G32" s="47">
        <v>200000</v>
      </c>
      <c r="H32" s="47">
        <v>50423</v>
      </c>
      <c r="I32" s="47">
        <v>2342164.3604958318</v>
      </c>
      <c r="J32" s="47">
        <v>14564.100000000002</v>
      </c>
      <c r="K32" s="260"/>
    </row>
    <row r="33" spans="1:11" x14ac:dyDescent="0.25">
      <c r="A33" s="120">
        <f t="shared" si="0"/>
        <v>42705</v>
      </c>
      <c r="B33" s="47">
        <v>2393669</v>
      </c>
      <c r="C33" s="47">
        <v>53786</v>
      </c>
      <c r="D33" s="47">
        <v>1627</v>
      </c>
      <c r="E33" s="47">
        <v>0</v>
      </c>
      <c r="F33" s="47">
        <v>0</v>
      </c>
      <c r="G33" s="47">
        <v>2151073</v>
      </c>
      <c r="H33" s="47">
        <v>48927</v>
      </c>
      <c r="I33" s="47">
        <v>4382245.7996057328</v>
      </c>
      <c r="J33" s="47">
        <v>12191.8</v>
      </c>
      <c r="K33" s="260"/>
    </row>
    <row r="34" spans="1:11" x14ac:dyDescent="0.25">
      <c r="A34" s="120">
        <f t="shared" si="0"/>
        <v>42736</v>
      </c>
      <c r="B34" s="47">
        <v>2999829</v>
      </c>
      <c r="C34" s="47">
        <v>38096</v>
      </c>
      <c r="D34" s="47">
        <v>2006</v>
      </c>
      <c r="E34" s="47">
        <v>0</v>
      </c>
      <c r="F34" s="47">
        <v>0</v>
      </c>
      <c r="G34" s="47">
        <v>3354470</v>
      </c>
      <c r="H34" s="47">
        <v>45530</v>
      </c>
      <c r="I34" s="47">
        <v>6139819.1618230706</v>
      </c>
      <c r="J34" s="47">
        <v>12279.599999999999</v>
      </c>
      <c r="K34" s="260"/>
    </row>
    <row r="35" spans="1:11" x14ac:dyDescent="0.25">
      <c r="A35" s="120">
        <f t="shared" si="0"/>
        <v>42767</v>
      </c>
      <c r="B35" s="47">
        <v>2880935</v>
      </c>
      <c r="C35" s="47">
        <v>25625</v>
      </c>
      <c r="D35" s="47">
        <v>1768.5</v>
      </c>
      <c r="E35" s="47">
        <v>0</v>
      </c>
      <c r="F35" s="47">
        <v>0</v>
      </c>
      <c r="G35" s="47">
        <v>3082101</v>
      </c>
      <c r="H35" s="47">
        <v>37899</v>
      </c>
      <c r="I35" s="47">
        <v>5761399.6451268187</v>
      </c>
      <c r="J35" s="47">
        <v>12236.5</v>
      </c>
      <c r="K35" s="260"/>
    </row>
    <row r="36" spans="1:11" x14ac:dyDescent="0.25">
      <c r="A36" s="120">
        <f t="shared" si="0"/>
        <v>42795</v>
      </c>
      <c r="B36" s="47">
        <v>2874734</v>
      </c>
      <c r="C36" s="47">
        <v>41427</v>
      </c>
      <c r="D36" s="47">
        <v>2225.5</v>
      </c>
      <c r="E36" s="47">
        <v>0</v>
      </c>
      <c r="F36" s="47">
        <v>0</v>
      </c>
      <c r="G36" s="47">
        <v>1987299</v>
      </c>
      <c r="H36" s="47">
        <v>32701</v>
      </c>
      <c r="I36" s="47">
        <v>4670496.3224569801</v>
      </c>
      <c r="J36" s="47">
        <v>14343.8</v>
      </c>
      <c r="K36" s="260"/>
    </row>
    <row r="37" spans="1:11" x14ac:dyDescent="0.25">
      <c r="A37" s="120">
        <f t="shared" si="0"/>
        <v>42826</v>
      </c>
      <c r="B37" s="47">
        <v>1869958</v>
      </c>
      <c r="C37" s="47">
        <v>64808</v>
      </c>
      <c r="D37" s="47">
        <v>1038.5</v>
      </c>
      <c r="E37" s="47">
        <v>0</v>
      </c>
      <c r="F37" s="47">
        <v>0</v>
      </c>
      <c r="G37" s="47">
        <v>772585</v>
      </c>
      <c r="H37" s="47">
        <v>27415</v>
      </c>
      <c r="I37" s="47">
        <v>2523051.3731349409</v>
      </c>
      <c r="J37" s="47">
        <v>13360.1</v>
      </c>
      <c r="K37" s="260"/>
    </row>
    <row r="38" spans="1:11" x14ac:dyDescent="0.25">
      <c r="A38" s="120">
        <f t="shared" si="0"/>
        <v>42856</v>
      </c>
      <c r="B38" s="47">
        <v>1441197</v>
      </c>
      <c r="C38" s="47">
        <v>51340</v>
      </c>
      <c r="D38" s="47">
        <v>362</v>
      </c>
      <c r="E38" s="47">
        <v>0</v>
      </c>
      <c r="F38" s="47">
        <v>0</v>
      </c>
      <c r="G38" s="47">
        <v>72592</v>
      </c>
      <c r="H38" s="47">
        <v>27408</v>
      </c>
      <c r="I38" s="47">
        <v>1419481.285840834</v>
      </c>
      <c r="J38" s="47">
        <v>11245.5</v>
      </c>
      <c r="K38" s="260"/>
    </row>
    <row r="39" spans="1:11" x14ac:dyDescent="0.25">
      <c r="A39" s="120">
        <f t="shared" si="0"/>
        <v>42887</v>
      </c>
      <c r="B39" s="47">
        <v>2361637</v>
      </c>
      <c r="C39" s="47">
        <v>53203</v>
      </c>
      <c r="D39" s="47">
        <v>282</v>
      </c>
      <c r="E39" s="47">
        <v>0</v>
      </c>
      <c r="F39" s="47">
        <v>1368882</v>
      </c>
      <c r="G39" s="47">
        <v>0</v>
      </c>
      <c r="H39" s="47">
        <v>28882</v>
      </c>
      <c r="I39" s="47">
        <v>912979.59494808805</v>
      </c>
      <c r="J39" s="47">
        <v>14211.3</v>
      </c>
      <c r="K39" s="260"/>
    </row>
    <row r="40" spans="1:11" x14ac:dyDescent="0.25">
      <c r="A40" s="120">
        <f t="shared" si="0"/>
        <v>42917</v>
      </c>
      <c r="B40" s="47">
        <v>3203498</v>
      </c>
      <c r="C40" s="47">
        <v>64710</v>
      </c>
      <c r="D40" s="47">
        <v>149</v>
      </c>
      <c r="E40" s="47">
        <v>0</v>
      </c>
      <c r="F40" s="47">
        <v>2354603</v>
      </c>
      <c r="G40" s="47">
        <v>0</v>
      </c>
      <c r="H40" s="47">
        <v>34603</v>
      </c>
      <c r="I40" s="47">
        <v>789933.15250965115</v>
      </c>
      <c r="J40" s="47">
        <v>13182.9</v>
      </c>
      <c r="K40" s="260"/>
    </row>
    <row r="41" spans="1:11" x14ac:dyDescent="0.25">
      <c r="A41" s="120">
        <f t="shared" si="0"/>
        <v>42948</v>
      </c>
      <c r="B41" s="47">
        <v>3786631</v>
      </c>
      <c r="C41" s="47">
        <v>39437</v>
      </c>
      <c r="D41" s="47">
        <v>101</v>
      </c>
      <c r="E41" s="47">
        <v>0</v>
      </c>
      <c r="F41" s="47">
        <v>2980482</v>
      </c>
      <c r="G41" s="47">
        <v>0</v>
      </c>
      <c r="H41" s="47">
        <v>40482</v>
      </c>
      <c r="I41" s="47">
        <v>752634.23840221553</v>
      </c>
      <c r="J41" s="47">
        <v>13395.9</v>
      </c>
      <c r="K41" s="260"/>
    </row>
    <row r="42" spans="1:11" x14ac:dyDescent="0.25">
      <c r="A42" s="120">
        <f t="shared" si="0"/>
        <v>42979</v>
      </c>
      <c r="B42" s="47">
        <v>3721750</v>
      </c>
      <c r="C42" s="47">
        <v>71170</v>
      </c>
      <c r="D42" s="47">
        <v>91.5</v>
      </c>
      <c r="E42" s="47">
        <v>0</v>
      </c>
      <c r="F42" s="47">
        <v>2872825</v>
      </c>
      <c r="G42" s="47">
        <v>0</v>
      </c>
      <c r="H42" s="47">
        <v>42825</v>
      </c>
      <c r="I42" s="47">
        <v>794767.42918480793</v>
      </c>
      <c r="J42" s="47">
        <v>12191.8</v>
      </c>
      <c r="K42" s="260"/>
    </row>
    <row r="43" spans="1:11" x14ac:dyDescent="0.25">
      <c r="A43" s="120">
        <f t="shared" si="0"/>
        <v>43009</v>
      </c>
      <c r="B43" s="47">
        <v>3330179</v>
      </c>
      <c r="C43" s="47">
        <v>86476</v>
      </c>
      <c r="D43" s="47">
        <v>143</v>
      </c>
      <c r="E43" s="47">
        <v>0</v>
      </c>
      <c r="F43" s="47">
        <v>2256600</v>
      </c>
      <c r="G43" s="47">
        <v>0</v>
      </c>
      <c r="H43" s="47">
        <v>46600</v>
      </c>
      <c r="I43" s="47">
        <v>1006032.6273241421</v>
      </c>
      <c r="J43" s="47">
        <v>14343.8</v>
      </c>
      <c r="K43" s="260"/>
    </row>
    <row r="44" spans="1:11" x14ac:dyDescent="0.25">
      <c r="A44" s="120">
        <f t="shared" si="0"/>
        <v>43040</v>
      </c>
      <c r="B44" s="47">
        <v>2907292</v>
      </c>
      <c r="C44" s="47">
        <v>76810</v>
      </c>
      <c r="D44" s="47">
        <v>635.5</v>
      </c>
      <c r="E44" s="47">
        <v>0</v>
      </c>
      <c r="F44" s="47">
        <v>252840</v>
      </c>
      <c r="G44" s="47">
        <v>200000</v>
      </c>
      <c r="H44" s="47">
        <v>52840.229341927778</v>
      </c>
      <c r="I44" s="47">
        <v>2732948.137591423</v>
      </c>
      <c r="J44" s="47">
        <v>38478.1</v>
      </c>
      <c r="K44" s="260"/>
    </row>
    <row r="45" spans="1:11" x14ac:dyDescent="0.25">
      <c r="A45" s="120">
        <f t="shared" si="0"/>
        <v>43070</v>
      </c>
      <c r="B45" s="47">
        <v>3113061</v>
      </c>
      <c r="C45" s="47">
        <v>55898</v>
      </c>
      <c r="D45" s="47">
        <v>1627</v>
      </c>
      <c r="E45" s="47">
        <v>0</v>
      </c>
      <c r="F45" s="47">
        <v>0</v>
      </c>
      <c r="G45" s="47">
        <v>2148337</v>
      </c>
      <c r="H45" s="47">
        <v>51662.982752762131</v>
      </c>
      <c r="I45" s="47">
        <v>5073217.68200788</v>
      </c>
      <c r="J45" s="47">
        <v>38478.1</v>
      </c>
    </row>
    <row r="46" spans="1:11" x14ac:dyDescent="0.25">
      <c r="A46" s="120">
        <f t="shared" si="0"/>
        <v>43101</v>
      </c>
      <c r="B46" s="47">
        <v>3339989</v>
      </c>
      <c r="C46" s="47">
        <v>40788</v>
      </c>
      <c r="D46" s="47">
        <v>2006</v>
      </c>
      <c r="E46" s="47">
        <v>0</v>
      </c>
      <c r="F46" s="47">
        <v>0</v>
      </c>
      <c r="G46" s="47">
        <v>3353027</v>
      </c>
      <c r="H46" s="47">
        <v>46972.708423859884</v>
      </c>
      <c r="I46" s="47">
        <v>6452432.2997245034</v>
      </c>
      <c r="J46" s="47">
        <v>38478.1</v>
      </c>
    </row>
    <row r="47" spans="1:11" x14ac:dyDescent="0.25">
      <c r="A47" s="120">
        <f t="shared" si="0"/>
        <v>43132</v>
      </c>
      <c r="B47" s="47">
        <v>2862751</v>
      </c>
      <c r="C47" s="47">
        <v>35681</v>
      </c>
      <c r="D47" s="47">
        <v>1768.5</v>
      </c>
      <c r="E47" s="47">
        <v>0</v>
      </c>
      <c r="F47" s="47">
        <v>0</v>
      </c>
      <c r="G47" s="47">
        <v>2977058</v>
      </c>
      <c r="H47" s="47">
        <v>42941.737018235734</v>
      </c>
      <c r="I47" s="47">
        <v>5612089.7213283991</v>
      </c>
      <c r="J47" s="47">
        <v>38478.1</v>
      </c>
    </row>
    <row r="48" spans="1:11" x14ac:dyDescent="0.25">
      <c r="A48" s="120">
        <f t="shared" si="0"/>
        <v>43160</v>
      </c>
      <c r="B48" s="47">
        <v>2128064</v>
      </c>
      <c r="C48" s="47">
        <v>40081</v>
      </c>
      <c r="D48" s="47">
        <v>2225.5</v>
      </c>
      <c r="E48" s="47">
        <v>0</v>
      </c>
      <c r="F48" s="47">
        <v>0</v>
      </c>
      <c r="G48" s="47">
        <v>1982329</v>
      </c>
      <c r="H48" s="47">
        <v>37671.281969171207</v>
      </c>
      <c r="I48" s="47">
        <v>3897813.3754893886</v>
      </c>
      <c r="J48" s="47">
        <v>44301.500000000007</v>
      </c>
    </row>
    <row r="49" spans="1:10" x14ac:dyDescent="0.25">
      <c r="A49" s="120">
        <f t="shared" si="0"/>
        <v>43191</v>
      </c>
      <c r="B49" s="47">
        <v>1335791</v>
      </c>
      <c r="C49" s="47">
        <v>35364</v>
      </c>
      <c r="D49" s="47">
        <v>1038.5</v>
      </c>
      <c r="E49" s="47">
        <v>0</v>
      </c>
      <c r="F49" s="47">
        <v>0</v>
      </c>
      <c r="G49" s="47">
        <v>770443</v>
      </c>
      <c r="H49" s="47">
        <v>29556.648805049579</v>
      </c>
      <c r="I49" s="47">
        <v>1963956.841261033</v>
      </c>
      <c r="J49" s="47">
        <v>36383.4</v>
      </c>
    </row>
    <row r="50" spans="1:10" x14ac:dyDescent="0.25">
      <c r="A50" s="120">
        <f t="shared" si="0"/>
        <v>43221</v>
      </c>
      <c r="B50" s="47">
        <v>1174455</v>
      </c>
      <c r="C50" s="47">
        <v>39005</v>
      </c>
      <c r="D50" s="47">
        <v>362</v>
      </c>
      <c r="E50" s="47">
        <v>0</v>
      </c>
      <c r="F50" s="47">
        <v>0</v>
      </c>
      <c r="G50" s="47">
        <v>67911</v>
      </c>
      <c r="H50" s="47">
        <v>32088.736132705912</v>
      </c>
      <c r="I50" s="47">
        <v>1118827.2846716342</v>
      </c>
      <c r="J50" s="47">
        <v>40570.700000000004</v>
      </c>
    </row>
    <row r="51" spans="1:10" x14ac:dyDescent="0.25">
      <c r="A51" s="120">
        <f t="shared" si="0"/>
        <v>43252</v>
      </c>
      <c r="B51" s="47">
        <v>2215296</v>
      </c>
      <c r="C51" s="47">
        <v>50654</v>
      </c>
      <c r="D51" s="47">
        <v>282</v>
      </c>
      <c r="E51" s="47">
        <v>0</v>
      </c>
      <c r="F51" s="47">
        <v>1351521</v>
      </c>
      <c r="G51" s="47">
        <v>0</v>
      </c>
      <c r="H51" s="47">
        <v>31520.091714118022</v>
      </c>
      <c r="I51" s="47">
        <v>759733.24641992617</v>
      </c>
      <c r="J51" s="47">
        <v>38478.1</v>
      </c>
    </row>
    <row r="52" spans="1:10" x14ac:dyDescent="0.25">
      <c r="A52" s="120">
        <f t="shared" si="0"/>
        <v>43282</v>
      </c>
      <c r="B52" s="47">
        <v>3539397</v>
      </c>
      <c r="C52" s="47">
        <v>57592</v>
      </c>
      <c r="D52" s="47">
        <v>149</v>
      </c>
      <c r="E52" s="47">
        <v>0</v>
      </c>
      <c r="F52" s="47">
        <v>2790990</v>
      </c>
      <c r="G52" s="47">
        <v>0</v>
      </c>
      <c r="H52" s="47">
        <v>37990</v>
      </c>
      <c r="I52" s="47">
        <v>672699.39336743695</v>
      </c>
      <c r="J52" s="47">
        <v>29245.9</v>
      </c>
    </row>
    <row r="53" spans="1:10" x14ac:dyDescent="0.25">
      <c r="A53" s="120">
        <f t="shared" si="0"/>
        <v>43313</v>
      </c>
      <c r="B53" s="47">
        <v>3513509</v>
      </c>
      <c r="C53" s="47">
        <v>61010</v>
      </c>
      <c r="D53" s="47">
        <v>101</v>
      </c>
      <c r="E53" s="47">
        <v>0</v>
      </c>
      <c r="F53" s="47">
        <v>2771254</v>
      </c>
      <c r="G53" s="47">
        <v>0</v>
      </c>
      <c r="H53" s="47">
        <v>41253.707332392885</v>
      </c>
      <c r="I53" s="47">
        <v>662209.48546529899</v>
      </c>
      <c r="J53" s="47">
        <v>38478.1</v>
      </c>
    </row>
    <row r="54" spans="1:10" x14ac:dyDescent="0.25">
      <c r="A54" s="120">
        <f t="shared" si="0"/>
        <v>43344</v>
      </c>
      <c r="B54" s="47">
        <v>3471043</v>
      </c>
      <c r="C54" s="47">
        <v>62271</v>
      </c>
      <c r="D54" s="47">
        <v>91.5</v>
      </c>
      <c r="E54" s="47">
        <v>0</v>
      </c>
      <c r="F54" s="47">
        <v>2676028</v>
      </c>
      <c r="G54" s="47">
        <v>0</v>
      </c>
      <c r="H54" s="47">
        <v>46028.436483828787</v>
      </c>
      <c r="I54" s="47">
        <v>714681.92008887709</v>
      </c>
      <c r="J54" s="47">
        <v>38478.1</v>
      </c>
    </row>
    <row r="55" spans="1:10" x14ac:dyDescent="0.25">
      <c r="A55" s="120">
        <f t="shared" si="0"/>
        <v>43374</v>
      </c>
      <c r="B55" s="47">
        <v>3423157</v>
      </c>
      <c r="C55" s="47">
        <v>92008</v>
      </c>
      <c r="D55" s="47">
        <v>143</v>
      </c>
      <c r="E55" s="47">
        <v>0</v>
      </c>
      <c r="F55" s="47">
        <v>2157716</v>
      </c>
      <c r="G55" s="47">
        <v>0</v>
      </c>
      <c r="H55" s="47">
        <v>50716.017206050434</v>
      </c>
      <c r="I55" s="47">
        <v>1192617.409521492</v>
      </c>
      <c r="J55" s="47">
        <v>20013.7</v>
      </c>
    </row>
    <row r="56" spans="1:10" x14ac:dyDescent="0.25">
      <c r="A56" s="460">
        <f t="shared" si="0"/>
        <v>43405</v>
      </c>
      <c r="B56" s="461">
        <v>3030422</v>
      </c>
      <c r="C56" s="461">
        <v>57179</v>
      </c>
      <c r="D56" s="461">
        <v>1769</v>
      </c>
      <c r="E56" s="461">
        <v>0</v>
      </c>
      <c r="F56" s="461">
        <v>258328</v>
      </c>
      <c r="G56" s="461">
        <v>200000</v>
      </c>
      <c r="H56" s="461">
        <v>58328</v>
      </c>
      <c r="I56" s="461">
        <v>2834842</v>
      </c>
      <c r="J56" s="461">
        <v>40653</v>
      </c>
    </row>
    <row r="57" spans="1:10" x14ac:dyDescent="0.25">
      <c r="A57" s="460">
        <f t="shared" si="0"/>
        <v>43435</v>
      </c>
      <c r="B57" s="461">
        <v>3329567</v>
      </c>
      <c r="C57" s="461">
        <v>40527</v>
      </c>
      <c r="D57" s="461">
        <v>2226</v>
      </c>
      <c r="E57" s="461">
        <v>0</v>
      </c>
      <c r="F57" s="461">
        <v>0</v>
      </c>
      <c r="G57" s="461">
        <v>2142039</v>
      </c>
      <c r="H57" s="461">
        <v>57961</v>
      </c>
      <c r="I57" s="461">
        <v>5167257</v>
      </c>
      <c r="J57" s="461">
        <v>34803</v>
      </c>
    </row>
    <row r="58" spans="1:10" x14ac:dyDescent="0.25">
      <c r="A58" s="460">
        <f t="shared" si="0"/>
        <v>43466</v>
      </c>
      <c r="B58" s="461">
        <v>3554273</v>
      </c>
      <c r="C58" s="461">
        <v>15224</v>
      </c>
      <c r="D58" s="461">
        <v>1039</v>
      </c>
      <c r="E58" s="461">
        <v>0</v>
      </c>
      <c r="F58" s="461">
        <v>0</v>
      </c>
      <c r="G58" s="461">
        <v>3349043</v>
      </c>
      <c r="H58" s="461">
        <v>50957</v>
      </c>
      <c r="I58" s="461">
        <v>6453549</v>
      </c>
      <c r="J58" s="461">
        <v>34500</v>
      </c>
    </row>
    <row r="59" spans="1:10" x14ac:dyDescent="0.25">
      <c r="A59" s="460">
        <f t="shared" si="0"/>
        <v>43497</v>
      </c>
      <c r="B59" s="461">
        <v>3057930</v>
      </c>
      <c r="C59" s="461">
        <v>13673</v>
      </c>
      <c r="D59" s="461">
        <v>362</v>
      </c>
      <c r="E59" s="461">
        <v>0</v>
      </c>
      <c r="F59" s="461">
        <v>0</v>
      </c>
      <c r="G59" s="461">
        <v>2976839</v>
      </c>
      <c r="H59" s="461">
        <v>43161</v>
      </c>
      <c r="I59" s="461">
        <v>5629263</v>
      </c>
      <c r="J59" s="461">
        <v>40099</v>
      </c>
    </row>
    <row r="60" spans="1:10" x14ac:dyDescent="0.25">
      <c r="A60" s="460">
        <f t="shared" si="0"/>
        <v>43525</v>
      </c>
      <c r="B60" s="461">
        <v>2174909</v>
      </c>
      <c r="C60" s="461">
        <v>24842</v>
      </c>
      <c r="D60" s="461">
        <v>282</v>
      </c>
      <c r="E60" s="461">
        <v>0</v>
      </c>
      <c r="F60" s="461">
        <v>0</v>
      </c>
      <c r="G60" s="461">
        <v>1981815</v>
      </c>
      <c r="H60" s="461">
        <v>38185</v>
      </c>
      <c r="I60" s="461">
        <v>3867714</v>
      </c>
      <c r="J60" s="461">
        <v>27384</v>
      </c>
    </row>
    <row r="61" spans="1:10" x14ac:dyDescent="0.25">
      <c r="A61" s="460">
        <f t="shared" si="0"/>
        <v>43556</v>
      </c>
      <c r="B61" s="461">
        <v>1369843</v>
      </c>
      <c r="C61" s="461">
        <v>27307</v>
      </c>
      <c r="D61" s="461">
        <v>149</v>
      </c>
      <c r="E61" s="461">
        <v>0</v>
      </c>
      <c r="F61" s="461">
        <v>0</v>
      </c>
      <c r="G61" s="461">
        <v>768178</v>
      </c>
      <c r="H61" s="461">
        <v>31822</v>
      </c>
      <c r="I61" s="461">
        <v>1967953</v>
      </c>
      <c r="J61" s="461">
        <v>43490</v>
      </c>
    </row>
    <row r="62" spans="1:10" x14ac:dyDescent="0.25">
      <c r="A62" s="460">
        <f t="shared" si="0"/>
        <v>43586</v>
      </c>
      <c r="B62" s="461">
        <v>1062431</v>
      </c>
      <c r="C62" s="461">
        <v>32358</v>
      </c>
      <c r="D62" s="461">
        <v>101</v>
      </c>
      <c r="E62" s="461">
        <v>0</v>
      </c>
      <c r="F62" s="461">
        <v>0</v>
      </c>
      <c r="G62" s="461">
        <v>167608</v>
      </c>
      <c r="H62" s="461">
        <v>32392</v>
      </c>
      <c r="I62" s="461">
        <v>1107887</v>
      </c>
      <c r="J62" s="461">
        <v>39535</v>
      </c>
    </row>
    <row r="63" spans="1:10" x14ac:dyDescent="0.25">
      <c r="A63" s="460">
        <f t="shared" si="0"/>
        <v>43617</v>
      </c>
      <c r="B63" s="461">
        <v>2268369</v>
      </c>
      <c r="C63" s="461">
        <v>40554</v>
      </c>
      <c r="D63" s="461">
        <v>92</v>
      </c>
      <c r="E63" s="461">
        <v>900</v>
      </c>
      <c r="F63" s="461">
        <v>1434772</v>
      </c>
      <c r="G63" s="461">
        <v>0</v>
      </c>
      <c r="H63" s="461">
        <v>31772</v>
      </c>
      <c r="I63" s="461">
        <v>748216</v>
      </c>
      <c r="J63" s="461">
        <v>32444</v>
      </c>
    </row>
    <row r="64" spans="1:10" x14ac:dyDescent="0.25">
      <c r="A64" s="460">
        <f t="shared" si="0"/>
        <v>43647</v>
      </c>
      <c r="B64" s="461">
        <v>3648064</v>
      </c>
      <c r="C64" s="461">
        <v>42084</v>
      </c>
      <c r="D64" s="461">
        <v>143</v>
      </c>
      <c r="E64" s="461">
        <v>900</v>
      </c>
      <c r="F64" s="461">
        <v>2899907</v>
      </c>
      <c r="G64" s="461">
        <v>0</v>
      </c>
      <c r="H64" s="461">
        <v>42907</v>
      </c>
      <c r="I64" s="461">
        <v>672003</v>
      </c>
      <c r="J64" s="461">
        <v>28203</v>
      </c>
    </row>
    <row r="65" spans="1:10" x14ac:dyDescent="0.25">
      <c r="A65" s="460">
        <f t="shared" si="0"/>
        <v>43678</v>
      </c>
      <c r="B65" s="461">
        <v>3554108</v>
      </c>
      <c r="C65" s="461">
        <v>38339</v>
      </c>
      <c r="D65" s="461">
        <v>636</v>
      </c>
      <c r="E65" s="461">
        <v>3373</v>
      </c>
      <c r="F65" s="461">
        <v>2826752</v>
      </c>
      <c r="G65" s="461">
        <v>0</v>
      </c>
      <c r="H65" s="461">
        <v>46752</v>
      </c>
      <c r="I65" s="461">
        <v>654640</v>
      </c>
      <c r="J65" s="461">
        <v>26424</v>
      </c>
    </row>
    <row r="66" spans="1:10" x14ac:dyDescent="0.25">
      <c r="A66" s="460">
        <f t="shared" si="0"/>
        <v>43709</v>
      </c>
      <c r="B66" s="461">
        <v>3509954</v>
      </c>
      <c r="C66" s="461">
        <v>41958</v>
      </c>
      <c r="D66" s="461">
        <v>1627</v>
      </c>
      <c r="E66" s="461">
        <v>0</v>
      </c>
      <c r="F66" s="461">
        <v>2723123</v>
      </c>
      <c r="G66" s="461">
        <v>0</v>
      </c>
      <c r="H66" s="461">
        <v>53123</v>
      </c>
      <c r="I66" s="461">
        <v>703381</v>
      </c>
      <c r="J66" s="461">
        <v>43243</v>
      </c>
    </row>
    <row r="67" spans="1:10" x14ac:dyDescent="0.25">
      <c r="A67" s="460">
        <f t="shared" si="0"/>
        <v>43739</v>
      </c>
      <c r="B67" s="461">
        <v>3276217</v>
      </c>
      <c r="C67" s="461">
        <v>48541</v>
      </c>
      <c r="D67" s="461">
        <v>2006</v>
      </c>
      <c r="E67" s="461">
        <v>0</v>
      </c>
      <c r="F67" s="461">
        <v>1985561</v>
      </c>
      <c r="G67" s="461">
        <v>0</v>
      </c>
      <c r="H67" s="461">
        <v>55561</v>
      </c>
      <c r="I67" s="461">
        <v>1230186</v>
      </c>
      <c r="J67" s="461">
        <v>20722</v>
      </c>
    </row>
    <row r="68" spans="1:10" x14ac:dyDescent="0.25">
      <c r="A68" s="460">
        <f t="shared" si="0"/>
        <v>43770</v>
      </c>
      <c r="B68" s="461">
        <v>2998295</v>
      </c>
      <c r="C68" s="461">
        <v>55632</v>
      </c>
      <c r="D68" s="461">
        <v>1769</v>
      </c>
      <c r="E68" s="461">
        <v>0</v>
      </c>
      <c r="F68" s="461">
        <v>258328</v>
      </c>
      <c r="G68" s="461">
        <v>200000</v>
      </c>
      <c r="H68" s="461">
        <v>58328</v>
      </c>
      <c r="I68" s="461">
        <v>2812765</v>
      </c>
      <c r="J68" s="461">
        <v>30607</v>
      </c>
    </row>
    <row r="69" spans="1:10" x14ac:dyDescent="0.25">
      <c r="A69" s="460">
        <f t="shared" si="0"/>
        <v>43800</v>
      </c>
      <c r="B69" s="461">
        <v>3258505</v>
      </c>
      <c r="C69" s="461">
        <v>40146</v>
      </c>
      <c r="D69" s="461">
        <v>2226</v>
      </c>
      <c r="E69" s="461">
        <v>0</v>
      </c>
      <c r="F69" s="461">
        <v>0</v>
      </c>
      <c r="G69" s="461">
        <v>2142039</v>
      </c>
      <c r="H69" s="461">
        <v>57961</v>
      </c>
      <c r="I69" s="461">
        <v>5088368</v>
      </c>
      <c r="J69" s="461">
        <v>42544</v>
      </c>
    </row>
    <row r="70" spans="1:10" x14ac:dyDescent="0.25">
      <c r="A70" s="460">
        <f t="shared" si="0"/>
        <v>43831</v>
      </c>
      <c r="B70" s="461">
        <v>3527400</v>
      </c>
      <c r="C70" s="461">
        <v>15248</v>
      </c>
      <c r="D70" s="461">
        <v>1039</v>
      </c>
      <c r="E70" s="461">
        <v>0</v>
      </c>
      <c r="F70" s="461">
        <v>0</v>
      </c>
      <c r="G70" s="461">
        <v>3349043</v>
      </c>
      <c r="H70" s="461">
        <v>50957</v>
      </c>
      <c r="I70" s="461">
        <v>6426676</v>
      </c>
      <c r="J70" s="461">
        <v>34500</v>
      </c>
    </row>
    <row r="71" spans="1:10" x14ac:dyDescent="0.25">
      <c r="A71" s="460">
        <f t="shared" si="0"/>
        <v>43862</v>
      </c>
      <c r="B71" s="461">
        <v>3045795</v>
      </c>
      <c r="C71" s="461">
        <v>13677</v>
      </c>
      <c r="D71" s="461">
        <v>362</v>
      </c>
      <c r="E71" s="461">
        <v>0</v>
      </c>
      <c r="F71" s="461">
        <v>0</v>
      </c>
      <c r="G71" s="461">
        <v>2976839</v>
      </c>
      <c r="H71" s="461">
        <v>43161</v>
      </c>
      <c r="I71" s="461">
        <v>5609047</v>
      </c>
      <c r="J71" s="461">
        <v>36668</v>
      </c>
    </row>
    <row r="72" spans="1:10" x14ac:dyDescent="0.25">
      <c r="A72" s="460">
        <f t="shared" si="0"/>
        <v>43891</v>
      </c>
      <c r="B72" s="461">
        <v>2187411</v>
      </c>
      <c r="C72" s="461">
        <v>24361</v>
      </c>
      <c r="D72" s="461">
        <v>282</v>
      </c>
      <c r="E72" s="461">
        <v>0</v>
      </c>
      <c r="F72" s="461">
        <v>0</v>
      </c>
      <c r="G72" s="461">
        <v>1981815</v>
      </c>
      <c r="H72" s="461">
        <v>38185</v>
      </c>
      <c r="I72" s="461">
        <v>3874874</v>
      </c>
      <c r="J72" s="461">
        <v>34438</v>
      </c>
    </row>
    <row r="73" spans="1:10" x14ac:dyDescent="0.25">
      <c r="A73" s="460">
        <f t="shared" si="0"/>
        <v>43922</v>
      </c>
      <c r="B73" s="461">
        <v>1351272</v>
      </c>
      <c r="C73" s="461">
        <v>27305</v>
      </c>
      <c r="D73" s="461">
        <v>149</v>
      </c>
      <c r="E73" s="461">
        <v>0</v>
      </c>
      <c r="F73" s="461">
        <v>0</v>
      </c>
      <c r="G73" s="461">
        <v>768178</v>
      </c>
      <c r="H73" s="461">
        <v>31822</v>
      </c>
      <c r="I73" s="461">
        <v>1958621</v>
      </c>
      <c r="J73" s="461">
        <v>35072</v>
      </c>
    </row>
    <row r="74" spans="1:10" x14ac:dyDescent="0.25">
      <c r="A74" s="460">
        <f t="shared" ref="A74" si="1">EDATE(A73,1)</f>
        <v>43952</v>
      </c>
      <c r="B74" s="461">
        <v>1054362</v>
      </c>
      <c r="C74" s="461">
        <v>32305</v>
      </c>
      <c r="D74" s="461">
        <v>101</v>
      </c>
      <c r="E74" s="461">
        <v>964</v>
      </c>
      <c r="F74" s="461">
        <v>0</v>
      </c>
      <c r="G74" s="461">
        <v>167608</v>
      </c>
      <c r="H74" s="461">
        <v>32392</v>
      </c>
      <c r="I74" s="461">
        <v>1101869</v>
      </c>
      <c r="J74" s="461">
        <v>36522</v>
      </c>
    </row>
    <row r="75" spans="1:10" x14ac:dyDescent="0.25">
      <c r="A75" s="460">
        <f t="shared" si="0"/>
        <v>43983</v>
      </c>
      <c r="B75" s="461">
        <v>2260036</v>
      </c>
      <c r="C75" s="461">
        <v>40699</v>
      </c>
      <c r="D75" s="461">
        <v>92</v>
      </c>
      <c r="E75" s="461">
        <v>0</v>
      </c>
      <c r="F75" s="461">
        <v>1434772</v>
      </c>
      <c r="G75" s="461">
        <v>0</v>
      </c>
      <c r="H75" s="461">
        <v>31772</v>
      </c>
      <c r="I75" s="461">
        <v>738768</v>
      </c>
      <c r="J75" s="461">
        <v>34438</v>
      </c>
    </row>
    <row r="76" spans="1:10" x14ac:dyDescent="0.25">
      <c r="A76" s="460">
        <f t="shared" ref="A76:A79" si="2">EDATE(A75,1)</f>
        <v>44013</v>
      </c>
      <c r="B76" s="461">
        <v>3643728</v>
      </c>
      <c r="C76" s="461">
        <v>42231</v>
      </c>
      <c r="D76" s="461">
        <v>143</v>
      </c>
      <c r="E76" s="461">
        <v>0</v>
      </c>
      <c r="F76" s="461">
        <v>2899907</v>
      </c>
      <c r="G76" s="461">
        <v>0</v>
      </c>
      <c r="H76" s="461">
        <v>42907</v>
      </c>
      <c r="I76" s="461">
        <v>662332</v>
      </c>
      <c r="J76" s="461">
        <v>34438</v>
      </c>
    </row>
    <row r="77" spans="1:10" x14ac:dyDescent="0.25">
      <c r="A77" s="460">
        <f t="shared" si="2"/>
        <v>44044</v>
      </c>
      <c r="B77" s="461">
        <v>3549906</v>
      </c>
      <c r="C77" s="461">
        <v>38469</v>
      </c>
      <c r="D77" s="461">
        <v>636</v>
      </c>
      <c r="E77" s="461">
        <v>1124</v>
      </c>
      <c r="F77" s="461">
        <v>2826752</v>
      </c>
      <c r="G77" s="461">
        <v>0</v>
      </c>
      <c r="H77" s="461">
        <v>46752</v>
      </c>
      <c r="I77" s="461">
        <v>644524</v>
      </c>
      <c r="J77" s="461">
        <v>34525</v>
      </c>
    </row>
    <row r="78" spans="1:10" x14ac:dyDescent="0.25">
      <c r="A78" s="460">
        <f t="shared" si="2"/>
        <v>44075</v>
      </c>
      <c r="B78" s="461">
        <v>3488303</v>
      </c>
      <c r="C78" s="461">
        <v>42112</v>
      </c>
      <c r="D78" s="461">
        <v>1627</v>
      </c>
      <c r="E78" s="461">
        <v>0</v>
      </c>
      <c r="F78" s="461">
        <v>2723123</v>
      </c>
      <c r="G78" s="461">
        <v>0</v>
      </c>
      <c r="H78" s="461">
        <v>53123</v>
      </c>
      <c r="I78" s="461">
        <v>692803</v>
      </c>
      <c r="J78" s="461">
        <v>32808</v>
      </c>
    </row>
    <row r="79" spans="1:10" x14ac:dyDescent="0.25">
      <c r="A79" s="460">
        <f t="shared" si="2"/>
        <v>44105</v>
      </c>
      <c r="B79" s="461">
        <v>3267210</v>
      </c>
      <c r="C79" s="461">
        <v>48409</v>
      </c>
      <c r="D79" s="461">
        <v>2006</v>
      </c>
      <c r="E79" s="461">
        <v>964</v>
      </c>
      <c r="F79" s="461">
        <v>1985561</v>
      </c>
      <c r="G79" s="461">
        <v>0</v>
      </c>
      <c r="H79" s="461">
        <v>55561</v>
      </c>
      <c r="I79" s="461">
        <v>1221396</v>
      </c>
      <c r="J79" s="461">
        <v>19912</v>
      </c>
    </row>
  </sheetData>
  <mergeCells count="5">
    <mergeCell ref="A3:J3"/>
    <mergeCell ref="A4:J4"/>
    <mergeCell ref="A7:C7"/>
    <mergeCell ref="D7:J7"/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3" tint="0.79998168889431442"/>
    <pageSetUpPr fitToPage="1"/>
  </sheetPr>
  <dimension ref="A1:M68"/>
  <sheetViews>
    <sheetView zoomScaleNormal="100" workbookViewId="0">
      <pane xSplit="1" ySplit="3" topLeftCell="B55" activePane="bottomRight" state="frozen"/>
      <selection pane="topRight"/>
      <selection pane="bottomLeft"/>
      <selection pane="bottomRight"/>
    </sheetView>
  </sheetViews>
  <sheetFormatPr defaultColWidth="8.88671875" defaultRowHeight="15.75" x14ac:dyDescent="0.25"/>
  <cols>
    <col min="1" max="1" width="14.21875" style="6" customWidth="1"/>
    <col min="2" max="2" width="14.109375" style="6" customWidth="1"/>
    <col min="3" max="4" width="17.109375" style="6" customWidth="1"/>
    <col min="5" max="5" width="13.33203125" style="6" customWidth="1"/>
    <col min="6" max="6" width="15.5546875" style="6" customWidth="1"/>
    <col min="7" max="7" width="15.88671875" style="6" customWidth="1"/>
    <col min="8" max="8" width="14.5546875" style="6" customWidth="1"/>
    <col min="9" max="9" width="4.44140625" style="435" customWidth="1"/>
    <col min="10" max="10" width="10.77734375" style="435" customWidth="1"/>
    <col min="11" max="11" width="12" style="6" customWidth="1"/>
    <col min="12" max="12" width="11.44140625" style="6" customWidth="1"/>
    <col min="13" max="16384" width="8.88671875" style="6"/>
  </cols>
  <sheetData>
    <row r="1" spans="1:13" x14ac:dyDescent="0.25">
      <c r="A1" s="124" t="s">
        <v>60</v>
      </c>
      <c r="B1" s="124" t="s">
        <v>61</v>
      </c>
      <c r="C1" s="124" t="s">
        <v>62</v>
      </c>
      <c r="D1" s="124" t="s">
        <v>63</v>
      </c>
      <c r="E1" s="124" t="s">
        <v>64</v>
      </c>
      <c r="F1" s="124" t="s">
        <v>65</v>
      </c>
      <c r="G1" s="124" t="s">
        <v>66</v>
      </c>
      <c r="H1" s="124" t="s">
        <v>111</v>
      </c>
    </row>
    <row r="2" spans="1:13" x14ac:dyDescent="0.25">
      <c r="A2" s="530"/>
      <c r="B2" s="122" t="s">
        <v>400</v>
      </c>
      <c r="C2" s="122" t="s">
        <v>392</v>
      </c>
      <c r="D2" s="122" t="s">
        <v>392</v>
      </c>
      <c r="E2" s="122" t="s">
        <v>400</v>
      </c>
      <c r="F2" s="122" t="s">
        <v>395</v>
      </c>
      <c r="G2" s="122" t="s">
        <v>395</v>
      </c>
      <c r="H2" s="122" t="s">
        <v>400</v>
      </c>
    </row>
    <row r="3" spans="1:13" x14ac:dyDescent="0.25">
      <c r="A3" s="532" t="s">
        <v>267</v>
      </c>
      <c r="B3" s="123" t="s">
        <v>387</v>
      </c>
      <c r="C3" s="123" t="s">
        <v>393</v>
      </c>
      <c r="D3" s="123" t="s">
        <v>394</v>
      </c>
      <c r="E3" s="123" t="s">
        <v>388</v>
      </c>
      <c r="F3" s="123" t="s">
        <v>393</v>
      </c>
      <c r="G3" s="123" t="s">
        <v>394</v>
      </c>
      <c r="H3" s="123" t="s">
        <v>389</v>
      </c>
    </row>
    <row r="4" spans="1:13" x14ac:dyDescent="0.25">
      <c r="A4" s="125">
        <v>41640</v>
      </c>
      <c r="B4" s="128">
        <v>7164339.5999999996</v>
      </c>
      <c r="C4" s="127">
        <v>7161740.0999999996</v>
      </c>
      <c r="D4" s="127">
        <v>2599.5</v>
      </c>
      <c r="E4" s="332">
        <v>18227.7</v>
      </c>
      <c r="F4" s="126" t="s">
        <v>390</v>
      </c>
      <c r="G4" s="126" t="s">
        <v>390</v>
      </c>
      <c r="H4" s="545">
        <v>1502937.7</v>
      </c>
      <c r="J4" s="250" t="s">
        <v>415</v>
      </c>
      <c r="K4" s="130"/>
      <c r="L4" s="130"/>
      <c r="M4" s="130"/>
    </row>
    <row r="5" spans="1:13" x14ac:dyDescent="0.25">
      <c r="A5" s="125">
        <v>41671</v>
      </c>
      <c r="B5" s="128">
        <v>7414286.9000000004</v>
      </c>
      <c r="C5" s="127">
        <v>3765480.4</v>
      </c>
      <c r="D5" s="127">
        <v>3648806.5</v>
      </c>
      <c r="E5" s="332">
        <v>25147</v>
      </c>
      <c r="F5" s="126" t="s">
        <v>390</v>
      </c>
      <c r="G5" s="126" t="s">
        <v>390</v>
      </c>
      <c r="H5" s="545">
        <v>1308586.3</v>
      </c>
      <c r="J5" s="250" t="s">
        <v>418</v>
      </c>
      <c r="K5" s="130"/>
      <c r="L5" s="130"/>
      <c r="M5" s="130"/>
    </row>
    <row r="6" spans="1:13" x14ac:dyDescent="0.25">
      <c r="A6" s="272">
        <v>41699</v>
      </c>
      <c r="B6" s="128">
        <f>SUM(C6:D6)</f>
        <v>5630919.2999999998</v>
      </c>
      <c r="C6" s="127">
        <f>1416256/10</f>
        <v>141625.60000000001</v>
      </c>
      <c r="D6" s="127">
        <f>54892937/10</f>
        <v>5489293.7000000002</v>
      </c>
      <c r="E6" s="332">
        <v>17207.599999999999</v>
      </c>
      <c r="F6" s="126" t="s">
        <v>390</v>
      </c>
      <c r="G6" s="126" t="s">
        <v>390</v>
      </c>
      <c r="H6" s="545">
        <v>1232291</v>
      </c>
    </row>
    <row r="7" spans="1:13" x14ac:dyDescent="0.25">
      <c r="A7" s="272">
        <v>41730</v>
      </c>
      <c r="B7" s="128">
        <f t="shared" ref="B7:B44" si="0">SUM(C7:D7)</f>
        <v>2981427.6999999997</v>
      </c>
      <c r="C7" s="127">
        <f>875463/10</f>
        <v>87546.3</v>
      </c>
      <c r="D7" s="127">
        <f>28938814/10</f>
        <v>2893881.4</v>
      </c>
      <c r="E7" s="332">
        <v>10919</v>
      </c>
      <c r="F7" s="126" t="s">
        <v>390</v>
      </c>
      <c r="G7" s="126" t="s">
        <v>390</v>
      </c>
      <c r="H7" s="545">
        <v>1505681.6</v>
      </c>
    </row>
    <row r="8" spans="1:13" x14ac:dyDescent="0.25">
      <c r="A8" s="272">
        <v>41760</v>
      </c>
      <c r="B8" s="128">
        <f t="shared" si="0"/>
        <v>1395749.3</v>
      </c>
      <c r="C8" s="127">
        <f>7230635/10</f>
        <v>723063.5</v>
      </c>
      <c r="D8" s="127">
        <f>6726858/10</f>
        <v>672685.8</v>
      </c>
      <c r="E8" s="332">
        <v>8074.3</v>
      </c>
      <c r="F8" s="126" t="s">
        <v>390</v>
      </c>
      <c r="G8" s="126" t="s">
        <v>390</v>
      </c>
      <c r="H8" s="545">
        <v>844881.1</v>
      </c>
    </row>
    <row r="9" spans="1:13" x14ac:dyDescent="0.25">
      <c r="A9" s="272">
        <v>41791</v>
      </c>
      <c r="B9" s="128">
        <f t="shared" si="0"/>
        <v>962563.8</v>
      </c>
      <c r="C9" s="127">
        <f>214409/10</f>
        <v>21440.9</v>
      </c>
      <c r="D9" s="127">
        <f>9411229/10</f>
        <v>941122.9</v>
      </c>
      <c r="E9" s="332">
        <v>7166.2</v>
      </c>
      <c r="F9" s="126" t="s">
        <v>390</v>
      </c>
      <c r="G9" s="126" t="s">
        <v>390</v>
      </c>
      <c r="H9" s="545">
        <v>837693.3</v>
      </c>
    </row>
    <row r="10" spans="1:13" x14ac:dyDescent="0.25">
      <c r="A10" s="272">
        <v>41821</v>
      </c>
      <c r="B10" s="128">
        <f t="shared" si="0"/>
        <v>828655.5</v>
      </c>
      <c r="C10" s="127">
        <v>-1048.0999999999999</v>
      </c>
      <c r="D10" s="127">
        <f>8297036/10</f>
        <v>829703.6</v>
      </c>
      <c r="E10" s="332">
        <v>9236.6</v>
      </c>
      <c r="F10" s="126" t="s">
        <v>390</v>
      </c>
      <c r="G10" s="126" t="s">
        <v>390</v>
      </c>
      <c r="H10" s="545">
        <v>755229.6</v>
      </c>
    </row>
    <row r="11" spans="1:13" x14ac:dyDescent="0.25">
      <c r="A11" s="272">
        <v>41852</v>
      </c>
      <c r="B11" s="128">
        <f t="shared" si="0"/>
        <v>779547.2</v>
      </c>
      <c r="C11" s="127">
        <f>3874807/10</f>
        <v>387480.7</v>
      </c>
      <c r="D11" s="127">
        <f>3920665/10</f>
        <v>392066.5</v>
      </c>
      <c r="E11" s="332">
        <v>10480.9</v>
      </c>
      <c r="F11" s="126" t="s">
        <v>390</v>
      </c>
      <c r="G11" s="126" t="s">
        <v>390</v>
      </c>
      <c r="H11" s="545">
        <v>778283.2</v>
      </c>
    </row>
    <row r="12" spans="1:13" x14ac:dyDescent="0.25">
      <c r="A12" s="272">
        <v>41883</v>
      </c>
      <c r="B12" s="128">
        <f t="shared" si="0"/>
        <v>782497.5</v>
      </c>
      <c r="C12" s="127">
        <v>6672.3</v>
      </c>
      <c r="D12" s="127">
        <v>775825.2</v>
      </c>
      <c r="E12" s="332">
        <v>13776.4</v>
      </c>
      <c r="F12" s="126" t="s">
        <v>390</v>
      </c>
      <c r="G12" s="126" t="s">
        <v>390</v>
      </c>
      <c r="H12" s="545">
        <v>781340.4</v>
      </c>
    </row>
    <row r="13" spans="1:13" x14ac:dyDescent="0.25">
      <c r="A13" s="272">
        <v>41913</v>
      </c>
      <c r="B13" s="128">
        <f t="shared" si="0"/>
        <v>1071670.6000000001</v>
      </c>
      <c r="C13" s="127">
        <v>88.1</v>
      </c>
      <c r="D13" s="127">
        <v>1071582.5</v>
      </c>
      <c r="E13" s="332">
        <v>17344.400000000001</v>
      </c>
      <c r="F13" s="126" t="s">
        <v>390</v>
      </c>
      <c r="G13" s="126" t="s">
        <v>390</v>
      </c>
      <c r="H13" s="545">
        <v>916848</v>
      </c>
    </row>
    <row r="14" spans="1:13" x14ac:dyDescent="0.25">
      <c r="A14" s="272">
        <v>41944</v>
      </c>
      <c r="B14" s="128">
        <f t="shared" si="0"/>
        <v>2590842.9</v>
      </c>
      <c r="C14" s="127">
        <v>1350252.7</v>
      </c>
      <c r="D14" s="127">
        <v>1240590.2</v>
      </c>
      <c r="E14" s="332">
        <v>33796.6</v>
      </c>
      <c r="F14" s="126" t="s">
        <v>390</v>
      </c>
      <c r="G14" s="126" t="s">
        <v>390</v>
      </c>
      <c r="H14" s="545">
        <v>1210206.7</v>
      </c>
    </row>
    <row r="15" spans="1:13" x14ac:dyDescent="0.25">
      <c r="A15" s="272">
        <v>41974</v>
      </c>
      <c r="B15" s="128">
        <f t="shared" si="0"/>
        <v>5040088</v>
      </c>
      <c r="C15" s="127">
        <v>48201</v>
      </c>
      <c r="D15" s="127">
        <v>4991887</v>
      </c>
      <c r="E15" s="332">
        <v>31458.2</v>
      </c>
      <c r="F15" s="126" t="s">
        <v>390</v>
      </c>
      <c r="G15" s="126" t="s">
        <v>390</v>
      </c>
      <c r="H15" s="545">
        <v>1222531</v>
      </c>
    </row>
    <row r="16" spans="1:13" x14ac:dyDescent="0.25">
      <c r="A16" s="272">
        <v>42005</v>
      </c>
      <c r="B16" s="128">
        <f t="shared" si="0"/>
        <v>6463268</v>
      </c>
      <c r="C16" s="127">
        <v>8915</v>
      </c>
      <c r="D16" s="127">
        <v>6454353</v>
      </c>
      <c r="E16" s="332">
        <v>29614.799999999999</v>
      </c>
      <c r="F16" s="126" t="s">
        <v>390</v>
      </c>
      <c r="G16" s="126" t="s">
        <v>390</v>
      </c>
      <c r="H16" s="545">
        <v>1466206.1</v>
      </c>
    </row>
    <row r="17" spans="1:8" x14ac:dyDescent="0.25">
      <c r="A17" s="272">
        <v>42036</v>
      </c>
      <c r="B17" s="128">
        <f t="shared" si="0"/>
        <v>6355917.5</v>
      </c>
      <c r="C17" s="127">
        <v>3140562.6</v>
      </c>
      <c r="D17" s="127">
        <v>3215354.9</v>
      </c>
      <c r="E17" s="332">
        <v>40053</v>
      </c>
      <c r="F17" s="126" t="s">
        <v>390</v>
      </c>
      <c r="G17" s="126" t="s">
        <v>390</v>
      </c>
      <c r="H17" s="545">
        <v>1420264.1</v>
      </c>
    </row>
    <row r="18" spans="1:8" x14ac:dyDescent="0.25">
      <c r="A18" s="272">
        <v>42064</v>
      </c>
      <c r="B18" s="128">
        <f t="shared" si="0"/>
        <v>6227552.2000000002</v>
      </c>
      <c r="C18" s="127">
        <v>66704.3</v>
      </c>
      <c r="D18" s="127">
        <v>6160847.9000000004</v>
      </c>
      <c r="E18" s="332">
        <v>46083.4</v>
      </c>
      <c r="F18" s="126" t="s">
        <v>390</v>
      </c>
      <c r="G18" s="126" t="s">
        <v>390</v>
      </c>
      <c r="H18" s="545">
        <v>1456559.9</v>
      </c>
    </row>
    <row r="19" spans="1:8" x14ac:dyDescent="0.25">
      <c r="A19" s="272">
        <v>42095</v>
      </c>
      <c r="B19" s="128">
        <f t="shared" si="0"/>
        <v>2395537.1</v>
      </c>
      <c r="C19" s="127">
        <v>5837.9</v>
      </c>
      <c r="D19" s="127">
        <v>2389699.2000000002</v>
      </c>
      <c r="E19" s="332">
        <v>62130.400000000001</v>
      </c>
      <c r="F19" s="126" t="s">
        <v>390</v>
      </c>
      <c r="G19" s="126" t="s">
        <v>390</v>
      </c>
      <c r="H19" s="545">
        <v>1308898.8999999999</v>
      </c>
    </row>
    <row r="20" spans="1:8" x14ac:dyDescent="0.25">
      <c r="A20" s="272">
        <v>42125</v>
      </c>
      <c r="B20" s="128">
        <f t="shared" si="0"/>
        <v>1228564.8999999999</v>
      </c>
      <c r="C20" s="127">
        <v>680294.9</v>
      </c>
      <c r="D20" s="127">
        <v>548270</v>
      </c>
      <c r="E20" s="332">
        <v>38797.800000000003</v>
      </c>
      <c r="F20" s="126" t="s">
        <v>390</v>
      </c>
      <c r="G20" s="126" t="s">
        <v>390</v>
      </c>
      <c r="H20" s="545">
        <v>684381.7</v>
      </c>
    </row>
    <row r="21" spans="1:8" x14ac:dyDescent="0.25">
      <c r="A21" s="272">
        <v>42156</v>
      </c>
      <c r="B21" s="128">
        <f t="shared" si="0"/>
        <v>874302.5</v>
      </c>
      <c r="C21" s="127">
        <v>3999</v>
      </c>
      <c r="D21" s="127">
        <v>870303.5</v>
      </c>
      <c r="E21" s="332">
        <v>46645.7</v>
      </c>
      <c r="F21" s="126" t="s">
        <v>390</v>
      </c>
      <c r="G21" s="126" t="s">
        <v>390</v>
      </c>
      <c r="H21" s="545">
        <v>790511.9</v>
      </c>
    </row>
    <row r="22" spans="1:8" x14ac:dyDescent="0.25">
      <c r="A22" s="272">
        <v>42186</v>
      </c>
      <c r="B22" s="128">
        <f t="shared" si="0"/>
        <v>712691.29999999993</v>
      </c>
      <c r="C22" s="127">
        <v>2010.2</v>
      </c>
      <c r="D22" s="127">
        <v>710681.1</v>
      </c>
      <c r="E22" s="332">
        <v>52580.5</v>
      </c>
      <c r="F22" s="126" t="s">
        <v>390</v>
      </c>
      <c r="G22" s="126" t="s">
        <v>390</v>
      </c>
      <c r="H22" s="545">
        <v>811242.6</v>
      </c>
    </row>
    <row r="23" spans="1:8" x14ac:dyDescent="0.25">
      <c r="A23" s="272">
        <v>42217</v>
      </c>
      <c r="B23" s="128">
        <f t="shared" si="0"/>
        <v>755644</v>
      </c>
      <c r="C23" s="127">
        <v>388882.7</v>
      </c>
      <c r="D23" s="127">
        <v>366761.3</v>
      </c>
      <c r="E23" s="332">
        <v>48097.8</v>
      </c>
      <c r="F23" s="126" t="s">
        <v>390</v>
      </c>
      <c r="G23" s="126" t="s">
        <v>390</v>
      </c>
      <c r="H23" s="545">
        <v>870918.5</v>
      </c>
    </row>
    <row r="24" spans="1:8" x14ac:dyDescent="0.25">
      <c r="A24" s="272">
        <v>42248</v>
      </c>
      <c r="B24" s="128">
        <f t="shared" si="0"/>
        <v>780404.8</v>
      </c>
      <c r="C24" s="127">
        <v>37369.5</v>
      </c>
      <c r="D24" s="127">
        <v>743035.3</v>
      </c>
      <c r="E24" s="332">
        <v>48747.6</v>
      </c>
      <c r="F24" s="454" t="s">
        <v>390</v>
      </c>
      <c r="G24" s="454" t="s">
        <v>390</v>
      </c>
      <c r="H24" s="545">
        <v>839279.3</v>
      </c>
    </row>
    <row r="25" spans="1:8" x14ac:dyDescent="0.25">
      <c r="A25" s="272">
        <v>42278</v>
      </c>
      <c r="B25" s="128">
        <f t="shared" si="0"/>
        <v>939620.8</v>
      </c>
      <c r="C25" s="127">
        <v>-195.5</v>
      </c>
      <c r="D25" s="127">
        <v>939816.3</v>
      </c>
      <c r="E25" s="332">
        <v>48234.400000000001</v>
      </c>
      <c r="F25" s="454" t="s">
        <v>390</v>
      </c>
      <c r="G25" s="454" t="s">
        <v>390</v>
      </c>
      <c r="H25" s="545">
        <v>1243523.6000000001</v>
      </c>
    </row>
    <row r="26" spans="1:8" x14ac:dyDescent="0.25">
      <c r="A26" s="272">
        <v>42309</v>
      </c>
      <c r="B26" s="128">
        <f t="shared" si="0"/>
        <v>1706623.8</v>
      </c>
      <c r="C26" s="127">
        <v>911151.5</v>
      </c>
      <c r="D26" s="127">
        <v>795472.3</v>
      </c>
      <c r="E26" s="332">
        <v>59109.5</v>
      </c>
      <c r="F26" s="454" t="s">
        <v>390</v>
      </c>
      <c r="G26" s="454" t="s">
        <v>390</v>
      </c>
      <c r="H26" s="545">
        <v>1213142.5</v>
      </c>
    </row>
    <row r="27" spans="1:8" x14ac:dyDescent="0.25">
      <c r="A27" s="272">
        <v>42339</v>
      </c>
      <c r="B27" s="128">
        <f t="shared" si="0"/>
        <v>3396567.1000000006</v>
      </c>
      <c r="C27" s="127">
        <v>30017.49</v>
      </c>
      <c r="D27" s="127">
        <v>3366549.6100000003</v>
      </c>
      <c r="E27" s="332">
        <v>51325.4</v>
      </c>
      <c r="F27" s="454" t="s">
        <v>390</v>
      </c>
      <c r="G27" s="454" t="s">
        <v>390</v>
      </c>
      <c r="H27" s="545">
        <v>1139582</v>
      </c>
    </row>
    <row r="28" spans="1:8" x14ac:dyDescent="0.25">
      <c r="A28" s="272">
        <v>42370</v>
      </c>
      <c r="B28" s="128">
        <f t="shared" si="0"/>
        <v>5101869.9999999991</v>
      </c>
      <c r="C28" s="127">
        <v>1851.5433333333101</v>
      </c>
      <c r="D28" s="127">
        <v>5100018.4566666661</v>
      </c>
      <c r="E28" s="332">
        <v>38913.599999999999</v>
      </c>
      <c r="F28" s="454" t="s">
        <v>390</v>
      </c>
      <c r="G28" s="454" t="s">
        <v>390</v>
      </c>
      <c r="H28" s="545">
        <v>1550541.1</v>
      </c>
    </row>
    <row r="29" spans="1:8" x14ac:dyDescent="0.25">
      <c r="A29" s="272">
        <v>42401</v>
      </c>
      <c r="B29" s="128">
        <f t="shared" si="0"/>
        <v>5755793.8000000007</v>
      </c>
      <c r="C29" s="127">
        <v>2948636.3137931032</v>
      </c>
      <c r="D29" s="127">
        <v>2807157.4862068971</v>
      </c>
      <c r="E29" s="332">
        <v>44357.599999999999</v>
      </c>
      <c r="F29" s="454" t="s">
        <v>390</v>
      </c>
      <c r="G29" s="454" t="s">
        <v>390</v>
      </c>
      <c r="H29" s="545">
        <v>1334142.3999999999</v>
      </c>
    </row>
    <row r="30" spans="1:8" x14ac:dyDescent="0.25">
      <c r="A30" s="272">
        <v>42430</v>
      </c>
      <c r="B30" s="128">
        <f t="shared" si="0"/>
        <v>3951842.2</v>
      </c>
      <c r="C30" s="127">
        <v>21564.2</v>
      </c>
      <c r="D30" s="127">
        <v>3930278</v>
      </c>
      <c r="E30" s="455">
        <v>62703.9</v>
      </c>
      <c r="F30" s="454" t="s">
        <v>390</v>
      </c>
      <c r="G30" s="454" t="s">
        <v>390</v>
      </c>
      <c r="H30" s="545">
        <v>1149144.5</v>
      </c>
    </row>
    <row r="31" spans="1:8" x14ac:dyDescent="0.25">
      <c r="A31" s="272">
        <v>42461</v>
      </c>
      <c r="B31" s="128">
        <f t="shared" si="0"/>
        <v>2284040.8000000003</v>
      </c>
      <c r="C31" s="127">
        <v>-192.9</v>
      </c>
      <c r="D31" s="127">
        <v>2284233.7000000002</v>
      </c>
      <c r="E31" s="455">
        <v>48217.2</v>
      </c>
      <c r="F31" s="454" t="s">
        <v>390</v>
      </c>
      <c r="G31" s="454" t="s">
        <v>390</v>
      </c>
      <c r="H31" s="545">
        <v>946160.2</v>
      </c>
    </row>
    <row r="32" spans="1:8" x14ac:dyDescent="0.25">
      <c r="A32" s="272">
        <v>42491</v>
      </c>
      <c r="B32" s="128">
        <f t="shared" si="0"/>
        <v>1293125.8999999999</v>
      </c>
      <c r="C32" s="127">
        <v>761452.1</v>
      </c>
      <c r="D32" s="127">
        <v>531673.80000000005</v>
      </c>
      <c r="E32" s="455">
        <v>60031.700000000004</v>
      </c>
      <c r="F32" s="455"/>
      <c r="G32" s="455"/>
      <c r="H32" s="455">
        <v>997249.19999999949</v>
      </c>
    </row>
    <row r="33" spans="1:10" x14ac:dyDescent="0.25">
      <c r="A33" s="272">
        <v>42522</v>
      </c>
      <c r="B33" s="128">
        <f t="shared" si="0"/>
        <v>985404.8</v>
      </c>
      <c r="C33" s="127">
        <v>-24004</v>
      </c>
      <c r="D33" s="127">
        <v>1009408.8</v>
      </c>
      <c r="E33" s="455">
        <v>63204.2</v>
      </c>
      <c r="F33" s="455"/>
      <c r="G33" s="455"/>
      <c r="H33" s="455">
        <v>1003164.8000000003</v>
      </c>
    </row>
    <row r="34" spans="1:10" x14ac:dyDescent="0.25">
      <c r="A34" s="272">
        <v>42552</v>
      </c>
      <c r="B34" s="128">
        <f t="shared" si="0"/>
        <v>733329.6</v>
      </c>
      <c r="C34" s="127">
        <v>-2543.8000000000002</v>
      </c>
      <c r="D34" s="127">
        <v>735873.4</v>
      </c>
      <c r="E34" s="455">
        <v>66386.900000000009</v>
      </c>
      <c r="F34" s="455"/>
      <c r="G34" s="455"/>
      <c r="H34" s="455">
        <v>955069.90000000037</v>
      </c>
    </row>
    <row r="35" spans="1:10" x14ac:dyDescent="0.25">
      <c r="A35" s="272">
        <v>42583</v>
      </c>
      <c r="B35" s="128">
        <f t="shared" si="0"/>
        <v>692908.5</v>
      </c>
      <c r="C35" s="127">
        <v>331185.3</v>
      </c>
      <c r="D35" s="127">
        <v>361723.2</v>
      </c>
      <c r="E35" s="455">
        <v>68114.100000000006</v>
      </c>
      <c r="F35" s="455"/>
      <c r="G35" s="455"/>
      <c r="H35" s="455">
        <v>876335.09999999986</v>
      </c>
    </row>
    <row r="36" spans="1:10" x14ac:dyDescent="0.25">
      <c r="A36" s="272">
        <v>42614</v>
      </c>
      <c r="B36" s="128">
        <f t="shared" si="0"/>
        <v>743780.79999999993</v>
      </c>
      <c r="C36" s="127">
        <v>38101.599999999999</v>
      </c>
      <c r="D36" s="127">
        <v>705679.2</v>
      </c>
      <c r="E36" s="455">
        <v>57661.3</v>
      </c>
      <c r="F36" s="455"/>
      <c r="G36" s="455"/>
      <c r="H36" s="455">
        <v>919238.3000000004</v>
      </c>
    </row>
    <row r="37" spans="1:10" x14ac:dyDescent="0.25">
      <c r="A37" s="272">
        <v>42644</v>
      </c>
      <c r="B37" s="128">
        <f t="shared" si="0"/>
        <v>756617.3</v>
      </c>
      <c r="C37" s="127">
        <v>-1307.7</v>
      </c>
      <c r="D37" s="127">
        <v>757925</v>
      </c>
      <c r="E37" s="455">
        <v>57444.7</v>
      </c>
      <c r="F37" s="455"/>
      <c r="G37" s="455"/>
      <c r="H37" s="455">
        <v>946073.50000000012</v>
      </c>
    </row>
    <row r="38" spans="1:10" x14ac:dyDescent="0.25">
      <c r="A38" s="272">
        <v>42675</v>
      </c>
      <c r="B38" s="128">
        <f t="shared" si="0"/>
        <v>1530329.5</v>
      </c>
      <c r="C38" s="127">
        <v>725498.4</v>
      </c>
      <c r="D38" s="127">
        <v>804831.1</v>
      </c>
      <c r="E38" s="455">
        <v>55279.3</v>
      </c>
      <c r="F38" s="3"/>
      <c r="G38" s="3"/>
      <c r="H38" s="455">
        <v>1104299.3</v>
      </c>
      <c r="J38" s="6"/>
    </row>
    <row r="39" spans="1:10" x14ac:dyDescent="0.25">
      <c r="A39" s="272">
        <v>42705</v>
      </c>
      <c r="B39" s="128">
        <f t="shared" si="0"/>
        <v>4306093.4000000004</v>
      </c>
      <c r="C39" s="127">
        <v>80981.2</v>
      </c>
      <c r="D39" s="127">
        <v>4225112.2</v>
      </c>
      <c r="E39" s="455">
        <v>48387</v>
      </c>
      <c r="F39" s="3"/>
      <c r="G39" s="3"/>
      <c r="H39" s="455">
        <v>1438293.6</v>
      </c>
      <c r="J39" s="6"/>
    </row>
    <row r="40" spans="1:10" x14ac:dyDescent="0.25">
      <c r="A40" s="272">
        <v>42736</v>
      </c>
      <c r="B40" s="128">
        <f t="shared" si="0"/>
        <v>5551143</v>
      </c>
      <c r="C40" s="127">
        <v>13960.5</v>
      </c>
      <c r="D40" s="127">
        <v>5537182.5</v>
      </c>
      <c r="E40" s="455">
        <v>39568.300000000003</v>
      </c>
      <c r="F40" s="3"/>
      <c r="G40" s="3"/>
      <c r="H40" s="455">
        <v>1414213.5</v>
      </c>
      <c r="J40" s="6"/>
    </row>
    <row r="41" spans="1:10" x14ac:dyDescent="0.25">
      <c r="A41" s="272">
        <v>42767</v>
      </c>
      <c r="B41" s="128">
        <f t="shared" si="0"/>
        <v>4168435</v>
      </c>
      <c r="C41" s="554">
        <v>2245129.2000000002</v>
      </c>
      <c r="D41" s="554">
        <v>1923305.8</v>
      </c>
      <c r="E41" s="455">
        <v>36948.399999999994</v>
      </c>
      <c r="F41" s="3"/>
      <c r="G41" s="3"/>
      <c r="H41" s="455">
        <v>1144202.1999999997</v>
      </c>
    </row>
    <row r="42" spans="1:10" x14ac:dyDescent="0.25">
      <c r="A42" s="272">
        <v>42795</v>
      </c>
      <c r="B42" s="128">
        <f t="shared" si="0"/>
        <v>3270421.2392857103</v>
      </c>
      <c r="C42" s="332">
        <v>32074.6</v>
      </c>
      <c r="D42" s="332">
        <v>3238346.6392857102</v>
      </c>
      <c r="E42" s="455">
        <v>40814.300000000003</v>
      </c>
      <c r="F42" s="3"/>
      <c r="G42" s="3"/>
      <c r="H42" s="455">
        <v>1315531.9000000004</v>
      </c>
    </row>
    <row r="43" spans="1:10" x14ac:dyDescent="0.25">
      <c r="A43" s="272">
        <v>42826</v>
      </c>
      <c r="B43" s="128">
        <f t="shared" si="0"/>
        <v>2342627.1</v>
      </c>
      <c r="C43" s="332">
        <v>12936.7</v>
      </c>
      <c r="D43" s="332">
        <v>2329690.4</v>
      </c>
      <c r="E43" s="455">
        <v>40503.400000000009</v>
      </c>
      <c r="F43" s="3"/>
      <c r="G43" s="3"/>
      <c r="H43" s="455">
        <v>921728.1999999996</v>
      </c>
    </row>
    <row r="44" spans="1:10" x14ac:dyDescent="0.25">
      <c r="A44" s="272">
        <v>42856</v>
      </c>
      <c r="B44" s="128">
        <f t="shared" si="0"/>
        <v>1213560</v>
      </c>
      <c r="C44" s="332">
        <v>686289</v>
      </c>
      <c r="D44" s="332">
        <v>527271</v>
      </c>
      <c r="E44" s="455">
        <v>43878.400000000001</v>
      </c>
      <c r="F44" s="3"/>
      <c r="G44" s="3"/>
      <c r="H44" s="455">
        <v>915798.99999999965</v>
      </c>
    </row>
    <row r="45" spans="1:10" x14ac:dyDescent="0.25">
      <c r="A45" s="272">
        <v>42887</v>
      </c>
      <c r="B45" s="128">
        <f t="shared" ref="B45:B65" si="1">SUM(C45:D45)</f>
        <v>953320.2</v>
      </c>
      <c r="C45" s="332">
        <v>-29289.8</v>
      </c>
      <c r="D45" s="332">
        <v>982610</v>
      </c>
      <c r="E45" s="455">
        <v>54708.800000000003</v>
      </c>
      <c r="F45" s="3"/>
      <c r="G45" s="3"/>
      <c r="H45" s="455">
        <v>756321.6</v>
      </c>
    </row>
    <row r="46" spans="1:10" x14ac:dyDescent="0.25">
      <c r="A46" s="272">
        <v>42917</v>
      </c>
      <c r="B46" s="128">
        <f t="shared" si="1"/>
        <v>690751.8</v>
      </c>
      <c r="C46" s="332">
        <v>-16222.5</v>
      </c>
      <c r="D46" s="332">
        <v>706974.3</v>
      </c>
      <c r="E46" s="455">
        <v>48362.000000000007</v>
      </c>
      <c r="F46" s="3"/>
      <c r="G46" s="3"/>
      <c r="H46" s="455">
        <v>716804.49999999977</v>
      </c>
    </row>
    <row r="47" spans="1:10" x14ac:dyDescent="0.25">
      <c r="A47" s="272">
        <v>42948</v>
      </c>
      <c r="B47" s="128">
        <f t="shared" si="1"/>
        <v>718478.3</v>
      </c>
      <c r="C47" s="332">
        <v>355634.1</v>
      </c>
      <c r="D47" s="332">
        <v>362844.2</v>
      </c>
      <c r="E47" s="455">
        <v>45766</v>
      </c>
      <c r="F47" s="3"/>
      <c r="G47" s="3"/>
      <c r="H47" s="455">
        <v>840284.59999999974</v>
      </c>
    </row>
    <row r="48" spans="1:10" x14ac:dyDescent="0.25">
      <c r="A48" s="272">
        <v>42979</v>
      </c>
      <c r="B48" s="128">
        <f t="shared" si="1"/>
        <v>744894.2</v>
      </c>
      <c r="C48" s="332">
        <v>1356</v>
      </c>
      <c r="D48" s="332">
        <v>743538.2</v>
      </c>
      <c r="E48" s="332">
        <v>35794.299999999996</v>
      </c>
      <c r="H48" s="455">
        <v>772573.20000000042</v>
      </c>
    </row>
    <row r="49" spans="1:8" x14ac:dyDescent="0.25">
      <c r="A49" s="272">
        <v>43009</v>
      </c>
      <c r="B49" s="128">
        <f t="shared" si="1"/>
        <v>840387.5</v>
      </c>
      <c r="C49" s="332">
        <v>775.5</v>
      </c>
      <c r="D49" s="332">
        <v>839612</v>
      </c>
      <c r="E49" s="332">
        <v>46965.4</v>
      </c>
      <c r="H49" s="455">
        <v>953232.1</v>
      </c>
    </row>
    <row r="50" spans="1:8" x14ac:dyDescent="0.25">
      <c r="A50" s="272">
        <v>43040</v>
      </c>
      <c r="B50" s="128">
        <f t="shared" si="1"/>
        <v>2259484.9000000004</v>
      </c>
      <c r="C50" s="332">
        <v>1001146.8</v>
      </c>
      <c r="D50" s="332">
        <v>1258338.1000000001</v>
      </c>
      <c r="E50" s="332">
        <v>71898.899999999994</v>
      </c>
      <c r="H50" s="455">
        <v>1247351.9999999995</v>
      </c>
    </row>
    <row r="51" spans="1:8" x14ac:dyDescent="0.25">
      <c r="A51" s="272">
        <v>43070</v>
      </c>
      <c r="B51" s="128">
        <f t="shared" si="1"/>
        <v>4228872.7</v>
      </c>
      <c r="C51" s="332">
        <v>190745.5</v>
      </c>
      <c r="D51" s="332">
        <v>4038127.2</v>
      </c>
      <c r="E51" s="332">
        <v>64229.900000000009</v>
      </c>
      <c r="H51" s="455">
        <v>1431459</v>
      </c>
    </row>
    <row r="52" spans="1:8" x14ac:dyDescent="0.25">
      <c r="A52" s="272">
        <v>43101</v>
      </c>
      <c r="B52" s="128">
        <f t="shared" si="1"/>
        <v>7315147.2000000002</v>
      </c>
      <c r="C52" s="332">
        <v>28073.3</v>
      </c>
      <c r="D52" s="332">
        <v>7287073.9000000004</v>
      </c>
      <c r="E52" s="332">
        <v>43872.100000000006</v>
      </c>
      <c r="H52" s="455">
        <v>1669754.7000000002</v>
      </c>
    </row>
    <row r="53" spans="1:8" x14ac:dyDescent="0.25">
      <c r="A53" s="272">
        <v>43132</v>
      </c>
      <c r="B53" s="128">
        <f t="shared" si="1"/>
        <v>5484180.5999999996</v>
      </c>
      <c r="C53" s="332">
        <v>2955290.3</v>
      </c>
      <c r="D53" s="332">
        <v>2528890.2999999998</v>
      </c>
      <c r="E53" s="332">
        <v>25385.3</v>
      </c>
      <c r="H53" s="455">
        <v>1268158.8</v>
      </c>
    </row>
    <row r="54" spans="1:8" x14ac:dyDescent="0.25">
      <c r="A54" s="272">
        <v>43160</v>
      </c>
      <c r="B54" s="128">
        <f t="shared" si="1"/>
        <v>3758171.9</v>
      </c>
      <c r="C54" s="332">
        <v>18600.099999999999</v>
      </c>
      <c r="D54" s="332">
        <v>3739571.8</v>
      </c>
      <c r="E54" s="332">
        <v>47315.5</v>
      </c>
      <c r="H54" s="455">
        <v>1432002.6</v>
      </c>
    </row>
    <row r="55" spans="1:8" x14ac:dyDescent="0.25">
      <c r="A55" s="272">
        <v>43191</v>
      </c>
      <c r="B55" s="128">
        <f t="shared" si="1"/>
        <v>3574415.6</v>
      </c>
      <c r="C55" s="332">
        <v>13452</v>
      </c>
      <c r="D55" s="332">
        <v>3560963.6</v>
      </c>
      <c r="E55" s="332">
        <v>49975.5</v>
      </c>
      <c r="H55" s="455">
        <v>1183734.8000000003</v>
      </c>
    </row>
    <row r="56" spans="1:8" x14ac:dyDescent="0.25">
      <c r="A56" s="272">
        <v>43221</v>
      </c>
      <c r="B56" s="128">
        <f t="shared" si="1"/>
        <v>1717818.4</v>
      </c>
      <c r="C56" s="332">
        <v>999212.2</v>
      </c>
      <c r="D56" s="332">
        <v>718606.2</v>
      </c>
      <c r="E56" s="332">
        <v>58553.2</v>
      </c>
      <c r="H56" s="455">
        <v>904837.89999999944</v>
      </c>
    </row>
    <row r="57" spans="1:8" x14ac:dyDescent="0.25">
      <c r="A57" s="272">
        <v>43252</v>
      </c>
      <c r="B57" s="128">
        <f t="shared" si="1"/>
        <v>804407.9</v>
      </c>
      <c r="C57" s="332">
        <v>17672.5</v>
      </c>
      <c r="D57" s="332">
        <v>786735.4</v>
      </c>
      <c r="E57" s="332">
        <v>55149.7</v>
      </c>
      <c r="H57" s="455">
        <v>821425.50000000035</v>
      </c>
    </row>
    <row r="58" spans="1:8" x14ac:dyDescent="0.25">
      <c r="A58" s="272">
        <v>43282</v>
      </c>
      <c r="B58" s="128">
        <f t="shared" si="1"/>
        <v>711177.6</v>
      </c>
      <c r="C58" s="332">
        <v>691707.5</v>
      </c>
      <c r="D58" s="332">
        <v>19470.099999999999</v>
      </c>
      <c r="E58" s="332">
        <v>47377.000000000007</v>
      </c>
      <c r="H58" s="455">
        <v>788728.29999999981</v>
      </c>
    </row>
    <row r="59" spans="1:8" x14ac:dyDescent="0.25">
      <c r="A59" s="272">
        <v>43313</v>
      </c>
      <c r="B59" s="128">
        <f t="shared" si="1"/>
        <v>685611.4</v>
      </c>
      <c r="C59" s="332">
        <v>310354.90000000002</v>
      </c>
      <c r="D59" s="332">
        <v>375256.5</v>
      </c>
      <c r="E59" s="332">
        <v>60415.3</v>
      </c>
      <c r="H59" s="455">
        <v>775443.69999999984</v>
      </c>
    </row>
    <row r="60" spans="1:8" x14ac:dyDescent="0.25">
      <c r="A60" s="272">
        <v>43344</v>
      </c>
      <c r="B60" s="128">
        <f t="shared" si="1"/>
        <v>715644</v>
      </c>
      <c r="C60" s="332">
        <v>9481.6</v>
      </c>
      <c r="D60" s="332">
        <v>706162.4</v>
      </c>
      <c r="E60" s="332">
        <v>62054.6</v>
      </c>
      <c r="H60" s="455">
        <v>803754.6</v>
      </c>
    </row>
    <row r="61" spans="1:8" x14ac:dyDescent="0.25">
      <c r="A61" s="272">
        <v>43374</v>
      </c>
      <c r="B61" s="128">
        <f t="shared" si="1"/>
        <v>1074864.5999999999</v>
      </c>
      <c r="C61" s="332">
        <v>2196.1999999999998</v>
      </c>
      <c r="D61" s="332">
        <v>1072668.3999999999</v>
      </c>
      <c r="E61" s="332">
        <v>71891.399999999994</v>
      </c>
      <c r="H61" s="455">
        <v>1080228.7</v>
      </c>
    </row>
    <row r="62" spans="1:8" x14ac:dyDescent="0.25">
      <c r="A62" s="272">
        <v>43405</v>
      </c>
      <c r="B62" s="128">
        <f t="shared" si="1"/>
        <v>2736023.9</v>
      </c>
      <c r="C62" s="332">
        <v>1167553.5</v>
      </c>
      <c r="D62" s="332">
        <v>1568470.4</v>
      </c>
      <c r="E62" s="332">
        <v>42525</v>
      </c>
      <c r="H62" s="455">
        <v>1394920.4999999998</v>
      </c>
    </row>
    <row r="63" spans="1:8" x14ac:dyDescent="0.25">
      <c r="A63" s="272">
        <v>43435</v>
      </c>
      <c r="B63" s="128">
        <f t="shared" si="1"/>
        <v>4747676.1000000006</v>
      </c>
      <c r="C63" s="332">
        <v>58966.400000000001</v>
      </c>
      <c r="D63" s="332">
        <v>4688709.7</v>
      </c>
      <c r="E63" s="332">
        <v>29030.399999999998</v>
      </c>
      <c r="H63" s="455">
        <v>1418792.7000000002</v>
      </c>
    </row>
    <row r="64" spans="1:8" x14ac:dyDescent="0.25">
      <c r="A64" s="272">
        <v>43466</v>
      </c>
      <c r="B64" s="128">
        <f t="shared" si="1"/>
        <v>5209144.6000000006</v>
      </c>
      <c r="C64" s="332">
        <v>19312.2</v>
      </c>
      <c r="D64" s="332">
        <v>5189832.4000000004</v>
      </c>
      <c r="E64" s="332">
        <v>12021.099999999999</v>
      </c>
      <c r="H64" s="455">
        <v>1678701.0999999996</v>
      </c>
    </row>
    <row r="65" spans="1:8" x14ac:dyDescent="0.25">
      <c r="A65" s="272">
        <v>43497</v>
      </c>
      <c r="B65" s="128">
        <f t="shared" si="1"/>
        <v>5879594.9000000004</v>
      </c>
      <c r="C65" s="332">
        <v>2943537.6</v>
      </c>
      <c r="D65" s="332">
        <v>2936057.3</v>
      </c>
      <c r="E65" s="332">
        <v>4909</v>
      </c>
      <c r="H65" s="455">
        <v>1421391.6</v>
      </c>
    </row>
    <row r="66" spans="1:8" x14ac:dyDescent="0.25">
      <c r="A66" s="272">
        <v>43525</v>
      </c>
      <c r="B66" s="128">
        <f t="shared" ref="B66:B68" si="2">SUM(C66:D66)</f>
        <v>4866844.2</v>
      </c>
      <c r="C66" s="332">
        <v>5396.7</v>
      </c>
      <c r="D66" s="332">
        <v>4861447.5</v>
      </c>
      <c r="E66" s="332">
        <v>13299.199999999999</v>
      </c>
      <c r="H66" s="455">
        <v>1444982.8000000003</v>
      </c>
    </row>
    <row r="67" spans="1:8" x14ac:dyDescent="0.25">
      <c r="A67" s="272">
        <v>43556</v>
      </c>
      <c r="B67" s="128">
        <f t="shared" si="2"/>
        <v>2742152.5</v>
      </c>
      <c r="C67" s="332">
        <v>1167</v>
      </c>
      <c r="D67" s="332">
        <v>2740985.5</v>
      </c>
      <c r="E67" s="332">
        <v>36260.5</v>
      </c>
      <c r="H67" s="455">
        <v>1085620.2000000002</v>
      </c>
    </row>
    <row r="68" spans="1:8" x14ac:dyDescent="0.25">
      <c r="A68" s="272">
        <v>43586</v>
      </c>
      <c r="B68" s="128">
        <f t="shared" si="2"/>
        <v>1295028.3999999999</v>
      </c>
      <c r="C68" s="332">
        <v>712344.8</v>
      </c>
      <c r="D68" s="332">
        <v>582683.6</v>
      </c>
      <c r="E68" s="332"/>
      <c r="H68" s="455"/>
    </row>
  </sheetData>
  <pageMargins left="0.7" right="0.7" top="0.75" bottom="0.7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3" tint="0.79998168889431442"/>
  </sheetPr>
  <dimension ref="A1:AE25"/>
  <sheetViews>
    <sheetView zoomScaleNormal="100" workbookViewId="0"/>
  </sheetViews>
  <sheetFormatPr defaultColWidth="8.88671875" defaultRowHeight="15.75" x14ac:dyDescent="0.25"/>
  <cols>
    <col min="1" max="1" width="9" style="6" bestFit="1" customWidth="1"/>
    <col min="2" max="2" width="9.5546875" style="6" customWidth="1"/>
    <col min="3" max="3" width="10.21875" style="6" customWidth="1"/>
    <col min="4" max="4" width="13.44140625" style="6" customWidth="1"/>
    <col min="5" max="6" width="11" style="6" customWidth="1"/>
    <col min="7" max="7" width="14.5546875" style="6" customWidth="1"/>
    <col min="8" max="8" width="11.5546875" style="6" customWidth="1"/>
    <col min="9" max="9" width="7.88671875" style="6" customWidth="1"/>
    <col min="10" max="10" width="9.5546875" style="6" customWidth="1"/>
    <col min="11" max="12" width="10.109375" style="6" customWidth="1"/>
    <col min="13" max="13" width="5.5546875" style="6" customWidth="1"/>
    <col min="14" max="14" width="12.88671875" style="6" bestFit="1" customWidth="1"/>
    <col min="15" max="15" width="8.6640625" style="6" bestFit="1" customWidth="1"/>
    <col min="16" max="16" width="12.109375" style="6" bestFit="1" customWidth="1"/>
    <col min="17" max="17" width="8.109375" style="6" bestFit="1" customWidth="1"/>
    <col min="18" max="18" width="13.109375" style="6" bestFit="1" customWidth="1"/>
    <col min="19" max="19" width="9.5546875" style="6" bestFit="1" customWidth="1"/>
    <col min="20" max="20" width="12.21875" style="6" bestFit="1" customWidth="1"/>
    <col min="21" max="21" width="9" style="6" bestFit="1" customWidth="1"/>
    <col min="22" max="22" width="9.77734375" style="6" bestFit="1" customWidth="1"/>
    <col min="23" max="23" width="9.88671875" style="6" bestFit="1" customWidth="1"/>
    <col min="24" max="24" width="8.21875" style="6" bestFit="1" customWidth="1"/>
    <col min="25" max="25" width="8.6640625" style="6" bestFit="1" customWidth="1"/>
    <col min="26" max="26" width="8.5546875" style="6" bestFit="1" customWidth="1"/>
    <col min="27" max="27" width="8.109375" style="6" bestFit="1" customWidth="1"/>
    <col min="28" max="28" width="10.109375" style="6" bestFit="1" customWidth="1"/>
    <col min="29" max="29" width="5.6640625" style="6" customWidth="1"/>
    <col min="30" max="30" width="9.88671875" style="6" bestFit="1" customWidth="1"/>
    <col min="31" max="16384" width="8.88671875" style="6"/>
  </cols>
  <sheetData>
    <row r="1" spans="1:31" s="530" customFormat="1" x14ac:dyDescent="0.25">
      <c r="A1" s="328">
        <v>-1</v>
      </c>
      <c r="B1" s="328">
        <v>-2</v>
      </c>
      <c r="C1" s="328">
        <v>-3</v>
      </c>
      <c r="D1" s="328">
        <v>-4</v>
      </c>
      <c r="E1" s="328">
        <v>-5</v>
      </c>
      <c r="F1" s="328">
        <v>-6</v>
      </c>
      <c r="G1" s="328">
        <v>-7</v>
      </c>
      <c r="H1" s="328">
        <v>-8</v>
      </c>
      <c r="I1" s="328">
        <v>-9</v>
      </c>
      <c r="J1" s="328">
        <v>-10</v>
      </c>
      <c r="K1" s="328">
        <v>-11</v>
      </c>
      <c r="L1" s="328">
        <v>-12</v>
      </c>
      <c r="M1" s="328">
        <v>-13</v>
      </c>
      <c r="N1" s="328">
        <v>-14</v>
      </c>
      <c r="O1" s="328">
        <v>-15</v>
      </c>
      <c r="P1" s="328">
        <v>-16</v>
      </c>
      <c r="Q1" s="328">
        <v>-17</v>
      </c>
      <c r="R1" s="328">
        <v>-18</v>
      </c>
      <c r="S1" s="328">
        <v>-19</v>
      </c>
      <c r="T1" s="328">
        <v>-20</v>
      </c>
      <c r="U1" s="328">
        <v>-21</v>
      </c>
      <c r="V1" s="328">
        <v>-22</v>
      </c>
      <c r="W1" s="328">
        <v>-23</v>
      </c>
      <c r="X1" s="328">
        <v>-24</v>
      </c>
      <c r="Y1" s="328">
        <v>-25</v>
      </c>
      <c r="Z1" s="328">
        <v>-26</v>
      </c>
      <c r="AA1" s="328">
        <v>-27</v>
      </c>
      <c r="AB1" s="328">
        <v>-28</v>
      </c>
    </row>
    <row r="3" spans="1:31" x14ac:dyDescent="0.25">
      <c r="A3" s="530"/>
      <c r="B3" s="319" t="s">
        <v>488</v>
      </c>
      <c r="C3" s="319" t="s">
        <v>488</v>
      </c>
      <c r="D3" s="319" t="s">
        <v>488</v>
      </c>
      <c r="E3" s="319" t="s">
        <v>489</v>
      </c>
      <c r="F3" s="319"/>
      <c r="G3" s="319" t="s">
        <v>490</v>
      </c>
      <c r="H3" s="319" t="s">
        <v>491</v>
      </c>
      <c r="I3" s="319" t="s">
        <v>492</v>
      </c>
      <c r="J3" s="319"/>
      <c r="K3" s="319" t="s">
        <v>493</v>
      </c>
      <c r="L3" s="317" t="s">
        <v>603</v>
      </c>
      <c r="M3" s="317"/>
      <c r="N3" s="584" t="s">
        <v>494</v>
      </c>
      <c r="O3" s="584"/>
      <c r="P3" s="584" t="s">
        <v>495</v>
      </c>
      <c r="Q3" s="584"/>
      <c r="R3" s="584" t="s">
        <v>496</v>
      </c>
      <c r="S3" s="584"/>
      <c r="T3" s="584" t="s">
        <v>497</v>
      </c>
      <c r="U3" s="584"/>
      <c r="V3" s="320" t="s">
        <v>498</v>
      </c>
      <c r="W3" s="320" t="s">
        <v>67</v>
      </c>
      <c r="X3" s="320" t="s">
        <v>499</v>
      </c>
      <c r="Y3" s="320" t="s">
        <v>500</v>
      </c>
      <c r="Z3" s="320" t="s">
        <v>501</v>
      </c>
      <c r="AA3" s="320"/>
      <c r="AB3" s="320"/>
      <c r="AD3" s="340" t="s">
        <v>531</v>
      </c>
      <c r="AE3" s="340"/>
    </row>
    <row r="4" spans="1:31" x14ac:dyDescent="0.25">
      <c r="A4" s="78" t="s">
        <v>267</v>
      </c>
      <c r="B4" s="533" t="s">
        <v>90</v>
      </c>
      <c r="C4" s="533" t="s">
        <v>502</v>
      </c>
      <c r="D4" s="533" t="s">
        <v>503</v>
      </c>
      <c r="E4" s="322" t="s">
        <v>504</v>
      </c>
      <c r="F4" s="525" t="s">
        <v>402</v>
      </c>
      <c r="G4" s="533" t="s">
        <v>505</v>
      </c>
      <c r="H4" s="533" t="s">
        <v>506</v>
      </c>
      <c r="I4" s="533" t="s">
        <v>507</v>
      </c>
      <c r="J4" s="533" t="s">
        <v>508</v>
      </c>
      <c r="K4" s="533" t="s">
        <v>509</v>
      </c>
      <c r="L4" s="321" t="s">
        <v>604</v>
      </c>
      <c r="M4" s="321"/>
      <c r="N4" s="533" t="s">
        <v>11</v>
      </c>
      <c r="O4" s="533" t="s">
        <v>510</v>
      </c>
      <c r="P4" s="533" t="s">
        <v>11</v>
      </c>
      <c r="Q4" s="533" t="s">
        <v>510</v>
      </c>
      <c r="R4" s="533" t="s">
        <v>11</v>
      </c>
      <c r="S4" s="533" t="s">
        <v>510</v>
      </c>
      <c r="T4" s="533" t="s">
        <v>11</v>
      </c>
      <c r="U4" s="533" t="s">
        <v>510</v>
      </c>
      <c r="V4" s="323" t="s">
        <v>511</v>
      </c>
      <c r="W4" s="323" t="s">
        <v>110</v>
      </c>
      <c r="X4" s="323" t="s">
        <v>512</v>
      </c>
      <c r="Y4" s="323" t="s">
        <v>511</v>
      </c>
      <c r="Z4" s="323" t="s">
        <v>513</v>
      </c>
      <c r="AA4" s="323" t="s">
        <v>514</v>
      </c>
      <c r="AB4" s="323" t="s">
        <v>30</v>
      </c>
      <c r="AD4" s="341" t="s">
        <v>30</v>
      </c>
      <c r="AE4" s="340"/>
    </row>
    <row r="5" spans="1:31" x14ac:dyDescent="0.25">
      <c r="A5" s="337">
        <f>'Input Data'!C7</f>
        <v>43497</v>
      </c>
      <c r="B5" s="548">
        <v>4909</v>
      </c>
      <c r="C5" s="549">
        <v>4375</v>
      </c>
      <c r="D5" s="549">
        <v>8518.4459999999999</v>
      </c>
      <c r="E5" s="549">
        <v>0</v>
      </c>
      <c r="F5" s="549">
        <v>24.8</v>
      </c>
      <c r="G5" s="549">
        <v>4112.2699999999995</v>
      </c>
      <c r="H5" s="549">
        <v>0</v>
      </c>
      <c r="I5" s="549">
        <v>0</v>
      </c>
      <c r="J5" s="549">
        <v>0</v>
      </c>
      <c r="K5" s="549">
        <v>0</v>
      </c>
      <c r="L5" s="549">
        <v>-939.09169999999995</v>
      </c>
      <c r="M5" s="550"/>
      <c r="N5" s="548">
        <v>-72</v>
      </c>
      <c r="O5" s="549">
        <v>-184.33</v>
      </c>
      <c r="P5" s="548">
        <v>0</v>
      </c>
      <c r="Q5" s="549">
        <v>0</v>
      </c>
      <c r="R5" s="548">
        <v>-294.10000000000036</v>
      </c>
      <c r="S5" s="549">
        <v>-743.25</v>
      </c>
      <c r="T5" s="548">
        <v>3.0999999999999943</v>
      </c>
      <c r="U5" s="549">
        <v>9.4700000000000006</v>
      </c>
      <c r="V5" s="549">
        <v>0</v>
      </c>
      <c r="W5" s="549">
        <v>0</v>
      </c>
      <c r="X5" s="549">
        <v>394.26940000000002</v>
      </c>
      <c r="Y5" s="549">
        <v>5000</v>
      </c>
      <c r="Z5" s="549">
        <v>136.38936539999997</v>
      </c>
      <c r="AA5" s="549">
        <v>744.33636676800006</v>
      </c>
      <c r="AB5" s="549">
        <v>21448.309432168</v>
      </c>
      <c r="AD5" s="342">
        <f t="shared" ref="AD5:AD6" si="0">SUM(C5:L5,O5,Q5,S5,U5:AA5)</f>
        <v>21448.309432167993</v>
      </c>
      <c r="AE5" s="340" t="str">
        <f>IF(AB5=AD5,"ok","error")</f>
        <v>ok</v>
      </c>
    </row>
    <row r="6" spans="1:31" x14ac:dyDescent="0.25">
      <c r="A6" s="337">
        <f>EOMONTH(A5,1)</f>
        <v>43555</v>
      </c>
      <c r="B6" s="548">
        <v>13299.199999999999</v>
      </c>
      <c r="C6" s="549">
        <v>4375</v>
      </c>
      <c r="D6" s="549">
        <v>25965.299619999998</v>
      </c>
      <c r="E6" s="549">
        <v>0</v>
      </c>
      <c r="F6" s="549">
        <v>88.95</v>
      </c>
      <c r="G6" s="549">
        <v>11140.740000000002</v>
      </c>
      <c r="H6" s="549">
        <v>0</v>
      </c>
      <c r="I6" s="549">
        <v>0</v>
      </c>
      <c r="J6" s="549">
        <v>0</v>
      </c>
      <c r="K6" s="549">
        <v>0</v>
      </c>
      <c r="L6" s="549">
        <v>-2544.1369599999998</v>
      </c>
      <c r="M6" s="550"/>
      <c r="N6" s="548">
        <v>-67</v>
      </c>
      <c r="O6" s="549">
        <v>-288.08000000000004</v>
      </c>
      <c r="P6" s="548">
        <v>0</v>
      </c>
      <c r="Q6" s="549">
        <v>0</v>
      </c>
      <c r="R6" s="548">
        <v>0</v>
      </c>
      <c r="S6" s="549">
        <v>0</v>
      </c>
      <c r="T6" s="548">
        <v>332.19999999999891</v>
      </c>
      <c r="U6" s="549">
        <v>1444.06</v>
      </c>
      <c r="V6" s="549">
        <v>0</v>
      </c>
      <c r="W6" s="549">
        <v>0</v>
      </c>
      <c r="X6" s="549">
        <v>617.44871999999998</v>
      </c>
      <c r="Y6" s="549">
        <v>5000</v>
      </c>
      <c r="Z6" s="549">
        <v>180.35948460000003</v>
      </c>
      <c r="AA6" s="549">
        <v>1209.7061982719999</v>
      </c>
      <c r="AB6" s="549">
        <v>47189.347062871995</v>
      </c>
      <c r="AD6" s="342">
        <f t="shared" si="0"/>
        <v>47189.347062871995</v>
      </c>
      <c r="AE6" s="340" t="str">
        <f t="shared" ref="AE6:AE7" si="1">IF(AB6=AD6,"ok","error")</f>
        <v>ok</v>
      </c>
    </row>
    <row r="7" spans="1:31" x14ac:dyDescent="0.25">
      <c r="A7" s="337">
        <f>EOMONTH(A6,1)</f>
        <v>43585</v>
      </c>
      <c r="B7" s="551">
        <v>36260.5</v>
      </c>
      <c r="C7" s="552">
        <v>4375</v>
      </c>
      <c r="D7" s="552">
        <v>53756.433690000005</v>
      </c>
      <c r="E7" s="552">
        <v>0</v>
      </c>
      <c r="F7" s="552">
        <v>49.82</v>
      </c>
      <c r="G7" s="552">
        <v>30375.409999999996</v>
      </c>
      <c r="H7" s="552">
        <v>499.77269999999999</v>
      </c>
      <c r="I7" s="552">
        <v>0</v>
      </c>
      <c r="J7" s="552">
        <v>0</v>
      </c>
      <c r="K7" s="552">
        <v>0</v>
      </c>
      <c r="L7" s="552">
        <v>-6936.6336499999998</v>
      </c>
      <c r="M7" s="553"/>
      <c r="N7" s="551">
        <v>-64</v>
      </c>
      <c r="O7" s="552">
        <v>-173.29</v>
      </c>
      <c r="P7" s="551">
        <v>0</v>
      </c>
      <c r="Q7" s="552">
        <v>0</v>
      </c>
      <c r="R7" s="551">
        <v>0</v>
      </c>
      <c r="S7" s="552">
        <v>0</v>
      </c>
      <c r="T7" s="551">
        <v>1004.4999999999973</v>
      </c>
      <c r="U7" s="552">
        <v>2796.54</v>
      </c>
      <c r="V7" s="552">
        <v>0</v>
      </c>
      <c r="W7" s="552">
        <v>0</v>
      </c>
      <c r="X7" s="552">
        <v>1228.2192999999997</v>
      </c>
      <c r="Y7" s="552">
        <v>5000</v>
      </c>
      <c r="Z7" s="552">
        <v>686.03640419999988</v>
      </c>
      <c r="AA7" s="552">
        <v>2519.6597174399999</v>
      </c>
      <c r="AB7" s="552">
        <v>94176.96816163999</v>
      </c>
      <c r="AD7" s="342">
        <f>SUM(C7:L7,O7,Q7,S7,U7:AA7)</f>
        <v>94176.96816163999</v>
      </c>
      <c r="AE7" s="340" t="str">
        <f t="shared" si="1"/>
        <v>ok</v>
      </c>
    </row>
    <row r="8" spans="1:31" x14ac:dyDescent="0.25">
      <c r="A8" s="43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E8" s="530"/>
    </row>
    <row r="9" spans="1:31" x14ac:dyDescent="0.25">
      <c r="A9" s="43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E9" s="530"/>
    </row>
    <row r="10" spans="1:31" x14ac:dyDescent="0.25">
      <c r="A10" s="43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E10" s="530"/>
    </row>
    <row r="11" spans="1:31" x14ac:dyDescent="0.25">
      <c r="A11" s="43"/>
    </row>
    <row r="12" spans="1:31" x14ac:dyDescent="0.25">
      <c r="A12" s="43"/>
    </row>
    <row r="13" spans="1:31" x14ac:dyDescent="0.25">
      <c r="A13" s="43"/>
    </row>
    <row r="14" spans="1:31" x14ac:dyDescent="0.25">
      <c r="A14" s="43"/>
    </row>
    <row r="15" spans="1:31" x14ac:dyDescent="0.25">
      <c r="A15" s="43"/>
    </row>
    <row r="16" spans="1:31" x14ac:dyDescent="0.25">
      <c r="A16" s="43"/>
    </row>
    <row r="17" spans="1:1" x14ac:dyDescent="0.25">
      <c r="A17" s="43"/>
    </row>
    <row r="18" spans="1:1" x14ac:dyDescent="0.25">
      <c r="A18" s="43"/>
    </row>
    <row r="19" spans="1:1" x14ac:dyDescent="0.25">
      <c r="A19" s="43"/>
    </row>
    <row r="20" spans="1:1" x14ac:dyDescent="0.25">
      <c r="A20" s="43"/>
    </row>
    <row r="21" spans="1:1" x14ac:dyDescent="0.25">
      <c r="A21" s="43"/>
    </row>
    <row r="22" spans="1:1" x14ac:dyDescent="0.25">
      <c r="A22" s="43"/>
    </row>
    <row r="23" spans="1:1" x14ac:dyDescent="0.25">
      <c r="A23" s="43"/>
    </row>
    <row r="24" spans="1:1" x14ac:dyDescent="0.25">
      <c r="A24" s="43"/>
    </row>
    <row r="25" spans="1:1" x14ac:dyDescent="0.25">
      <c r="A25" s="43"/>
    </row>
  </sheetData>
  <mergeCells count="4">
    <mergeCell ref="P3:Q3"/>
    <mergeCell ref="R3:S3"/>
    <mergeCell ref="T3:U3"/>
    <mergeCell ref="N3:O3"/>
  </mergeCells>
  <pageMargins left="0.7" right="0.7" top="0.75" bottom="0.75" header="0.3" footer="0.3"/>
  <pageSetup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3" tint="0.79998168889431442"/>
  </sheetPr>
  <dimension ref="A1:BI179"/>
  <sheetViews>
    <sheetView zoomScaleNormal="100" workbookViewId="0"/>
  </sheetViews>
  <sheetFormatPr defaultColWidth="8.88671875" defaultRowHeight="15.75" x14ac:dyDescent="0.25"/>
  <cols>
    <col min="1" max="1" width="10.44140625" style="6" customWidth="1"/>
    <col min="2" max="4" width="12.33203125" style="6" customWidth="1"/>
    <col min="5" max="5" width="4" style="6" customWidth="1"/>
    <col min="6" max="6" width="9.5546875" style="6" bestFit="1" customWidth="1"/>
    <col min="7" max="7" width="10.44140625" style="6" bestFit="1" customWidth="1"/>
    <col min="8" max="8" width="6" style="6" customWidth="1"/>
    <col min="9" max="10" width="12.33203125" style="6" customWidth="1"/>
    <col min="11" max="11" width="4.33203125" style="6" customWidth="1"/>
    <col min="12" max="13" width="12.33203125" style="6" customWidth="1"/>
    <col min="14" max="14" width="5.33203125" style="6" bestFit="1" customWidth="1"/>
    <col min="15" max="16" width="12.33203125" style="6" customWidth="1"/>
    <col min="17" max="17" width="1" style="6" customWidth="1"/>
    <col min="18" max="19" width="12.33203125" style="6" customWidth="1"/>
    <col min="20" max="20" width="4.6640625" style="6" customWidth="1"/>
    <col min="21" max="22" width="12.33203125" style="6" customWidth="1"/>
    <col min="23" max="23" width="4.33203125" style="6" customWidth="1"/>
    <col min="24" max="24" width="12.33203125" style="6" customWidth="1"/>
    <col min="25" max="25" width="5" style="6" customWidth="1"/>
    <col min="26" max="26" width="9" style="6" bestFit="1" customWidth="1"/>
    <col min="27" max="27" width="4.109375" style="6" customWidth="1"/>
    <col min="28" max="28" width="11.109375" style="6" bestFit="1" customWidth="1"/>
    <col min="29" max="29" width="9.109375" style="6" bestFit="1" customWidth="1"/>
    <col min="30" max="30" width="4.109375" style="6" customWidth="1"/>
    <col min="31" max="31" width="9" style="6" bestFit="1" customWidth="1"/>
    <col min="32" max="32" width="4.44140625" style="6" customWidth="1"/>
    <col min="33" max="33" width="10.44140625" style="6" bestFit="1" customWidth="1"/>
    <col min="34" max="34" width="4.44140625" style="6" customWidth="1"/>
    <col min="35" max="35" width="9" style="6" bestFit="1" customWidth="1"/>
    <col min="36" max="36" width="4.44140625" style="6" customWidth="1"/>
    <col min="37" max="38" width="9" style="6" bestFit="1" customWidth="1"/>
    <col min="39" max="39" width="11.33203125" style="6" bestFit="1" customWidth="1"/>
    <col min="40" max="40" width="10.88671875" style="6" bestFit="1" customWidth="1"/>
    <col min="41" max="41" width="4" style="6" customWidth="1"/>
    <col min="42" max="42" width="9" style="6" bestFit="1" customWidth="1"/>
    <col min="43" max="43" width="4.109375" style="6" customWidth="1"/>
    <col min="44" max="44" width="9" style="6" bestFit="1" customWidth="1"/>
    <col min="45" max="45" width="3.88671875" style="6" customWidth="1"/>
    <col min="46" max="46" width="9" style="6" customWidth="1"/>
    <col min="47" max="47" width="3.88671875" style="6" customWidth="1"/>
    <col min="48" max="48" width="9" style="6" bestFit="1" customWidth="1"/>
    <col min="49" max="49" width="3.88671875" style="6" customWidth="1"/>
    <col min="50" max="50" width="9.5546875" style="6" bestFit="1" customWidth="1"/>
    <col min="51" max="51" width="3.88671875" style="6" customWidth="1"/>
    <col min="52" max="52" width="9.5546875" style="6" customWidth="1"/>
    <col min="53" max="53" width="3.88671875" style="6" customWidth="1"/>
    <col min="54" max="54" width="9" style="6" bestFit="1" customWidth="1"/>
    <col min="55" max="55" width="4.21875" style="6" customWidth="1"/>
    <col min="56" max="56" width="9" style="6" bestFit="1" customWidth="1"/>
    <col min="57" max="57" width="5.21875" style="6" customWidth="1"/>
    <col min="58" max="58" width="10.44140625" style="6" customWidth="1"/>
    <col min="59" max="59" width="8.88671875" style="6"/>
    <col min="60" max="60" width="9.88671875" style="6" bestFit="1" customWidth="1"/>
    <col min="61" max="16384" width="8.88671875" style="6"/>
  </cols>
  <sheetData>
    <row r="1" spans="1:61" s="435" customFormat="1" x14ac:dyDescent="0.25">
      <c r="A1" s="328">
        <v>-1</v>
      </c>
      <c r="B1" s="328">
        <v>-2</v>
      </c>
      <c r="C1" s="328">
        <v>-3</v>
      </c>
      <c r="D1" s="328">
        <v>-4</v>
      </c>
      <c r="E1" s="328">
        <v>-5</v>
      </c>
      <c r="F1" s="328">
        <v>-6</v>
      </c>
      <c r="G1" s="328">
        <v>-7</v>
      </c>
      <c r="H1" s="328">
        <v>-8</v>
      </c>
      <c r="I1" s="328">
        <v>-9</v>
      </c>
      <c r="J1" s="328">
        <v>-10</v>
      </c>
      <c r="K1" s="328">
        <v>-11</v>
      </c>
      <c r="L1" s="328">
        <v>-12</v>
      </c>
      <c r="M1" s="328">
        <v>-13</v>
      </c>
      <c r="N1" s="328">
        <v>-14</v>
      </c>
      <c r="O1" s="328">
        <v>-15</v>
      </c>
      <c r="P1" s="328">
        <v>-16</v>
      </c>
      <c r="Q1" s="328">
        <v>-17</v>
      </c>
      <c r="R1" s="328">
        <v>-18</v>
      </c>
      <c r="S1" s="328">
        <v>-19</v>
      </c>
      <c r="T1" s="328">
        <v>-20</v>
      </c>
      <c r="U1" s="328">
        <v>-21</v>
      </c>
      <c r="V1" s="328">
        <v>-22</v>
      </c>
      <c r="W1" s="328">
        <v>-23</v>
      </c>
      <c r="X1" s="328">
        <v>-24</v>
      </c>
      <c r="Y1" s="328">
        <v>-25</v>
      </c>
      <c r="Z1" s="328">
        <v>-26</v>
      </c>
      <c r="AA1" s="328">
        <v>-27</v>
      </c>
      <c r="AB1" s="328">
        <v>-28</v>
      </c>
      <c r="AC1" s="328">
        <v>-29</v>
      </c>
      <c r="AD1" s="328">
        <v>-30</v>
      </c>
      <c r="AE1" s="328">
        <v>-31</v>
      </c>
      <c r="AF1" s="328">
        <v>-32</v>
      </c>
      <c r="AG1" s="328">
        <v>-33</v>
      </c>
      <c r="AH1" s="328">
        <v>-34</v>
      </c>
      <c r="AI1" s="328">
        <v>-35</v>
      </c>
      <c r="AJ1" s="328">
        <v>-36</v>
      </c>
      <c r="AK1" s="328">
        <v>-37</v>
      </c>
      <c r="AL1" s="328">
        <v>-38</v>
      </c>
      <c r="AM1" s="328">
        <v>-39</v>
      </c>
      <c r="AN1" s="328">
        <v>-40</v>
      </c>
      <c r="AO1" s="328">
        <v>-41</v>
      </c>
      <c r="AP1" s="328">
        <v>-42</v>
      </c>
      <c r="AQ1" s="328">
        <v>-43</v>
      </c>
      <c r="AR1" s="328">
        <v>-44</v>
      </c>
      <c r="AS1" s="328">
        <v>-45</v>
      </c>
      <c r="AT1" s="328">
        <v>-46</v>
      </c>
      <c r="AU1" s="328">
        <v>-47</v>
      </c>
      <c r="AV1" s="328">
        <v>-48</v>
      </c>
      <c r="AW1" s="328">
        <v>-49</v>
      </c>
      <c r="AX1" s="328">
        <v>-50</v>
      </c>
      <c r="AY1" s="328">
        <v>-51</v>
      </c>
      <c r="AZ1" s="328">
        <v>-52</v>
      </c>
      <c r="BA1" s="328">
        <v>-53</v>
      </c>
      <c r="BB1" s="328">
        <v>-54</v>
      </c>
      <c r="BC1" s="328">
        <v>-55</v>
      </c>
      <c r="BD1" s="328">
        <v>-56</v>
      </c>
      <c r="BE1" s="328">
        <v>-57</v>
      </c>
      <c r="BF1" s="328">
        <v>-58</v>
      </c>
    </row>
    <row r="2" spans="1:61" x14ac:dyDescent="0.25">
      <c r="B2" s="318"/>
      <c r="C2" s="318"/>
      <c r="D2" s="316"/>
      <c r="E2" s="315"/>
      <c r="F2" s="318"/>
      <c r="G2" s="316"/>
      <c r="H2" s="315"/>
      <c r="I2" s="316"/>
      <c r="J2" s="316"/>
      <c r="K2" s="315"/>
      <c r="L2" s="316"/>
      <c r="M2" s="316"/>
      <c r="N2" s="315"/>
      <c r="O2" s="127"/>
      <c r="P2" s="316"/>
      <c r="Q2" s="315"/>
      <c r="R2" s="318"/>
      <c r="S2" s="316"/>
      <c r="T2" s="315"/>
      <c r="U2" s="127"/>
      <c r="V2" s="316"/>
      <c r="W2" s="315"/>
      <c r="X2" s="316"/>
      <c r="Y2" s="315"/>
      <c r="Z2" s="316"/>
      <c r="AA2" s="315"/>
      <c r="AB2" s="127"/>
      <c r="AC2" s="316"/>
      <c r="AD2" s="315"/>
      <c r="AE2" s="316"/>
      <c r="AF2" s="316"/>
      <c r="AG2" s="316"/>
      <c r="AH2" s="316"/>
      <c r="AI2" s="316"/>
      <c r="AJ2" s="315"/>
      <c r="AK2" s="318"/>
      <c r="AL2" s="316"/>
      <c r="AM2" s="316"/>
      <c r="AN2" s="316"/>
      <c r="AO2" s="315"/>
      <c r="AP2" s="316"/>
      <c r="AQ2" s="315"/>
      <c r="AR2" s="316"/>
      <c r="AS2" s="315"/>
      <c r="AT2" s="315"/>
      <c r="AU2" s="315"/>
      <c r="AV2" s="316"/>
      <c r="AW2" s="315"/>
      <c r="AX2" s="315"/>
      <c r="AY2" s="315"/>
      <c r="AZ2" s="315"/>
      <c r="BA2" s="315"/>
      <c r="BB2" s="316"/>
      <c r="BC2" s="315"/>
      <c r="BD2" s="316"/>
      <c r="BE2" s="315"/>
      <c r="BF2" s="316"/>
      <c r="BG2" s="325"/>
    </row>
    <row r="3" spans="1:61" x14ac:dyDescent="0.25">
      <c r="A3" s="530"/>
      <c r="B3" s="584" t="s">
        <v>488</v>
      </c>
      <c r="C3" s="584"/>
      <c r="D3" s="584"/>
      <c r="E3" s="317"/>
      <c r="F3" s="584" t="s">
        <v>528</v>
      </c>
      <c r="G3" s="584"/>
      <c r="H3" s="317"/>
      <c r="I3" s="584" t="s">
        <v>496</v>
      </c>
      <c r="J3" s="584"/>
      <c r="K3" s="317"/>
      <c r="L3" s="584" t="s">
        <v>497</v>
      </c>
      <c r="M3" s="584"/>
      <c r="N3" s="317"/>
      <c r="O3" s="584" t="s">
        <v>517</v>
      </c>
      <c r="P3" s="584"/>
      <c r="Q3" s="317"/>
      <c r="R3" s="584" t="s">
        <v>518</v>
      </c>
      <c r="S3" s="584"/>
      <c r="T3" s="317"/>
      <c r="U3" s="584" t="s">
        <v>519</v>
      </c>
      <c r="V3" s="584"/>
      <c r="W3" s="317"/>
      <c r="X3" s="320" t="s">
        <v>491</v>
      </c>
      <c r="Y3" s="317"/>
      <c r="Z3" s="320" t="s">
        <v>520</v>
      </c>
      <c r="AA3" s="317"/>
      <c r="AB3" s="326" t="s">
        <v>521</v>
      </c>
      <c r="AC3" s="324" t="s">
        <v>521</v>
      </c>
      <c r="AD3" s="317"/>
      <c r="AE3" s="324" t="s">
        <v>403</v>
      </c>
      <c r="AF3" s="324"/>
      <c r="AG3" s="324" t="s">
        <v>603</v>
      </c>
      <c r="AH3" s="324"/>
      <c r="AI3" s="324" t="s">
        <v>501</v>
      </c>
      <c r="AJ3" s="317"/>
      <c r="AK3" s="584" t="s">
        <v>69</v>
      </c>
      <c r="AL3" s="584"/>
      <c r="AM3" s="584"/>
      <c r="AN3" s="584"/>
      <c r="AO3" s="317"/>
      <c r="AP3" s="320" t="s">
        <v>522</v>
      </c>
      <c r="AQ3" s="317"/>
      <c r="AR3" s="320" t="s">
        <v>500</v>
      </c>
      <c r="AS3" s="324"/>
      <c r="AT3" s="324"/>
      <c r="AU3" s="324"/>
      <c r="AV3" s="320" t="s">
        <v>498</v>
      </c>
      <c r="AW3" s="324"/>
      <c r="AX3" s="324" t="s">
        <v>403</v>
      </c>
      <c r="AY3" s="324"/>
      <c r="AZ3" s="324" t="s">
        <v>603</v>
      </c>
      <c r="BA3" s="324"/>
      <c r="BB3" s="320" t="s">
        <v>30</v>
      </c>
      <c r="BC3" s="324"/>
      <c r="BD3" s="320" t="s">
        <v>30</v>
      </c>
      <c r="BE3" s="324"/>
      <c r="BF3" s="320" t="s">
        <v>30</v>
      </c>
      <c r="BG3" s="127"/>
      <c r="BH3" s="340" t="s">
        <v>222</v>
      </c>
      <c r="BI3" s="439"/>
    </row>
    <row r="4" spans="1:61" x14ac:dyDescent="0.25">
      <c r="A4" s="78" t="s">
        <v>267</v>
      </c>
      <c r="B4" s="533" t="s">
        <v>90</v>
      </c>
      <c r="C4" s="533" t="s">
        <v>503</v>
      </c>
      <c r="D4" s="323" t="s">
        <v>402</v>
      </c>
      <c r="E4" s="321"/>
      <c r="F4" s="533" t="s">
        <v>90</v>
      </c>
      <c r="G4" s="323" t="s">
        <v>510</v>
      </c>
      <c r="H4" s="321"/>
      <c r="I4" s="533" t="s">
        <v>90</v>
      </c>
      <c r="J4" s="323" t="s">
        <v>510</v>
      </c>
      <c r="K4" s="321"/>
      <c r="L4" s="533" t="s">
        <v>90</v>
      </c>
      <c r="M4" s="323" t="s">
        <v>510</v>
      </c>
      <c r="N4" s="321"/>
      <c r="O4" s="327" t="s">
        <v>90</v>
      </c>
      <c r="P4" s="323" t="s">
        <v>510</v>
      </c>
      <c r="Q4" s="321"/>
      <c r="R4" s="533" t="s">
        <v>90</v>
      </c>
      <c r="S4" s="323" t="s">
        <v>510</v>
      </c>
      <c r="T4" s="321"/>
      <c r="U4" s="327" t="s">
        <v>90</v>
      </c>
      <c r="V4" s="323" t="s">
        <v>510</v>
      </c>
      <c r="W4" s="321"/>
      <c r="X4" s="323" t="s">
        <v>523</v>
      </c>
      <c r="Y4" s="321"/>
      <c r="Z4" s="323" t="s">
        <v>510</v>
      </c>
      <c r="AA4" s="321"/>
      <c r="AB4" s="327" t="s">
        <v>524</v>
      </c>
      <c r="AC4" s="322" t="s">
        <v>525</v>
      </c>
      <c r="AD4" s="321"/>
      <c r="AE4" s="322" t="s">
        <v>605</v>
      </c>
      <c r="AF4" s="322"/>
      <c r="AG4" s="525" t="s">
        <v>604</v>
      </c>
      <c r="AH4" s="525"/>
      <c r="AI4" s="322" t="s">
        <v>513</v>
      </c>
      <c r="AJ4" s="321"/>
      <c r="AK4" s="533" t="s">
        <v>90</v>
      </c>
      <c r="AL4" s="323" t="s">
        <v>510</v>
      </c>
      <c r="AM4" s="323" t="s">
        <v>515</v>
      </c>
      <c r="AN4" s="323" t="s">
        <v>516</v>
      </c>
      <c r="AO4" s="321"/>
      <c r="AP4" s="323" t="s">
        <v>510</v>
      </c>
      <c r="AQ4" s="321"/>
      <c r="AR4" s="323" t="s">
        <v>511</v>
      </c>
      <c r="AS4" s="321"/>
      <c r="AT4" s="321" t="s">
        <v>402</v>
      </c>
      <c r="AU4" s="321"/>
      <c r="AV4" s="323" t="s">
        <v>511</v>
      </c>
      <c r="AW4" s="321"/>
      <c r="AX4" s="321" t="s">
        <v>590</v>
      </c>
      <c r="AY4" s="321"/>
      <c r="AZ4" s="527" t="s">
        <v>604</v>
      </c>
      <c r="BA4" s="527"/>
      <c r="BB4" s="323" t="s">
        <v>526</v>
      </c>
      <c r="BC4" s="321"/>
      <c r="BD4" s="323" t="s">
        <v>527</v>
      </c>
      <c r="BE4" s="321"/>
      <c r="BF4" s="323" t="s">
        <v>510</v>
      </c>
      <c r="BG4" s="127"/>
      <c r="BH4" s="340" t="s">
        <v>30</v>
      </c>
      <c r="BI4" s="439"/>
    </row>
    <row r="5" spans="1:61" x14ac:dyDescent="0.25">
      <c r="A5" s="337">
        <f>'Input Data'!C7</f>
        <v>43497</v>
      </c>
      <c r="B5" s="541">
        <v>1423108</v>
      </c>
      <c r="C5" s="208">
        <v>631859.93000000005</v>
      </c>
      <c r="D5" s="208">
        <v>1372.6799999999998</v>
      </c>
      <c r="E5" s="542"/>
      <c r="F5" s="543">
        <v>38201.000000000102</v>
      </c>
      <c r="G5" s="208">
        <v>117454.78</v>
      </c>
      <c r="H5" s="542"/>
      <c r="I5" s="541">
        <v>-1632.0999999999949</v>
      </c>
      <c r="J5" s="208">
        <v>-4175.59</v>
      </c>
      <c r="K5" s="542"/>
      <c r="L5" s="541">
        <v>39833.100000000093</v>
      </c>
      <c r="M5" s="208">
        <v>121630.37</v>
      </c>
      <c r="N5" s="542">
        <v>0</v>
      </c>
      <c r="O5" s="541">
        <v>-27906</v>
      </c>
      <c r="P5" s="208">
        <v>-84368.91</v>
      </c>
      <c r="Q5" s="542"/>
      <c r="R5" s="541">
        <v>-27906</v>
      </c>
      <c r="S5" s="208">
        <v>-84368.91</v>
      </c>
      <c r="T5" s="542"/>
      <c r="U5" s="541">
        <v>0</v>
      </c>
      <c r="V5" s="208">
        <v>0</v>
      </c>
      <c r="W5" s="542"/>
      <c r="X5" s="208">
        <v>2518.8399000000004</v>
      </c>
      <c r="Y5" s="542"/>
      <c r="Z5" s="208">
        <v>0</v>
      </c>
      <c r="AA5" s="542"/>
      <c r="AB5" s="541">
        <v>2099.3000000000002</v>
      </c>
      <c r="AC5" s="208">
        <v>932.0899999999998</v>
      </c>
      <c r="AD5" s="542"/>
      <c r="AE5" s="208">
        <v>4411.6800000000012</v>
      </c>
      <c r="AF5" s="208"/>
      <c r="AG5" s="208">
        <v>-272240.56040000007</v>
      </c>
      <c r="AH5" s="208"/>
      <c r="AI5" s="208">
        <v>429.67082260000006</v>
      </c>
      <c r="AJ5" s="542"/>
      <c r="AK5" s="541">
        <v>41338.400000000001</v>
      </c>
      <c r="AL5" s="208">
        <v>18325.3</v>
      </c>
      <c r="AM5" s="208">
        <v>6812.5635912474609</v>
      </c>
      <c r="AN5" s="208">
        <v>11512.73640875254</v>
      </c>
      <c r="AO5" s="542"/>
      <c r="AP5" s="208">
        <v>47275</v>
      </c>
      <c r="AQ5" s="542"/>
      <c r="AR5" s="208">
        <v>0</v>
      </c>
      <c r="AS5" s="542"/>
      <c r="AT5" s="542">
        <v>0</v>
      </c>
      <c r="AU5" s="542"/>
      <c r="AV5" s="208">
        <v>23.98</v>
      </c>
      <c r="AW5" s="542"/>
      <c r="AX5" s="542">
        <v>0.17</v>
      </c>
      <c r="AY5" s="542"/>
      <c r="AZ5" s="544">
        <v>-10.33</v>
      </c>
      <c r="BA5" s="542"/>
      <c r="BB5" s="208">
        <v>893.37</v>
      </c>
      <c r="BC5" s="542"/>
      <c r="BD5" s="208">
        <v>15776.060000000003</v>
      </c>
      <c r="BE5" s="542"/>
      <c r="BF5" s="208">
        <v>484653.75000000017</v>
      </c>
      <c r="BG5" s="127"/>
      <c r="BH5" s="342">
        <f>C5+D5+J5+M5+S5+V5+X5+Z5+AC5+AE5+AG5+AI5+AL5+AP5+AR5+AV5+AX5+AZ5+BB5+BD5+AT5</f>
        <v>484653.75032260001</v>
      </c>
      <c r="BI5" s="340" t="str">
        <f>IF(BF5=BH5,"ok","error")</f>
        <v>error</v>
      </c>
    </row>
    <row r="6" spans="1:61" x14ac:dyDescent="0.25">
      <c r="A6" s="337">
        <f>EOMONTH(A5,1)</f>
        <v>43555</v>
      </c>
      <c r="B6" s="541">
        <v>1444982.8000000003</v>
      </c>
      <c r="C6" s="208">
        <v>641572.42000000004</v>
      </c>
      <c r="D6" s="208">
        <v>1492.8000000000002</v>
      </c>
      <c r="E6" s="542"/>
      <c r="F6" s="543">
        <v>-34617.500000000233</v>
      </c>
      <c r="G6" s="208">
        <v>-90366.95</v>
      </c>
      <c r="H6" s="542"/>
      <c r="I6" s="541">
        <v>-34718.20000000023</v>
      </c>
      <c r="J6" s="208">
        <v>-90799.93</v>
      </c>
      <c r="K6" s="542"/>
      <c r="L6" s="541">
        <v>100.70000000000073</v>
      </c>
      <c r="M6" s="208">
        <v>432.98</v>
      </c>
      <c r="N6" s="542">
        <v>0</v>
      </c>
      <c r="O6" s="541">
        <v>-19577</v>
      </c>
      <c r="P6" s="208">
        <v>-51525.159999999996</v>
      </c>
      <c r="Q6" s="542"/>
      <c r="R6" s="541">
        <v>-19577</v>
      </c>
      <c r="S6" s="208">
        <v>-51525.159999999996</v>
      </c>
      <c r="T6" s="542"/>
      <c r="U6" s="541">
        <v>0</v>
      </c>
      <c r="V6" s="208">
        <v>0</v>
      </c>
      <c r="W6" s="542"/>
      <c r="X6" s="208">
        <v>2687.2442999999998</v>
      </c>
      <c r="Y6" s="542"/>
      <c r="Z6" s="208">
        <v>22884.560000000001</v>
      </c>
      <c r="AA6" s="542"/>
      <c r="AB6" s="541">
        <v>3634.9999999999995</v>
      </c>
      <c r="AC6" s="208">
        <v>1613.94</v>
      </c>
      <c r="AD6" s="542"/>
      <c r="AE6" s="208">
        <v>4479.5000000000009</v>
      </c>
      <c r="AF6" s="208"/>
      <c r="AG6" s="208">
        <v>-276425.20964000002</v>
      </c>
      <c r="AH6" s="208"/>
      <c r="AI6" s="208">
        <v>454.22916150000003</v>
      </c>
      <c r="AJ6" s="542"/>
      <c r="AK6" s="541">
        <v>52352.700000000019</v>
      </c>
      <c r="AL6" s="208">
        <v>23207.96</v>
      </c>
      <c r="AM6" s="208">
        <v>8627.7279675163554</v>
      </c>
      <c r="AN6" s="208">
        <v>14580.232032483646</v>
      </c>
      <c r="AO6" s="542"/>
      <c r="AP6" s="208">
        <v>47275</v>
      </c>
      <c r="AQ6" s="542"/>
      <c r="AR6" s="208">
        <v>0</v>
      </c>
      <c r="AS6" s="542"/>
      <c r="AT6" s="542">
        <v>0.86</v>
      </c>
      <c r="AU6" s="542"/>
      <c r="AV6" s="208">
        <v>44.71</v>
      </c>
      <c r="AW6" s="542"/>
      <c r="AX6" s="542">
        <v>0.31</v>
      </c>
      <c r="AY6" s="542"/>
      <c r="AZ6" s="544">
        <v>-19.260000000000002</v>
      </c>
      <c r="BA6" s="542"/>
      <c r="BB6" s="208">
        <v>951.19</v>
      </c>
      <c r="BC6" s="542"/>
      <c r="BD6" s="208">
        <v>15913.929999999998</v>
      </c>
      <c r="BE6" s="542"/>
      <c r="BF6" s="208">
        <v>344242.10000000009</v>
      </c>
      <c r="BG6" s="127"/>
      <c r="BH6" s="342">
        <f>C6+D6+J6+M6+S6+V6+X6+Z6+AC6+AE6+AG6+AI6+AL6+AP6+AR6+AV6+AX6+AZ6+BB6+BD6+AT6</f>
        <v>344242.0738215</v>
      </c>
      <c r="BI6" s="340" t="str">
        <f t="shared" ref="BI6" si="0">IF(BF6=BH6,"ok","error")</f>
        <v>error</v>
      </c>
    </row>
    <row r="7" spans="1:61" x14ac:dyDescent="0.25">
      <c r="A7" s="337">
        <f>EOMONTH(A6,1)</f>
        <v>43585</v>
      </c>
      <c r="B7" s="455">
        <v>1088354.5000000002</v>
      </c>
      <c r="C7" s="204">
        <v>483229.41</v>
      </c>
      <c r="D7" s="204">
        <v>290.12</v>
      </c>
      <c r="E7" s="221"/>
      <c r="F7" s="545">
        <v>36187.699999999939</v>
      </c>
      <c r="G7" s="204">
        <v>99818.71</v>
      </c>
      <c r="H7" s="221"/>
      <c r="I7" s="455">
        <v>-1130.0000000000018</v>
      </c>
      <c r="J7" s="204">
        <v>-2549.1899999999996</v>
      </c>
      <c r="K7" s="221"/>
      <c r="L7" s="455">
        <v>37317.699999999939</v>
      </c>
      <c r="M7" s="204">
        <v>102367.90000000001</v>
      </c>
      <c r="N7" s="546">
        <v>0</v>
      </c>
      <c r="O7" s="455">
        <v>-21851</v>
      </c>
      <c r="P7" s="204">
        <v>-58907.35</v>
      </c>
      <c r="Q7" s="221"/>
      <c r="R7" s="455">
        <v>-21851</v>
      </c>
      <c r="S7" s="204">
        <v>-58907.35</v>
      </c>
      <c r="T7" s="221"/>
      <c r="U7" s="455">
        <v>0</v>
      </c>
      <c r="V7" s="204">
        <v>0</v>
      </c>
      <c r="W7" s="221"/>
      <c r="X7" s="204">
        <v>2520.3883500000006</v>
      </c>
      <c r="Y7" s="221"/>
      <c r="Z7" s="204">
        <v>0</v>
      </c>
      <c r="AA7" s="221"/>
      <c r="AB7" s="455">
        <v>3088.3</v>
      </c>
      <c r="AC7" s="204">
        <v>1371.1900000000003</v>
      </c>
      <c r="AD7" s="221"/>
      <c r="AE7" s="204">
        <v>3373.91</v>
      </c>
      <c r="AF7" s="204"/>
      <c r="AG7" s="204">
        <v>-208202.2158500001</v>
      </c>
      <c r="AH7" s="204"/>
      <c r="AI7" s="204">
        <v>406.65279989999999</v>
      </c>
      <c r="AJ7" s="221"/>
      <c r="AK7" s="455">
        <v>51325.999999999993</v>
      </c>
      <c r="AL7" s="204">
        <v>22752.82</v>
      </c>
      <c r="AM7" s="204">
        <v>8458.5263613805546</v>
      </c>
      <c r="AN7" s="204">
        <v>14294.293638619443</v>
      </c>
      <c r="AO7" s="221"/>
      <c r="AP7" s="204">
        <v>46650</v>
      </c>
      <c r="AQ7" s="221"/>
      <c r="AR7" s="204">
        <v>0</v>
      </c>
      <c r="AS7" s="221"/>
      <c r="AT7" s="546">
        <v>0</v>
      </c>
      <c r="AU7" s="221"/>
      <c r="AV7" s="204">
        <v>11.63</v>
      </c>
      <c r="AW7" s="221"/>
      <c r="AX7" s="546">
        <v>0.08</v>
      </c>
      <c r="AY7" s="221"/>
      <c r="AZ7" s="547">
        <v>-5.01</v>
      </c>
      <c r="BA7" s="221"/>
      <c r="BB7" s="204">
        <v>805.03</v>
      </c>
      <c r="BC7" s="221"/>
      <c r="BD7" s="204">
        <v>11350.73</v>
      </c>
      <c r="BE7" s="221"/>
      <c r="BF7" s="204">
        <v>405466.07</v>
      </c>
      <c r="BG7" s="127"/>
      <c r="BH7" s="342">
        <f>C7+D7+J7+M7+S7+V7+X7+Z7+AC7+AE7+AG7+AI7+AL7+AP7+AR7+AV7+AX7+AZ7+BB7+BD7+AT7</f>
        <v>405466.09529989993</v>
      </c>
      <c r="BI7" s="340" t="str">
        <f>IF(BF7=BH7,"ok","error")</f>
        <v>error</v>
      </c>
    </row>
    <row r="8" spans="1:61" s="435" customFormat="1" x14ac:dyDescent="0.25"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329"/>
    </row>
    <row r="9" spans="1:61" s="435" customFormat="1" x14ac:dyDescent="0.25">
      <c r="A9" s="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</row>
    <row r="10" spans="1:61" s="435" customFormat="1" x14ac:dyDescent="0.25"/>
    <row r="11" spans="1:61" s="435" customFormat="1" x14ac:dyDescent="0.25"/>
    <row r="12" spans="1:61" s="435" customFormat="1" x14ac:dyDescent="0.25"/>
    <row r="13" spans="1:61" s="435" customFormat="1" x14ac:dyDescent="0.25"/>
    <row r="14" spans="1:61" s="435" customFormat="1" x14ac:dyDescent="0.25"/>
    <row r="15" spans="1:61" s="435" customFormat="1" x14ac:dyDescent="0.25"/>
    <row r="16" spans="1:61" s="435" customFormat="1" x14ac:dyDescent="0.25"/>
    <row r="17" s="435" customFormat="1" x14ac:dyDescent="0.25"/>
    <row r="18" s="435" customFormat="1" x14ac:dyDescent="0.25"/>
    <row r="19" s="435" customFormat="1" x14ac:dyDescent="0.25"/>
    <row r="20" s="435" customFormat="1" x14ac:dyDescent="0.25"/>
    <row r="21" s="435" customFormat="1" x14ac:dyDescent="0.25"/>
    <row r="22" s="435" customFormat="1" x14ac:dyDescent="0.25"/>
    <row r="23" s="435" customFormat="1" x14ac:dyDescent="0.25"/>
    <row r="24" s="435" customFormat="1" x14ac:dyDescent="0.25"/>
    <row r="25" s="435" customFormat="1" x14ac:dyDescent="0.25"/>
    <row r="26" s="435" customFormat="1" x14ac:dyDescent="0.25"/>
    <row r="27" s="435" customFormat="1" x14ac:dyDescent="0.25"/>
    <row r="28" s="435" customFormat="1" x14ac:dyDescent="0.25"/>
    <row r="29" s="435" customFormat="1" x14ac:dyDescent="0.25"/>
    <row r="30" s="435" customFormat="1" x14ac:dyDescent="0.25"/>
    <row r="31" s="435" customFormat="1" x14ac:dyDescent="0.25"/>
    <row r="32" s="435" customFormat="1" x14ac:dyDescent="0.25"/>
    <row r="33" s="435" customFormat="1" x14ac:dyDescent="0.25"/>
    <row r="34" s="435" customFormat="1" x14ac:dyDescent="0.25"/>
    <row r="35" s="435" customFormat="1" x14ac:dyDescent="0.25"/>
    <row r="36" s="435" customFormat="1" x14ac:dyDescent="0.25"/>
    <row r="37" s="435" customFormat="1" x14ac:dyDescent="0.25"/>
    <row r="38" s="435" customFormat="1" x14ac:dyDescent="0.25"/>
    <row r="39" s="435" customFormat="1" x14ac:dyDescent="0.25"/>
    <row r="40" s="435" customFormat="1" x14ac:dyDescent="0.25"/>
    <row r="41" s="435" customFormat="1" x14ac:dyDescent="0.25"/>
    <row r="42" s="435" customFormat="1" x14ac:dyDescent="0.25"/>
    <row r="43" s="435" customFormat="1" x14ac:dyDescent="0.25"/>
    <row r="44" s="435" customFormat="1" x14ac:dyDescent="0.25"/>
    <row r="45" s="435" customFormat="1" x14ac:dyDescent="0.25"/>
    <row r="46" s="435" customFormat="1" x14ac:dyDescent="0.25"/>
    <row r="47" s="435" customFormat="1" x14ac:dyDescent="0.25"/>
    <row r="48" s="435" customFormat="1" x14ac:dyDescent="0.25"/>
    <row r="49" s="435" customFormat="1" x14ac:dyDescent="0.25"/>
    <row r="50" s="435" customFormat="1" x14ac:dyDescent="0.25"/>
    <row r="51" s="435" customFormat="1" x14ac:dyDescent="0.25"/>
    <row r="52" s="435" customFormat="1" x14ac:dyDescent="0.25"/>
    <row r="53" s="435" customFormat="1" x14ac:dyDescent="0.25"/>
    <row r="54" s="435" customFormat="1" x14ac:dyDescent="0.25"/>
    <row r="55" s="435" customFormat="1" x14ac:dyDescent="0.25"/>
    <row r="56" s="435" customFormat="1" x14ac:dyDescent="0.25"/>
    <row r="57" s="435" customFormat="1" x14ac:dyDescent="0.25"/>
    <row r="58" s="435" customFormat="1" x14ac:dyDescent="0.25"/>
    <row r="59" s="435" customFormat="1" x14ac:dyDescent="0.25"/>
    <row r="60" s="435" customFormat="1" x14ac:dyDescent="0.25"/>
    <row r="61" s="435" customFormat="1" x14ac:dyDescent="0.25"/>
    <row r="62" s="435" customFormat="1" x14ac:dyDescent="0.25"/>
    <row r="63" s="435" customFormat="1" x14ac:dyDescent="0.25"/>
    <row r="64" s="435" customFormat="1" x14ac:dyDescent="0.25"/>
    <row r="65" s="435" customFormat="1" x14ac:dyDescent="0.25"/>
    <row r="66" s="435" customFormat="1" x14ac:dyDescent="0.25"/>
    <row r="67" s="435" customFormat="1" x14ac:dyDescent="0.25"/>
    <row r="68" s="435" customFormat="1" x14ac:dyDescent="0.25"/>
    <row r="69" s="435" customFormat="1" x14ac:dyDescent="0.25"/>
    <row r="70" s="435" customFormat="1" x14ac:dyDescent="0.25"/>
    <row r="71" s="435" customFormat="1" x14ac:dyDescent="0.25"/>
    <row r="72" s="435" customFormat="1" x14ac:dyDescent="0.25"/>
    <row r="73" s="435" customFormat="1" x14ac:dyDescent="0.25"/>
    <row r="74" s="435" customFormat="1" x14ac:dyDescent="0.25"/>
    <row r="75" s="435" customFormat="1" x14ac:dyDescent="0.25"/>
    <row r="76" s="435" customFormat="1" x14ac:dyDescent="0.25"/>
    <row r="77" s="435" customFormat="1" x14ac:dyDescent="0.25"/>
    <row r="78" s="435" customFormat="1" x14ac:dyDescent="0.25"/>
    <row r="79" s="435" customFormat="1" x14ac:dyDescent="0.25"/>
    <row r="80" s="435" customFormat="1" x14ac:dyDescent="0.25"/>
    <row r="81" s="435" customFormat="1" x14ac:dyDescent="0.25"/>
    <row r="82" s="435" customFormat="1" x14ac:dyDescent="0.25"/>
    <row r="83" s="435" customFormat="1" x14ac:dyDescent="0.25"/>
    <row r="84" s="435" customFormat="1" x14ac:dyDescent="0.25"/>
    <row r="85" s="435" customFormat="1" x14ac:dyDescent="0.25"/>
    <row r="86" s="435" customFormat="1" x14ac:dyDescent="0.25"/>
    <row r="87" s="435" customFormat="1" x14ac:dyDescent="0.25"/>
    <row r="88" s="435" customFormat="1" x14ac:dyDescent="0.25"/>
    <row r="89" s="435" customFormat="1" x14ac:dyDescent="0.25"/>
    <row r="90" s="435" customFormat="1" x14ac:dyDescent="0.25"/>
    <row r="91" s="435" customFormat="1" x14ac:dyDescent="0.25"/>
    <row r="92" s="435" customFormat="1" x14ac:dyDescent="0.25"/>
    <row r="93" s="435" customFormat="1" x14ac:dyDescent="0.25"/>
    <row r="94" s="435" customFormat="1" x14ac:dyDescent="0.25"/>
    <row r="95" s="435" customFormat="1" x14ac:dyDescent="0.25"/>
    <row r="96" s="435" customFormat="1" x14ac:dyDescent="0.25"/>
    <row r="97" s="435" customFormat="1" x14ac:dyDescent="0.25"/>
    <row r="98" s="435" customFormat="1" x14ac:dyDescent="0.25"/>
    <row r="99" s="435" customFormat="1" x14ac:dyDescent="0.25"/>
    <row r="100" s="435" customFormat="1" x14ac:dyDescent="0.25"/>
    <row r="101" s="435" customFormat="1" x14ac:dyDescent="0.25"/>
    <row r="102" s="435" customFormat="1" x14ac:dyDescent="0.25"/>
    <row r="103" s="435" customFormat="1" x14ac:dyDescent="0.25"/>
    <row r="104" s="435" customFormat="1" x14ac:dyDescent="0.25"/>
    <row r="105" s="435" customFormat="1" x14ac:dyDescent="0.25"/>
    <row r="106" s="435" customFormat="1" x14ac:dyDescent="0.25"/>
    <row r="107" s="435" customFormat="1" x14ac:dyDescent="0.25"/>
    <row r="108" s="435" customFormat="1" x14ac:dyDescent="0.25"/>
    <row r="109" s="435" customFormat="1" x14ac:dyDescent="0.25"/>
    <row r="110" s="435" customFormat="1" x14ac:dyDescent="0.25"/>
    <row r="111" s="435" customFormat="1" x14ac:dyDescent="0.25"/>
    <row r="112" s="435" customFormat="1" x14ac:dyDescent="0.25"/>
    <row r="113" s="435" customFormat="1" x14ac:dyDescent="0.25"/>
    <row r="114" s="435" customFormat="1" x14ac:dyDescent="0.25"/>
    <row r="115" s="435" customFormat="1" x14ac:dyDescent="0.25"/>
    <row r="116" s="435" customFormat="1" x14ac:dyDescent="0.25"/>
    <row r="117" s="435" customFormat="1" x14ac:dyDescent="0.25"/>
    <row r="118" s="435" customFormat="1" x14ac:dyDescent="0.25"/>
    <row r="119" s="435" customFormat="1" x14ac:dyDescent="0.25"/>
    <row r="120" s="435" customFormat="1" x14ac:dyDescent="0.25"/>
    <row r="121" s="435" customFormat="1" x14ac:dyDescent="0.25"/>
    <row r="122" s="435" customFormat="1" x14ac:dyDescent="0.25"/>
    <row r="123" s="435" customFormat="1" x14ac:dyDescent="0.25"/>
    <row r="124" s="435" customFormat="1" x14ac:dyDescent="0.25"/>
    <row r="125" s="435" customFormat="1" x14ac:dyDescent="0.25"/>
    <row r="126" s="435" customFormat="1" x14ac:dyDescent="0.25"/>
    <row r="127" s="435" customFormat="1" x14ac:dyDescent="0.25"/>
    <row r="128" s="435" customFormat="1" x14ac:dyDescent="0.25"/>
    <row r="129" s="435" customFormat="1" x14ac:dyDescent="0.25"/>
    <row r="130" s="435" customFormat="1" x14ac:dyDescent="0.25"/>
    <row r="131" s="435" customFormat="1" x14ac:dyDescent="0.25"/>
    <row r="132" s="435" customFormat="1" x14ac:dyDescent="0.25"/>
    <row r="133" s="435" customFormat="1" x14ac:dyDescent="0.25"/>
    <row r="134" s="435" customFormat="1" x14ac:dyDescent="0.25"/>
    <row r="135" s="435" customFormat="1" x14ac:dyDescent="0.25"/>
    <row r="136" s="435" customFormat="1" x14ac:dyDescent="0.25"/>
    <row r="137" s="435" customFormat="1" x14ac:dyDescent="0.25"/>
    <row r="138" s="435" customFormat="1" x14ac:dyDescent="0.25"/>
    <row r="139" s="435" customFormat="1" x14ac:dyDescent="0.25"/>
    <row r="140" s="435" customFormat="1" x14ac:dyDescent="0.25"/>
    <row r="141" s="435" customFormat="1" x14ac:dyDescent="0.25"/>
    <row r="142" s="435" customFormat="1" x14ac:dyDescent="0.25"/>
    <row r="143" s="435" customFormat="1" x14ac:dyDescent="0.25"/>
    <row r="144" s="435" customFormat="1" x14ac:dyDescent="0.25"/>
    <row r="145" s="435" customFormat="1" x14ac:dyDescent="0.25"/>
    <row r="146" s="435" customFormat="1" x14ac:dyDescent="0.25"/>
    <row r="147" s="435" customFormat="1" x14ac:dyDescent="0.25"/>
    <row r="148" s="435" customFormat="1" x14ac:dyDescent="0.25"/>
    <row r="149" s="435" customFormat="1" x14ac:dyDescent="0.25"/>
    <row r="150" s="435" customFormat="1" x14ac:dyDescent="0.25"/>
    <row r="151" s="435" customFormat="1" x14ac:dyDescent="0.25"/>
    <row r="152" s="435" customFormat="1" x14ac:dyDescent="0.25"/>
    <row r="153" s="435" customFormat="1" x14ac:dyDescent="0.25"/>
    <row r="154" s="435" customFormat="1" x14ac:dyDescent="0.25"/>
    <row r="155" s="435" customFormat="1" x14ac:dyDescent="0.25"/>
    <row r="156" s="435" customFormat="1" x14ac:dyDescent="0.25"/>
    <row r="157" s="435" customFormat="1" x14ac:dyDescent="0.25"/>
    <row r="158" s="435" customFormat="1" x14ac:dyDescent="0.25"/>
    <row r="159" s="435" customFormat="1" x14ac:dyDescent="0.25"/>
    <row r="160" s="435" customFormat="1" x14ac:dyDescent="0.25"/>
    <row r="161" s="435" customFormat="1" x14ac:dyDescent="0.25"/>
    <row r="162" s="435" customFormat="1" x14ac:dyDescent="0.25"/>
    <row r="163" s="435" customFormat="1" x14ac:dyDescent="0.25"/>
    <row r="164" s="435" customFormat="1" x14ac:dyDescent="0.25"/>
    <row r="165" s="435" customFormat="1" x14ac:dyDescent="0.25"/>
    <row r="166" s="435" customFormat="1" x14ac:dyDescent="0.25"/>
    <row r="167" s="435" customFormat="1" x14ac:dyDescent="0.25"/>
    <row r="168" s="435" customFormat="1" x14ac:dyDescent="0.25"/>
    <row r="169" s="435" customFormat="1" x14ac:dyDescent="0.25"/>
    <row r="170" s="435" customFormat="1" x14ac:dyDescent="0.25"/>
    <row r="171" s="435" customFormat="1" x14ac:dyDescent="0.25"/>
    <row r="172" s="435" customFormat="1" x14ac:dyDescent="0.25"/>
    <row r="173" s="435" customFormat="1" x14ac:dyDescent="0.25"/>
    <row r="174" s="435" customFormat="1" x14ac:dyDescent="0.25"/>
    <row r="175" s="435" customFormat="1" x14ac:dyDescent="0.25"/>
    <row r="176" s="435" customFormat="1" x14ac:dyDescent="0.25"/>
    <row r="177" s="435" customFormat="1" x14ac:dyDescent="0.25"/>
    <row r="178" s="435" customFormat="1" x14ac:dyDescent="0.25"/>
    <row r="179" s="435" customFormat="1" x14ac:dyDescent="0.25"/>
  </sheetData>
  <mergeCells count="8">
    <mergeCell ref="AK3:AN3"/>
    <mergeCell ref="B3:D3"/>
    <mergeCell ref="I3:J3"/>
    <mergeCell ref="L3:M3"/>
    <mergeCell ref="O3:P3"/>
    <mergeCell ref="R3:S3"/>
    <mergeCell ref="U3:V3"/>
    <mergeCell ref="F3:G3"/>
  </mergeCells>
  <pageMargins left="0.7" right="0.7" top="0.75" bottom="0.75" header="0.3" footer="0.3"/>
  <pageSetup scale="2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9" tint="-0.249977111117893"/>
  </sheetPr>
  <dimension ref="A1"/>
  <sheetViews>
    <sheetView workbookViewId="0"/>
  </sheetViews>
  <sheetFormatPr defaultRowHeight="15.75" x14ac:dyDescent="0.2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59999389629810485"/>
  </sheetPr>
  <dimension ref="B13:F29"/>
  <sheetViews>
    <sheetView tabSelected="1" workbookViewId="0"/>
  </sheetViews>
  <sheetFormatPr defaultRowHeight="15.75" x14ac:dyDescent="0.25"/>
  <cols>
    <col min="2" max="2" width="10.109375" customWidth="1"/>
    <col min="6" max="6" width="16.109375" customWidth="1"/>
  </cols>
  <sheetData>
    <row r="13" spans="2:6" ht="18.75" x14ac:dyDescent="0.3">
      <c r="B13" s="586" t="s">
        <v>5</v>
      </c>
      <c r="C13" s="586"/>
      <c r="D13" s="586"/>
      <c r="E13" s="586"/>
      <c r="F13" s="586"/>
    </row>
    <row r="14" spans="2:6" ht="18.75" x14ac:dyDescent="0.3">
      <c r="B14" s="119"/>
      <c r="C14" s="119"/>
      <c r="D14" s="119"/>
      <c r="E14" s="119"/>
      <c r="F14" s="119"/>
    </row>
    <row r="15" spans="2:6" ht="18.75" x14ac:dyDescent="0.3">
      <c r="B15" s="119"/>
      <c r="C15" s="119"/>
      <c r="D15" s="119"/>
      <c r="E15" s="119"/>
      <c r="F15" s="119"/>
    </row>
    <row r="16" spans="2:6" ht="18.75" x14ac:dyDescent="0.3">
      <c r="B16" s="119"/>
      <c r="C16" s="119"/>
      <c r="D16" s="119"/>
      <c r="E16" s="119"/>
      <c r="F16" s="119"/>
    </row>
    <row r="17" spans="2:6" ht="18.75" x14ac:dyDescent="0.3">
      <c r="B17" s="586" t="s">
        <v>363</v>
      </c>
      <c r="C17" s="586"/>
      <c r="D17" s="586"/>
      <c r="E17" s="586"/>
      <c r="F17" s="586"/>
    </row>
    <row r="18" spans="2:6" ht="18.75" x14ac:dyDescent="0.3">
      <c r="B18" s="119"/>
      <c r="C18" s="119"/>
      <c r="D18" s="119"/>
      <c r="E18" s="119"/>
      <c r="F18" s="119"/>
    </row>
    <row r="19" spans="2:6" ht="18.75" x14ac:dyDescent="0.3">
      <c r="B19" s="586" t="s">
        <v>215</v>
      </c>
      <c r="C19" s="586"/>
      <c r="D19" s="586"/>
      <c r="E19" s="586"/>
      <c r="F19" s="586"/>
    </row>
    <row r="20" spans="2:6" ht="18.75" x14ac:dyDescent="0.3">
      <c r="B20" s="119"/>
      <c r="C20" s="119"/>
      <c r="D20" s="119"/>
      <c r="E20" s="119"/>
      <c r="F20" s="119"/>
    </row>
    <row r="21" spans="2:6" ht="18.75" x14ac:dyDescent="0.3">
      <c r="B21" s="587" t="str">
        <f>'Input Data'!C12</f>
        <v>2019-00179</v>
      </c>
      <c r="C21" s="587"/>
      <c r="D21" s="587"/>
      <c r="E21" s="587"/>
      <c r="F21" s="587"/>
    </row>
    <row r="22" spans="2:6" ht="18.75" x14ac:dyDescent="0.3">
      <c r="B22" s="119"/>
      <c r="C22" s="119"/>
      <c r="D22" s="119"/>
      <c r="E22" s="119"/>
      <c r="F22" s="119"/>
    </row>
    <row r="23" spans="2:6" ht="18.75" x14ac:dyDescent="0.3">
      <c r="B23" s="119"/>
      <c r="C23" s="119"/>
      <c r="D23" s="119"/>
      <c r="E23" s="119"/>
      <c r="F23" s="119"/>
    </row>
    <row r="24" spans="2:6" ht="18.75" x14ac:dyDescent="0.3">
      <c r="B24" s="119"/>
      <c r="C24" s="119"/>
      <c r="D24" s="119"/>
      <c r="E24" s="119"/>
      <c r="F24" s="119"/>
    </row>
    <row r="25" spans="2:6" ht="18.75" x14ac:dyDescent="0.3">
      <c r="B25" s="119"/>
      <c r="C25" s="119"/>
      <c r="D25" s="119"/>
      <c r="E25" s="119"/>
      <c r="F25" s="119"/>
    </row>
    <row r="26" spans="2:6" ht="18.75" x14ac:dyDescent="0.3">
      <c r="B26" s="119"/>
      <c r="C26" s="119"/>
      <c r="D26" s="119"/>
      <c r="E26" s="119"/>
      <c r="F26" s="119"/>
    </row>
    <row r="27" spans="2:6" ht="18.75" x14ac:dyDescent="0.3">
      <c r="B27" s="586" t="s">
        <v>364</v>
      </c>
      <c r="C27" s="587"/>
      <c r="D27" s="587"/>
      <c r="E27" s="587"/>
      <c r="F27" s="587"/>
    </row>
    <row r="28" spans="2:6" ht="18.75" x14ac:dyDescent="0.3">
      <c r="B28" s="585" t="str">
        <f>CONCATENATE('Input Data'!D4," through ",'Input Data'!D5)</f>
        <v>August 1, 2019 through October 31, 2019</v>
      </c>
      <c r="C28" s="585"/>
      <c r="D28" s="585"/>
      <c r="E28" s="585"/>
      <c r="F28" s="585"/>
    </row>
    <row r="29" spans="2:6" ht="18" x14ac:dyDescent="0.25">
      <c r="B29" s="26"/>
      <c r="C29" s="26"/>
      <c r="D29" s="26"/>
      <c r="E29" s="26"/>
      <c r="F29" s="26"/>
    </row>
  </sheetData>
  <mergeCells count="6">
    <mergeCell ref="B28:F28"/>
    <mergeCell ref="B13:F13"/>
    <mergeCell ref="B17:F17"/>
    <mergeCell ref="B19:F19"/>
    <mergeCell ref="B21:F21"/>
    <mergeCell ref="B27:F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25</vt:i4>
      </vt:variant>
    </vt:vector>
  </HeadingPairs>
  <TitlesOfParts>
    <vt:vector size="55" baseType="lpstr">
      <vt:lpstr>Databases &gt;</vt:lpstr>
      <vt:lpstr>Input Data</vt:lpstr>
      <vt:lpstr>Case Database</vt:lpstr>
      <vt:lpstr>Forecast</vt:lpstr>
      <vt:lpstr>Sales Volumes</vt:lpstr>
      <vt:lpstr>TS-2 Data</vt:lpstr>
      <vt:lpstr>FT Data</vt:lpstr>
      <vt:lpstr>FILING &gt;</vt:lpstr>
      <vt:lpstr>Cover Sheet</vt:lpstr>
      <vt:lpstr>Summary Sheet</vt:lpstr>
      <vt:lpstr>Ex A 1 of 2</vt:lpstr>
      <vt:lpstr>Ex A 2 of 2</vt:lpstr>
      <vt:lpstr>Ex B-1 1 of 7</vt:lpstr>
      <vt:lpstr>Ex B-1 2 of 7</vt:lpstr>
      <vt:lpstr>Ex B-1 3 of 7</vt:lpstr>
      <vt:lpstr>Ex B-1 4 of 7</vt:lpstr>
      <vt:lpstr>Ex B-1 5 of 7</vt:lpstr>
      <vt:lpstr>Ex B-1 6 of 7</vt:lpstr>
      <vt:lpstr>Ex B-1 7 of 7</vt:lpstr>
      <vt:lpstr>Ex C-1 1 of 3</vt:lpstr>
      <vt:lpstr>Ex C-1 2 of 3</vt:lpstr>
      <vt:lpstr>Ex C-1 3 of 3</vt:lpstr>
      <vt:lpstr>Ex D-1 1 of 2</vt:lpstr>
      <vt:lpstr>Ex D-1 2 of 2</vt:lpstr>
      <vt:lpstr>Ex E-1 1 of 2 </vt:lpstr>
      <vt:lpstr>Ex E-1 2 of 2</vt:lpstr>
      <vt:lpstr>Ex F-1 1 of 1</vt:lpstr>
      <vt:lpstr>Effective Rates</vt:lpstr>
      <vt:lpstr>FT Rate Summary</vt:lpstr>
      <vt:lpstr>Rate LGDS</vt:lpstr>
      <vt:lpstr>'Case Database'!Print_Area</vt:lpstr>
      <vt:lpstr>'Effective Rates'!Print_Area</vt:lpstr>
      <vt:lpstr>'Ex A 1 of 2'!Print_Area</vt:lpstr>
      <vt:lpstr>'Ex A 2 of 2'!Print_Area</vt:lpstr>
      <vt:lpstr>'Ex B-1 1 of 7'!Print_Area</vt:lpstr>
      <vt:lpstr>'Ex B-1 2 of 7'!Print_Area</vt:lpstr>
      <vt:lpstr>'Ex B-1 3 of 7'!Print_Area</vt:lpstr>
      <vt:lpstr>'Ex B-1 4 of 7'!Print_Area</vt:lpstr>
      <vt:lpstr>'Ex B-1 5 of 7'!Print_Area</vt:lpstr>
      <vt:lpstr>'Ex C-1 1 of 3'!Print_Area</vt:lpstr>
      <vt:lpstr>'Ex C-1 2 of 3'!Print_Area</vt:lpstr>
      <vt:lpstr>'Ex C-1 3 of 3'!Print_Area</vt:lpstr>
      <vt:lpstr>'Ex D-1 1 of 2'!Print_Area</vt:lpstr>
      <vt:lpstr>'Ex D-1 2 of 2'!Print_Area</vt:lpstr>
      <vt:lpstr>'Ex E-1 1 of 2 '!Print_Area</vt:lpstr>
      <vt:lpstr>'Ex E-1 2 of 2'!Print_Area</vt:lpstr>
      <vt:lpstr>'Ex F-1 1 of 1'!Print_Area</vt:lpstr>
      <vt:lpstr>'FT Data'!Print_Area</vt:lpstr>
      <vt:lpstr>'FT Rate Summary'!Print_Area</vt:lpstr>
      <vt:lpstr>'Input Data'!Print_Area</vt:lpstr>
      <vt:lpstr>'Rate LGDS'!Print_Area</vt:lpstr>
      <vt:lpstr>'Sales Volumes'!Print_Area</vt:lpstr>
      <vt:lpstr>'Summary Sheet'!Print_Area</vt:lpstr>
      <vt:lpstr>'Case Database'!Print_Titles</vt:lpstr>
      <vt:lpstr>'Sales Volumes'!Print_Titles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2019-06-27T19:25:21Z</dcterms:created>
  <dcterms:modified xsi:type="dcterms:W3CDTF">2019-06-27T19:25:29Z</dcterms:modified>
</cp:coreProperties>
</file>