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Env Surcharge Review Cases\PSC Case 2019-00171 - 6-Month Review\DR1\Files for Uploading\"/>
    </mc:Choice>
  </mc:AlternateContent>
  <bookViews>
    <workbookView xWindow="0" yWindow="0" windowWidth="28800" windowHeight="12315"/>
  </bookViews>
  <sheets>
    <sheet name="Big Sandy" sheetId="1" r:id="rId1"/>
    <sheet name="Blue Grass" sheetId="2" r:id="rId2"/>
    <sheet name="Clark" sheetId="3" r:id="rId3"/>
    <sheet name="Cumberland Valley" sheetId="4" r:id="rId4"/>
    <sheet name="Farmers" sheetId="5" r:id="rId5"/>
    <sheet name="Fleming-Mason Rate E" sheetId="6" r:id="rId6"/>
    <sheet name="Fleming-Mason - Steam &amp; Indust." sheetId="7" r:id="rId7"/>
    <sheet name="Grayson" sheetId="8" r:id="rId8"/>
    <sheet name="Inter-County" sheetId="9" r:id="rId9"/>
    <sheet name="Jackson" sheetId="10" r:id="rId10"/>
    <sheet name="Licking Valley" sheetId="11" r:id="rId11"/>
    <sheet name="Nolin" sheetId="12" r:id="rId12"/>
    <sheet name="Owen - Rate E" sheetId="13" r:id="rId13"/>
    <sheet name="Owen - Industrial" sheetId="14" r:id="rId14"/>
    <sheet name="Salt River" sheetId="15" r:id="rId15"/>
    <sheet name="Shelby" sheetId="16" r:id="rId16"/>
    <sheet name="South Kentucky" sheetId="17" r:id="rId17"/>
    <sheet name="Taylor County" sheetId="18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8" l="1"/>
  <c r="E31" i="18" s="1"/>
  <c r="G31" i="18" s="1"/>
  <c r="D61" i="18"/>
  <c r="E30" i="18" s="1"/>
  <c r="D31" i="18"/>
  <c r="D30" i="18"/>
  <c r="G30" i="18" s="1"/>
  <c r="G32" i="18" s="1"/>
  <c r="G41" i="18" s="1"/>
  <c r="D22" i="18"/>
  <c r="F22" i="18" s="1"/>
  <c r="F21" i="18"/>
  <c r="D21" i="18"/>
  <c r="D20" i="18"/>
  <c r="F20" i="18" s="1"/>
  <c r="F19" i="18"/>
  <c r="D19" i="18"/>
  <c r="D18" i="18"/>
  <c r="F18" i="18" s="1"/>
  <c r="D17" i="18"/>
  <c r="F17" i="18" s="1"/>
  <c r="D16" i="18"/>
  <c r="F16" i="18" s="1"/>
  <c r="D15" i="18"/>
  <c r="F15" i="18" s="1"/>
  <c r="G14" i="18"/>
  <c r="G15" i="18" s="1"/>
  <c r="G16" i="18" l="1"/>
  <c r="G17" i="18" s="1"/>
  <c r="G18" i="18" s="1"/>
  <c r="G19" i="18" s="1"/>
  <c r="G20" i="18" s="1"/>
  <c r="G47" i="18"/>
  <c r="G40" i="18"/>
  <c r="G43" i="18" s="1"/>
  <c r="G21" i="18" l="1"/>
  <c r="G22" i="18" s="1"/>
  <c r="G34" i="18"/>
  <c r="G45" i="18" l="1"/>
  <c r="G49" i="18" s="1"/>
  <c r="G36" i="18"/>
  <c r="F63" i="17" l="1"/>
  <c r="E33" i="17" s="1"/>
  <c r="E63" i="17"/>
  <c r="E32" i="17" s="1"/>
  <c r="D63" i="17"/>
  <c r="G42" i="17"/>
  <c r="D33" i="17"/>
  <c r="D32" i="17"/>
  <c r="E31" i="17"/>
  <c r="D31" i="17"/>
  <c r="G31" i="17" s="1"/>
  <c r="D23" i="17"/>
  <c r="F23" i="17" s="1"/>
  <c r="F22" i="17"/>
  <c r="D22" i="17"/>
  <c r="D21" i="17"/>
  <c r="F21" i="17" s="1"/>
  <c r="D20" i="17"/>
  <c r="F20" i="17" s="1"/>
  <c r="D19" i="17"/>
  <c r="F19" i="17" s="1"/>
  <c r="D18" i="17"/>
  <c r="F18" i="17" s="1"/>
  <c r="D17" i="17"/>
  <c r="F17" i="17" s="1"/>
  <c r="F16" i="17"/>
  <c r="G49" i="17" s="1"/>
  <c r="D16" i="17"/>
  <c r="G15" i="17"/>
  <c r="G16" i="17" s="1"/>
  <c r="G17" i="17" s="1"/>
  <c r="G18" i="17" s="1"/>
  <c r="G19" i="17" s="1"/>
  <c r="G20" i="17" s="1"/>
  <c r="G21" i="17" s="1"/>
  <c r="G33" i="17" l="1"/>
  <c r="G22" i="17"/>
  <c r="G23" i="17" s="1"/>
  <c r="G32" i="17"/>
  <c r="G34" i="17" s="1"/>
  <c r="G43" i="17" l="1"/>
  <c r="G45" i="17" s="1"/>
  <c r="G36" i="17"/>
  <c r="G47" i="17" l="1"/>
  <c r="G51" i="17" s="1"/>
  <c r="G38" i="17"/>
  <c r="E61" i="16" l="1"/>
  <c r="E31" i="16" s="1"/>
  <c r="D61" i="16"/>
  <c r="E30" i="16" s="1"/>
  <c r="D31" i="16"/>
  <c r="D30" i="16"/>
  <c r="D22" i="16"/>
  <c r="F22" i="16" s="1"/>
  <c r="D21" i="16"/>
  <c r="F21" i="16" s="1"/>
  <c r="D20" i="16"/>
  <c r="F20" i="16" s="1"/>
  <c r="F19" i="16"/>
  <c r="D19" i="16"/>
  <c r="D18" i="16"/>
  <c r="F18" i="16" s="1"/>
  <c r="F17" i="16"/>
  <c r="D17" i="16"/>
  <c r="D16" i="16"/>
  <c r="F16" i="16" s="1"/>
  <c r="D15" i="16"/>
  <c r="F15" i="16" s="1"/>
  <c r="G14" i="16"/>
  <c r="G15" i="16" s="1"/>
  <c r="G16" i="16" s="1"/>
  <c r="G17" i="16" s="1"/>
  <c r="G18" i="16" s="1"/>
  <c r="G19" i="16" s="1"/>
  <c r="G20" i="16" s="1"/>
  <c r="G21" i="16" l="1"/>
  <c r="G22" i="16" s="1"/>
  <c r="G47" i="16"/>
  <c r="G30" i="16"/>
  <c r="G31" i="16"/>
  <c r="G40" i="16"/>
  <c r="G32" i="16" l="1"/>
  <c r="G41" i="16" l="1"/>
  <c r="G43" i="16" s="1"/>
  <c r="G34" i="16"/>
  <c r="G36" i="16" l="1"/>
  <c r="G45" i="16"/>
  <c r="G49" i="16" s="1"/>
  <c r="F63" i="15" l="1"/>
  <c r="E33" i="15" s="1"/>
  <c r="E63" i="15"/>
  <c r="E32" i="15" s="1"/>
  <c r="D63" i="15"/>
  <c r="G42" i="15"/>
  <c r="D33" i="15"/>
  <c r="D32" i="15"/>
  <c r="E31" i="15"/>
  <c r="D31" i="15"/>
  <c r="G31" i="15" s="1"/>
  <c r="D23" i="15"/>
  <c r="F23" i="15" s="1"/>
  <c r="F22" i="15"/>
  <c r="D22" i="15"/>
  <c r="F21" i="15"/>
  <c r="D21" i="15"/>
  <c r="D20" i="15"/>
  <c r="F20" i="15" s="1"/>
  <c r="D19" i="15"/>
  <c r="F19" i="15" s="1"/>
  <c r="D18" i="15"/>
  <c r="F18" i="15" s="1"/>
  <c r="D17" i="15"/>
  <c r="F17" i="15" s="1"/>
  <c r="D16" i="15"/>
  <c r="F16" i="15" s="1"/>
  <c r="G49" i="15" s="1"/>
  <c r="G15" i="15"/>
  <c r="G32" i="15" l="1"/>
  <c r="G34" i="15" s="1"/>
  <c r="G43" i="15" s="1"/>
  <c r="G45" i="15" s="1"/>
  <c r="G33" i="15"/>
  <c r="G16" i="15"/>
  <c r="G17" i="15" s="1"/>
  <c r="G18" i="15" s="1"/>
  <c r="G19" i="15" s="1"/>
  <c r="G20" i="15" s="1"/>
  <c r="G21" i="15" s="1"/>
  <c r="G36" i="15" l="1"/>
  <c r="G22" i="15"/>
  <c r="G23" i="15" s="1"/>
  <c r="G47" i="15" l="1"/>
  <c r="G51" i="15" s="1"/>
  <c r="G38" i="15"/>
  <c r="C40" i="14" l="1"/>
  <c r="E40" i="14" s="1"/>
  <c r="E39" i="14"/>
  <c r="C39" i="14"/>
  <c r="E38" i="14"/>
  <c r="C38" i="14"/>
  <c r="E37" i="14"/>
  <c r="C37" i="14"/>
  <c r="C36" i="14"/>
  <c r="E36" i="14" s="1"/>
  <c r="C35" i="14"/>
  <c r="E35" i="14" s="1"/>
  <c r="C34" i="14"/>
  <c r="E34" i="14" s="1"/>
  <c r="C33" i="14"/>
  <c r="E33" i="14" s="1"/>
  <c r="F33" i="14" s="1"/>
  <c r="E20" i="14"/>
  <c r="E19" i="14"/>
  <c r="E18" i="14"/>
  <c r="E17" i="14"/>
  <c r="E16" i="14"/>
  <c r="E15" i="14"/>
  <c r="E14" i="14"/>
  <c r="E13" i="14"/>
  <c r="F13" i="14" s="1"/>
  <c r="F14" i="14" s="1"/>
  <c r="F15" i="14" s="1"/>
  <c r="F16" i="14" s="1"/>
  <c r="F17" i="14" s="1"/>
  <c r="F18" i="14" s="1"/>
  <c r="F63" i="13"/>
  <c r="E63" i="13"/>
  <c r="E32" i="13" s="1"/>
  <c r="D63" i="13"/>
  <c r="G42" i="13"/>
  <c r="E33" i="13"/>
  <c r="D33" i="13"/>
  <c r="G33" i="13" s="1"/>
  <c r="D32" i="13"/>
  <c r="G32" i="13" s="1"/>
  <c r="E31" i="13"/>
  <c r="D31" i="13"/>
  <c r="G31" i="13" s="1"/>
  <c r="E23" i="13"/>
  <c r="D23" i="13"/>
  <c r="F23" i="13" s="1"/>
  <c r="E22" i="13"/>
  <c r="D22" i="13"/>
  <c r="F22" i="13" s="1"/>
  <c r="E21" i="13"/>
  <c r="D21" i="13"/>
  <c r="F21" i="13" s="1"/>
  <c r="E20" i="13"/>
  <c r="D20" i="13"/>
  <c r="F20" i="13" s="1"/>
  <c r="E19" i="13"/>
  <c r="D19" i="13"/>
  <c r="F19" i="13" s="1"/>
  <c r="E18" i="13"/>
  <c r="D18" i="13"/>
  <c r="F18" i="13" s="1"/>
  <c r="E17" i="13"/>
  <c r="D17" i="13"/>
  <c r="F17" i="13" s="1"/>
  <c r="E16" i="13"/>
  <c r="D16" i="13"/>
  <c r="F16" i="13" s="1"/>
  <c r="G15" i="13"/>
  <c r="F22" i="14" l="1"/>
  <c r="F24" i="14" s="1"/>
  <c r="F19" i="14"/>
  <c r="F20" i="14" s="1"/>
  <c r="F34" i="14"/>
  <c r="F35" i="14" s="1"/>
  <c r="F36" i="14" s="1"/>
  <c r="F37" i="14" s="1"/>
  <c r="F38" i="14" s="1"/>
  <c r="G49" i="13"/>
  <c r="G16" i="13"/>
  <c r="G17" i="13" s="1"/>
  <c r="G18" i="13" s="1"/>
  <c r="G19" i="13" s="1"/>
  <c r="G20" i="13" s="1"/>
  <c r="G21" i="13" s="1"/>
  <c r="G34" i="13"/>
  <c r="G43" i="13" s="1"/>
  <c r="G45" i="13" s="1"/>
  <c r="F42" i="14" l="1"/>
  <c r="F44" i="14" s="1"/>
  <c r="F39" i="14"/>
  <c r="F40" i="14" s="1"/>
  <c r="G36" i="13"/>
  <c r="G22" i="13"/>
  <c r="G23" i="13" s="1"/>
  <c r="G47" i="13" l="1"/>
  <c r="G51" i="13" s="1"/>
  <c r="G38" i="13"/>
  <c r="E61" i="12" l="1"/>
  <c r="E31" i="12" s="1"/>
  <c r="D61" i="12"/>
  <c r="E30" i="12" s="1"/>
  <c r="D31" i="12"/>
  <c r="D30" i="12"/>
  <c r="D22" i="12"/>
  <c r="F22" i="12" s="1"/>
  <c r="D21" i="12"/>
  <c r="F21" i="12" s="1"/>
  <c r="D20" i="12"/>
  <c r="F20" i="12" s="1"/>
  <c r="F19" i="12"/>
  <c r="D19" i="12"/>
  <c r="D18" i="12"/>
  <c r="F18" i="12" s="1"/>
  <c r="F17" i="12"/>
  <c r="D17" i="12"/>
  <c r="D16" i="12"/>
  <c r="F16" i="12" s="1"/>
  <c r="D15" i="12"/>
  <c r="F15" i="12" s="1"/>
  <c r="G14" i="12"/>
  <c r="G15" i="12" s="1"/>
  <c r="G16" i="12" s="1"/>
  <c r="G17" i="12" s="1"/>
  <c r="G18" i="12" l="1"/>
  <c r="G19" i="12" s="1"/>
  <c r="G20" i="12" s="1"/>
  <c r="G47" i="12"/>
  <c r="G30" i="12"/>
  <c r="G31" i="12"/>
  <c r="G40" i="12"/>
  <c r="G21" i="12" l="1"/>
  <c r="G22" i="12" s="1"/>
  <c r="G32" i="12"/>
  <c r="G41" i="12" s="1"/>
  <c r="G43" i="12" s="1"/>
  <c r="G34" i="12" l="1"/>
  <c r="G45" i="12" l="1"/>
  <c r="G49" i="12" s="1"/>
  <c r="G36" i="12"/>
  <c r="E61" i="11" l="1"/>
  <c r="E31" i="11" s="1"/>
  <c r="D61" i="11"/>
  <c r="E30" i="11" s="1"/>
  <c r="D31" i="11"/>
  <c r="D30" i="11"/>
  <c r="F22" i="11"/>
  <c r="D22" i="11"/>
  <c r="F21" i="11"/>
  <c r="D21" i="11"/>
  <c r="F20" i="11"/>
  <c r="D20" i="11"/>
  <c r="D19" i="11"/>
  <c r="F19" i="11" s="1"/>
  <c r="D18" i="11"/>
  <c r="F18" i="11" s="1"/>
  <c r="D17" i="11"/>
  <c r="F17" i="11" s="1"/>
  <c r="D16" i="11"/>
  <c r="F16" i="11" s="1"/>
  <c r="D15" i="11"/>
  <c r="F15" i="11" s="1"/>
  <c r="G47" i="11" s="1"/>
  <c r="G14" i="11"/>
  <c r="G15" i="11" s="1"/>
  <c r="G16" i="11" s="1"/>
  <c r="G17" i="11" s="1"/>
  <c r="G18" i="11" s="1"/>
  <c r="G19" i="11" s="1"/>
  <c r="G20" i="11" s="1"/>
  <c r="G21" i="11" l="1"/>
  <c r="G22" i="11" s="1"/>
  <c r="G30" i="11"/>
  <c r="G32" i="11" s="1"/>
  <c r="G41" i="11" s="1"/>
  <c r="G31" i="11"/>
  <c r="G40" i="11"/>
  <c r="G34" i="11" l="1"/>
  <c r="G43" i="11"/>
  <c r="G45" i="11" l="1"/>
  <c r="G49" i="11" s="1"/>
  <c r="G36" i="11"/>
  <c r="E61" i="10" l="1"/>
  <c r="E31" i="10" s="1"/>
  <c r="D61" i="10"/>
  <c r="E30" i="10" s="1"/>
  <c r="D31" i="10"/>
  <c r="D30" i="10"/>
  <c r="G30" i="10" s="1"/>
  <c r="D22" i="10"/>
  <c r="F22" i="10" s="1"/>
  <c r="D21" i="10"/>
  <c r="F21" i="10" s="1"/>
  <c r="D20" i="10"/>
  <c r="F20" i="10" s="1"/>
  <c r="D19" i="10"/>
  <c r="F19" i="10" s="1"/>
  <c r="D18" i="10"/>
  <c r="F18" i="10" s="1"/>
  <c r="F17" i="10"/>
  <c r="D17" i="10"/>
  <c r="D16" i="10"/>
  <c r="F16" i="10" s="1"/>
  <c r="D15" i="10"/>
  <c r="F15" i="10" s="1"/>
  <c r="G14" i="10"/>
  <c r="G40" i="10" s="1"/>
  <c r="G47" i="10" l="1"/>
  <c r="G31" i="10"/>
  <c r="G32" i="10" s="1"/>
  <c r="G41" i="10" s="1"/>
  <c r="G43" i="10" s="1"/>
  <c r="G15" i="10"/>
  <c r="G16" i="10" s="1"/>
  <c r="G17" i="10" s="1"/>
  <c r="G18" i="10" s="1"/>
  <c r="G19" i="10" s="1"/>
  <c r="G20" i="10" s="1"/>
  <c r="G21" i="10" l="1"/>
  <c r="G22" i="10" s="1"/>
  <c r="G34" i="10"/>
  <c r="G45" i="10" l="1"/>
  <c r="G49" i="10" s="1"/>
  <c r="G36" i="10"/>
  <c r="F63" i="9" l="1"/>
  <c r="E33" i="9" s="1"/>
  <c r="E63" i="9"/>
  <c r="E32" i="9" s="1"/>
  <c r="D63" i="9"/>
  <c r="G42" i="9"/>
  <c r="D33" i="9"/>
  <c r="D32" i="9"/>
  <c r="E31" i="9"/>
  <c r="D31" i="9"/>
  <c r="G31" i="9" s="1"/>
  <c r="D23" i="9"/>
  <c r="F23" i="9" s="1"/>
  <c r="F22" i="9"/>
  <c r="D22" i="9"/>
  <c r="D21" i="9"/>
  <c r="F21" i="9" s="1"/>
  <c r="D20" i="9"/>
  <c r="F20" i="9" s="1"/>
  <c r="D19" i="9"/>
  <c r="F19" i="9" s="1"/>
  <c r="D18" i="9"/>
  <c r="F18" i="9" s="1"/>
  <c r="E17" i="9"/>
  <c r="F17" i="9" s="1"/>
  <c r="D17" i="9"/>
  <c r="D16" i="9"/>
  <c r="F16" i="9" s="1"/>
  <c r="G49" i="9" s="1"/>
  <c r="G15" i="9"/>
  <c r="G34" i="9" l="1"/>
  <c r="G43" i="9" s="1"/>
  <c r="G45" i="9" s="1"/>
  <c r="G32" i="9"/>
  <c r="G33" i="9"/>
  <c r="G16" i="9"/>
  <c r="G17" i="9" s="1"/>
  <c r="G18" i="9" s="1"/>
  <c r="G19" i="9" s="1"/>
  <c r="G20" i="9" s="1"/>
  <c r="G21" i="9" s="1"/>
  <c r="G36" i="9" l="1"/>
  <c r="G22" i="9"/>
  <c r="G23" i="9" s="1"/>
  <c r="G38" i="9" l="1"/>
  <c r="G47" i="9"/>
  <c r="G51" i="9" s="1"/>
  <c r="F63" i="8" l="1"/>
  <c r="E33" i="8" s="1"/>
  <c r="E63" i="8"/>
  <c r="E32" i="8" s="1"/>
  <c r="D63" i="8"/>
  <c r="G42" i="8"/>
  <c r="D33" i="8"/>
  <c r="D32" i="8"/>
  <c r="E31" i="8"/>
  <c r="G31" i="8" s="1"/>
  <c r="D31" i="8"/>
  <c r="F23" i="8"/>
  <c r="D23" i="8"/>
  <c r="D22" i="8"/>
  <c r="F22" i="8" s="1"/>
  <c r="F21" i="8"/>
  <c r="D21" i="8"/>
  <c r="D20" i="8"/>
  <c r="F20" i="8" s="1"/>
  <c r="D19" i="8"/>
  <c r="F19" i="8" s="1"/>
  <c r="D18" i="8"/>
  <c r="F18" i="8" s="1"/>
  <c r="D17" i="8"/>
  <c r="F17" i="8" s="1"/>
  <c r="F16" i="8"/>
  <c r="G49" i="8" s="1"/>
  <c r="D16" i="8"/>
  <c r="G15" i="8"/>
  <c r="G32" i="8" l="1"/>
  <c r="G34" i="8" s="1"/>
  <c r="G43" i="8" s="1"/>
  <c r="G45" i="8" s="1"/>
  <c r="G33" i="8"/>
  <c r="G16" i="8"/>
  <c r="G17" i="8" s="1"/>
  <c r="G18" i="8" s="1"/>
  <c r="G19" i="8" s="1"/>
  <c r="G20" i="8" s="1"/>
  <c r="G21" i="8" s="1"/>
  <c r="G36" i="8" l="1"/>
  <c r="G22" i="8"/>
  <c r="G23" i="8" s="1"/>
  <c r="G47" i="8" l="1"/>
  <c r="G51" i="8" s="1"/>
  <c r="G38" i="8"/>
  <c r="D20" i="7" l="1"/>
  <c r="C20" i="7"/>
  <c r="E20" i="7" s="1"/>
  <c r="E19" i="7"/>
  <c r="D19" i="7"/>
  <c r="C19" i="7"/>
  <c r="D18" i="7"/>
  <c r="C18" i="7"/>
  <c r="E18" i="7" s="1"/>
  <c r="E17" i="7"/>
  <c r="D17" i="7"/>
  <c r="C17" i="7"/>
  <c r="D16" i="7"/>
  <c r="C16" i="7"/>
  <c r="E16" i="7" s="1"/>
  <c r="E15" i="7"/>
  <c r="D15" i="7"/>
  <c r="C15" i="7"/>
  <c r="D14" i="7"/>
  <c r="C14" i="7"/>
  <c r="E14" i="7" s="1"/>
  <c r="E13" i="7"/>
  <c r="F13" i="7" s="1"/>
  <c r="F14" i="7" s="1"/>
  <c r="F15" i="7" s="1"/>
  <c r="D13" i="7"/>
  <c r="C13" i="7"/>
  <c r="F63" i="6"/>
  <c r="E33" i="6" s="1"/>
  <c r="E63" i="6"/>
  <c r="D63" i="6"/>
  <c r="E31" i="6" s="1"/>
  <c r="G42" i="6"/>
  <c r="D33" i="6"/>
  <c r="E32" i="6"/>
  <c r="G32" i="6" s="1"/>
  <c r="D32" i="6"/>
  <c r="D31" i="6"/>
  <c r="G31" i="6" s="1"/>
  <c r="E23" i="6"/>
  <c r="D23" i="6"/>
  <c r="F23" i="6" s="1"/>
  <c r="E22" i="6"/>
  <c r="D22" i="6"/>
  <c r="F22" i="6" s="1"/>
  <c r="E21" i="6"/>
  <c r="D21" i="6"/>
  <c r="F21" i="6" s="1"/>
  <c r="E20" i="6"/>
  <c r="D20" i="6"/>
  <c r="F20" i="6" s="1"/>
  <c r="E19" i="6"/>
  <c r="D19" i="6"/>
  <c r="F19" i="6" s="1"/>
  <c r="E18" i="6"/>
  <c r="D18" i="6"/>
  <c r="F18" i="6" s="1"/>
  <c r="E17" i="6"/>
  <c r="D17" i="6"/>
  <c r="F17" i="6" s="1"/>
  <c r="E16" i="6"/>
  <c r="D16" i="6"/>
  <c r="F16" i="6" s="1"/>
  <c r="G49" i="6" s="1"/>
  <c r="G15" i="6"/>
  <c r="G16" i="6" s="1"/>
  <c r="G17" i="6" s="1"/>
  <c r="G18" i="6" s="1"/>
  <c r="G19" i="6" s="1"/>
  <c r="G20" i="6" s="1"/>
  <c r="G21" i="6" s="1"/>
  <c r="F16" i="7" l="1"/>
  <c r="F17" i="7" s="1"/>
  <c r="F18" i="7" s="1"/>
  <c r="G33" i="6"/>
  <c r="G34" i="6" s="1"/>
  <c r="G22" i="6"/>
  <c r="G23" i="6" s="1"/>
  <c r="F22" i="7" l="1"/>
  <c r="F24" i="7" s="1"/>
  <c r="F19" i="7"/>
  <c r="F20" i="7" s="1"/>
  <c r="G43" i="6"/>
  <c r="G45" i="6" s="1"/>
  <c r="G36" i="6"/>
  <c r="G38" i="6" l="1"/>
  <c r="G47" i="6"/>
  <c r="G51" i="6" s="1"/>
  <c r="F63" i="5" l="1"/>
  <c r="E33" i="5" s="1"/>
  <c r="E63" i="5"/>
  <c r="E32" i="5" s="1"/>
  <c r="D63" i="5"/>
  <c r="G42" i="5"/>
  <c r="D33" i="5"/>
  <c r="D32" i="5"/>
  <c r="E31" i="5"/>
  <c r="D31" i="5"/>
  <c r="G31" i="5" s="1"/>
  <c r="D23" i="5"/>
  <c r="F23" i="5" s="1"/>
  <c r="F22" i="5"/>
  <c r="D22" i="5"/>
  <c r="D21" i="5"/>
  <c r="F21" i="5" s="1"/>
  <c r="D20" i="5"/>
  <c r="F20" i="5" s="1"/>
  <c r="D19" i="5"/>
  <c r="F19" i="5" s="1"/>
  <c r="D18" i="5"/>
  <c r="F18" i="5" s="1"/>
  <c r="D17" i="5"/>
  <c r="F17" i="5" s="1"/>
  <c r="F16" i="5"/>
  <c r="G49" i="5" s="1"/>
  <c r="D16" i="5"/>
  <c r="G15" i="5"/>
  <c r="G16" i="5" s="1"/>
  <c r="G32" i="5" l="1"/>
  <c r="G34" i="5" s="1"/>
  <c r="G43" i="5" s="1"/>
  <c r="G45" i="5" s="1"/>
  <c r="G33" i="5"/>
  <c r="G17" i="5"/>
  <c r="G18" i="5" s="1"/>
  <c r="G19" i="5" s="1"/>
  <c r="G20" i="5" s="1"/>
  <c r="G21" i="5" s="1"/>
  <c r="G36" i="5" l="1"/>
  <c r="G22" i="5"/>
  <c r="G23" i="5" s="1"/>
  <c r="G38" i="5" l="1"/>
  <c r="G47" i="5"/>
  <c r="G51" i="5" s="1"/>
  <c r="F63" i="4" l="1"/>
  <c r="E33" i="4" s="1"/>
  <c r="E63" i="4"/>
  <c r="D63" i="4"/>
  <c r="G42" i="4"/>
  <c r="D33" i="4"/>
  <c r="G33" i="4" s="1"/>
  <c r="E32" i="4"/>
  <c r="G32" i="4" s="1"/>
  <c r="D32" i="4"/>
  <c r="E31" i="4"/>
  <c r="D31" i="4"/>
  <c r="G31" i="4" s="1"/>
  <c r="D23" i="4"/>
  <c r="F23" i="4" s="1"/>
  <c r="F22" i="4"/>
  <c r="D22" i="4"/>
  <c r="D21" i="4"/>
  <c r="F21" i="4" s="1"/>
  <c r="D20" i="4"/>
  <c r="F20" i="4" s="1"/>
  <c r="D19" i="4"/>
  <c r="F19" i="4" s="1"/>
  <c r="D18" i="4"/>
  <c r="F18" i="4" s="1"/>
  <c r="F17" i="4"/>
  <c r="D17" i="4"/>
  <c r="D16" i="4"/>
  <c r="F16" i="4" s="1"/>
  <c r="G15" i="4"/>
  <c r="G16" i="4" s="1"/>
  <c r="G17" i="4" s="1"/>
  <c r="G45" i="4" l="1"/>
  <c r="G18" i="4"/>
  <c r="G19" i="4" s="1"/>
  <c r="G20" i="4" s="1"/>
  <c r="G21" i="4" s="1"/>
  <c r="G49" i="4"/>
  <c r="G34" i="4"/>
  <c r="G43" i="4" s="1"/>
  <c r="G36" i="4" l="1"/>
  <c r="G22" i="4"/>
  <c r="G23" i="4" s="1"/>
  <c r="G38" i="4" l="1"/>
  <c r="G47" i="4"/>
  <c r="G51" i="4" s="1"/>
  <c r="F63" i="3" l="1"/>
  <c r="E33" i="3" s="1"/>
  <c r="E63" i="3"/>
  <c r="E32" i="3" s="1"/>
  <c r="D63" i="3"/>
  <c r="E31" i="3" s="1"/>
  <c r="G42" i="3"/>
  <c r="D33" i="3"/>
  <c r="D32" i="3"/>
  <c r="D31" i="3"/>
  <c r="G31" i="3" s="1"/>
  <c r="D23" i="3"/>
  <c r="F23" i="3" s="1"/>
  <c r="F22" i="3"/>
  <c r="D22" i="3"/>
  <c r="D21" i="3"/>
  <c r="F21" i="3" s="1"/>
  <c r="D20" i="3"/>
  <c r="F20" i="3" s="1"/>
  <c r="F19" i="3"/>
  <c r="D19" i="3"/>
  <c r="D18" i="3"/>
  <c r="F18" i="3" s="1"/>
  <c r="D17" i="3"/>
  <c r="F17" i="3" s="1"/>
  <c r="E16" i="3"/>
  <c r="D16" i="3"/>
  <c r="F16" i="3" s="1"/>
  <c r="G49" i="3" s="1"/>
  <c r="G15" i="3"/>
  <c r="G32" i="3" l="1"/>
  <c r="G34" i="3" s="1"/>
  <c r="G43" i="3" s="1"/>
  <c r="G45" i="3" s="1"/>
  <c r="G33" i="3"/>
  <c r="G16" i="3"/>
  <c r="G17" i="3" s="1"/>
  <c r="G18" i="3" s="1"/>
  <c r="G19" i="3" s="1"/>
  <c r="G20" i="3" s="1"/>
  <c r="G21" i="3" s="1"/>
  <c r="G36" i="3" l="1"/>
  <c r="G22" i="3"/>
  <c r="G23" i="3" s="1"/>
  <c r="G47" i="3" l="1"/>
  <c r="G51" i="3" s="1"/>
  <c r="G38" i="3"/>
  <c r="F63" i="2" l="1"/>
  <c r="E33" i="2" s="1"/>
  <c r="E63" i="2"/>
  <c r="E32" i="2" s="1"/>
  <c r="D63" i="2"/>
  <c r="G42" i="2"/>
  <c r="D33" i="2"/>
  <c r="G33" i="2" s="1"/>
  <c r="D32" i="2"/>
  <c r="G32" i="2" s="1"/>
  <c r="E31" i="2"/>
  <c r="D31" i="2"/>
  <c r="G31" i="2" s="1"/>
  <c r="F23" i="2"/>
  <c r="D23" i="2"/>
  <c r="F22" i="2"/>
  <c r="D22" i="2"/>
  <c r="D21" i="2"/>
  <c r="F21" i="2" s="1"/>
  <c r="D20" i="2"/>
  <c r="F20" i="2" s="1"/>
  <c r="D19" i="2"/>
  <c r="F19" i="2" s="1"/>
  <c r="D18" i="2"/>
  <c r="F18" i="2" s="1"/>
  <c r="D17" i="2"/>
  <c r="F17" i="2" s="1"/>
  <c r="D16" i="2"/>
  <c r="F16" i="2" s="1"/>
  <c r="G15" i="2"/>
  <c r="G16" i="2" s="1"/>
  <c r="G17" i="2" s="1"/>
  <c r="G34" i="2" l="1"/>
  <c r="G43" i="2" s="1"/>
  <c r="G45" i="2" s="1"/>
  <c r="G18" i="2"/>
  <c r="G19" i="2" s="1"/>
  <c r="G20" i="2" s="1"/>
  <c r="G21" i="2" s="1"/>
  <c r="G49" i="2"/>
  <c r="G36" i="2" l="1"/>
  <c r="G22" i="2"/>
  <c r="G23" i="2" s="1"/>
  <c r="G47" i="2" l="1"/>
  <c r="G51" i="2" s="1"/>
  <c r="G38" i="2"/>
  <c r="E61" i="1" l="1"/>
  <c r="D61" i="1"/>
  <c r="E30" i="1" s="1"/>
  <c r="E31" i="1"/>
  <c r="D31" i="1"/>
  <c r="G31" i="1" s="1"/>
  <c r="D30" i="1"/>
  <c r="G30" i="1" s="1"/>
  <c r="G32" i="1" s="1"/>
  <c r="G41" i="1" s="1"/>
  <c r="D22" i="1"/>
  <c r="F22" i="1" s="1"/>
  <c r="F21" i="1"/>
  <c r="D21" i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G14" i="1"/>
  <c r="G15" i="1" s="1"/>
  <c r="G16" i="1" l="1"/>
  <c r="G17" i="1" s="1"/>
  <c r="G18" i="1" s="1"/>
  <c r="G19" i="1" s="1"/>
  <c r="G20" i="1" s="1"/>
  <c r="G47" i="1"/>
  <c r="G40" i="1"/>
  <c r="G43" i="1" s="1"/>
  <c r="G34" i="1" l="1"/>
  <c r="G21" i="1"/>
  <c r="G22" i="1" s="1"/>
  <c r="G36" i="1" l="1"/>
  <c r="G45" i="1"/>
  <c r="G49" i="1" s="1"/>
</calcChain>
</file>

<file path=xl/sharedStrings.xml><?xml version="1.0" encoding="utf-8"?>
<sst xmlns="http://schemas.openxmlformats.org/spreadsheetml/2006/main" count="1145" uniqueCount="91">
  <si>
    <t>Big Sandy - Calculation of (Over)/Under Recovery</t>
  </si>
  <si>
    <t>Billed to Retail</t>
  </si>
  <si>
    <t>EKPC Invoice</t>
  </si>
  <si>
    <t>Consumer &amp;</t>
  </si>
  <si>
    <t>Month recorded</t>
  </si>
  <si>
    <t xml:space="preserve">recorded on </t>
  </si>
  <si>
    <t>Monthly</t>
  </si>
  <si>
    <t>Cumulative</t>
  </si>
  <si>
    <t>Member's Books</t>
  </si>
  <si>
    <t>(Over) or Under</t>
  </si>
  <si>
    <t>Line No.</t>
  </si>
  <si>
    <t>Month &amp; Year</t>
  </si>
  <si>
    <t>(2)</t>
  </si>
  <si>
    <t>(3)</t>
  </si>
  <si>
    <t>(4)</t>
  </si>
  <si>
    <t>(5)</t>
  </si>
  <si>
    <t>Previous (Over)/Under-Recovery Remaining to be Amortized</t>
  </si>
  <si>
    <t>1a</t>
  </si>
  <si>
    <t>From Case No. 2018-00075 (Over)/Under-Recovery</t>
  </si>
  <si>
    <t>1b</t>
  </si>
  <si>
    <t>From Case No. 2018-00306 (Over)/Under-Recovery</t>
  </si>
  <si>
    <t>1c</t>
  </si>
  <si>
    <t>Total Previous (Over)/Under-Recovery</t>
  </si>
  <si>
    <t>Post</t>
  </si>
  <si>
    <t>Review</t>
  </si>
  <si>
    <t>Less Adjustment for Order amounts remaining to be amortized at end of review period December 2018</t>
  </si>
  <si>
    <t>Amount Per Case</t>
  </si>
  <si>
    <t>Amortization of</t>
  </si>
  <si>
    <t>Order Remaining</t>
  </si>
  <si>
    <t>Previous</t>
  </si>
  <si>
    <t>to be Amortized at</t>
  </si>
  <si>
    <t>(Over)/Under</t>
  </si>
  <si>
    <t>Order Remaining to</t>
  </si>
  <si>
    <t>beginning of Review</t>
  </si>
  <si>
    <t>Recoveries During</t>
  </si>
  <si>
    <t>be Amortized at end</t>
  </si>
  <si>
    <t>Period</t>
  </si>
  <si>
    <t>Review Period</t>
  </si>
  <si>
    <t>of Review Period</t>
  </si>
  <si>
    <t>8a</t>
  </si>
  <si>
    <t>Case No. 2018-00075 Recovery</t>
  </si>
  <si>
    <t>8b</t>
  </si>
  <si>
    <t>Case No. 2018-00306 Recovery</t>
  </si>
  <si>
    <t>8c</t>
  </si>
  <si>
    <t xml:space="preserve">Total Order amounts remaining - Over/(Under):      </t>
  </si>
  <si>
    <t>Cumulative six month (Over)/Under-Recovery [Cumulative net of remaining Case amortizations (Ln 7&amp;8c)]</t>
  </si>
  <si>
    <t>Monthly recovery (per month for six months)</t>
  </si>
  <si>
    <t>Reconciliation:</t>
  </si>
  <si>
    <t>Previous (Over)/Under-Recovery Remaining to be Amortized, beginning of Review Period</t>
  </si>
  <si>
    <t>Previous (Over)/Under-Recovery Remaining to be Amortized, ending of Review Period</t>
  </si>
  <si>
    <t>Total Amortization during Review Period</t>
  </si>
  <si>
    <t>(Over)/Under-Recovery from Column 5, Line 9</t>
  </si>
  <si>
    <t>Less:  Total Monthly (Over)/Under-Recovery for Review Period (Column 4, Lines 2 thru 7)</t>
  </si>
  <si>
    <t>Difference</t>
  </si>
  <si>
    <t>Amortization Detail, Column 3, Line 8:</t>
  </si>
  <si>
    <t>Case No.</t>
  </si>
  <si>
    <t>2018-00075</t>
  </si>
  <si>
    <t>2018-00306</t>
  </si>
  <si>
    <t xml:space="preserve">Totals  </t>
  </si>
  <si>
    <t>Blue Grass - Calculation of (Over)/Under Recovery</t>
  </si>
  <si>
    <t>From Case No. 2017-00326 (Over)/Under-Recovery</t>
  </si>
  <si>
    <t>1d</t>
  </si>
  <si>
    <t>Case No. 2017-00326 Recovery</t>
  </si>
  <si>
    <t>8d</t>
  </si>
  <si>
    <t>Cumulative six month (Over)/Under-Recovery [Cumulative net of remaining Case amortizations (Ln 7&amp;8d)]</t>
  </si>
  <si>
    <t>2017-00326</t>
  </si>
  <si>
    <t>2018-00326</t>
  </si>
  <si>
    <t>Clark - Calculation of (Over)/Under Recovery</t>
  </si>
  <si>
    <t>Cumberland Valley - Calculation of (Over)/Under Recovery</t>
  </si>
  <si>
    <t>Farmers - Calculation of (Over)/Under Recovery</t>
  </si>
  <si>
    <t>Fleming Mason - Calculation of (Over)/Under Recovery</t>
  </si>
  <si>
    <t>Rate E</t>
  </si>
  <si>
    <t>Fleming-Mason Energy Cooperative - Calculation of (Over)/Under Recovery - Direct Surcharge Pass-Throughs</t>
  </si>
  <si>
    <t>Steam, Rate C, Rate G, and Rate H</t>
  </si>
  <si>
    <t>(1)</t>
  </si>
  <si>
    <t>Cumulative 6-month (Over)/Under Recovery</t>
  </si>
  <si>
    <t>Monthly Recovery (per month for six months)</t>
  </si>
  <si>
    <t>Grayson - Calculation of (Over)/Under Recovery</t>
  </si>
  <si>
    <t>Inter-County - Calculation of (Over)/Under Recovery</t>
  </si>
  <si>
    <t>Jackson - Calculation of (Over)/Under Recovery</t>
  </si>
  <si>
    <t>Licking Valley - Calculation of (Over)/Under Recovery</t>
  </si>
  <si>
    <t>Nolin - Calculation of (Over)/Under Recovery</t>
  </si>
  <si>
    <t>Owen - Calculation of (Over)/Under Recovery</t>
  </si>
  <si>
    <t>Owen Electric Cooperative - Calculation of (Over)/Under Recovery - Direct Surcharge Pass-Throughs</t>
  </si>
  <si>
    <t>Special Contract</t>
  </si>
  <si>
    <t>Rate B Customers</t>
  </si>
  <si>
    <t>Salt River - Calculation of (Over)/Under Recovery</t>
  </si>
  <si>
    <t>Shelby - Calculation of (Over)/Under Recovery</t>
  </si>
  <si>
    <t>South Kentucky - Calculation of (Over)/Under Recovery</t>
  </si>
  <si>
    <t>Difference (reflects rounding differences)</t>
  </si>
  <si>
    <t>Taylor - Calculation of (Over)/Under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</si>
</sst>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4" fontId="5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2"/>
    <xf numFmtId="5" fontId="1" fillId="0" borderId="0" xfId="4" applyNumberFormat="1" applyFont="1" applyFill="1" applyBorder="1" applyAlignment="1">
      <alignment horizontal="right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5" fontId="0" fillId="0" borderId="10" xfId="0" applyNumberFormat="1" applyFill="1" applyBorder="1"/>
    <xf numFmtId="0" fontId="0" fillId="0" borderId="3" xfId="0" applyBorder="1"/>
    <xf numFmtId="5" fontId="0" fillId="0" borderId="7" xfId="0" applyNumberFormat="1" applyBorder="1"/>
    <xf numFmtId="164" fontId="0" fillId="0" borderId="7" xfId="0" applyNumberFormat="1" applyBorder="1" applyAlignment="1">
      <alignment horizontal="right"/>
    </xf>
    <xf numFmtId="5" fontId="0" fillId="0" borderId="7" xfId="0" applyNumberFormat="1" applyFill="1" applyBorder="1"/>
    <xf numFmtId="5" fontId="0" fillId="0" borderId="1" xfId="0" applyNumberFormat="1" applyFill="1" applyBorder="1"/>
    <xf numFmtId="5" fontId="0" fillId="0" borderId="1" xfId="0" applyNumberFormat="1" applyBorder="1"/>
    <xf numFmtId="164" fontId="0" fillId="0" borderId="8" xfId="0" applyNumberFormat="1" applyBorder="1" applyAlignment="1">
      <alignment horizontal="right"/>
    </xf>
    <xf numFmtId="5" fontId="0" fillId="0" borderId="8" xfId="0" applyNumberFormat="1" applyFill="1" applyBorder="1"/>
    <xf numFmtId="5" fontId="0" fillId="0" borderId="14" xfId="0" applyNumberFormat="1" applyFill="1" applyBorder="1"/>
    <xf numFmtId="5" fontId="0" fillId="0" borderId="14" xfId="0" applyNumberFormat="1" applyBorder="1"/>
    <xf numFmtId="5" fontId="0" fillId="0" borderId="8" xfId="0" applyNumberFormat="1" applyBorder="1"/>
    <xf numFmtId="5" fontId="0" fillId="0" borderId="4" xfId="0" applyNumberFormat="1" applyBorder="1"/>
    <xf numFmtId="5" fontId="0" fillId="0" borderId="9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9" xfId="0" applyNumberFormat="1" applyBorder="1" applyAlignment="1">
      <alignment horizontal="right"/>
    </xf>
    <xf numFmtId="5" fontId="0" fillId="0" borderId="9" xfId="0" applyNumberFormat="1" applyFill="1" applyBorder="1"/>
    <xf numFmtId="5" fontId="0" fillId="0" borderId="4" xfId="0" applyNumberFormat="1" applyFill="1" applyBorder="1"/>
    <xf numFmtId="0" fontId="0" fillId="2" borderId="9" xfId="0" applyFill="1" applyBorder="1" applyAlignment="1">
      <alignment horizontal="left"/>
    </xf>
    <xf numFmtId="0" fontId="0" fillId="2" borderId="5" xfId="0" applyFill="1" applyBorder="1"/>
    <xf numFmtId="5" fontId="0" fillId="2" borderId="6" xfId="0" applyNumberFormat="1" applyFill="1" applyBorder="1"/>
    <xf numFmtId="5" fontId="0" fillId="0" borderId="8" xfId="0" applyNumberFormat="1" applyBorder="1" applyAlignment="1">
      <alignment horizontal="center"/>
    </xf>
    <xf numFmtId="0" fontId="0" fillId="0" borderId="9" xfId="0" applyBorder="1"/>
    <xf numFmtId="5" fontId="0" fillId="0" borderId="9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/>
    <xf numFmtId="0" fontId="0" fillId="0" borderId="11" xfId="0" applyFont="1" applyBorder="1"/>
    <xf numFmtId="5" fontId="0" fillId="0" borderId="10" xfId="0" applyNumberFormat="1" applyBorder="1"/>
    <xf numFmtId="0" fontId="0" fillId="0" borderId="11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2" xfId="0" applyBorder="1"/>
    <xf numFmtId="0" fontId="0" fillId="0" borderId="0" xfId="0" applyBorder="1"/>
    <xf numFmtId="5" fontId="0" fillId="0" borderId="15" xfId="0" applyNumberFormat="1" applyBorder="1"/>
    <xf numFmtId="5" fontId="0" fillId="0" borderId="6" xfId="0" applyNumberFormat="1" applyBorder="1"/>
    <xf numFmtId="5" fontId="0" fillId="0" borderId="16" xfId="0" applyNumberFormat="1" applyBorder="1"/>
    <xf numFmtId="0" fontId="0" fillId="0" borderId="5" xfId="0" applyBorder="1"/>
    <xf numFmtId="0" fontId="0" fillId="0" borderId="6" xfId="0" applyBorder="1"/>
    <xf numFmtId="0" fontId="0" fillId="0" borderId="10" xfId="0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2" applyFont="1"/>
    <xf numFmtId="0" fontId="1" fillId="0" borderId="7" xfId="2" applyFont="1" applyBorder="1"/>
    <xf numFmtId="0" fontId="1" fillId="0" borderId="7" xfId="2" applyFont="1" applyBorder="1" applyAlignment="1">
      <alignment horizontal="center"/>
    </xf>
    <xf numFmtId="0" fontId="1" fillId="0" borderId="8" xfId="2" applyFont="1" applyBorder="1"/>
    <xf numFmtId="0" fontId="1" fillId="0" borderId="8" xfId="2" applyFont="1" applyBorder="1" applyAlignment="1">
      <alignment horizontal="center"/>
    </xf>
    <xf numFmtId="0" fontId="1" fillId="0" borderId="9" xfId="2" applyFont="1" applyBorder="1" applyAlignment="1">
      <alignment horizontal="center"/>
    </xf>
    <xf numFmtId="0" fontId="1" fillId="0" borderId="10" xfId="2" applyFont="1" applyBorder="1" applyAlignment="1">
      <alignment horizontal="center"/>
    </xf>
    <xf numFmtId="49" fontId="1" fillId="0" borderId="10" xfId="2" applyNumberFormat="1" applyFont="1" applyBorder="1" applyAlignment="1">
      <alignment horizontal="center"/>
    </xf>
    <xf numFmtId="17" fontId="6" fillId="0" borderId="7" xfId="3" applyNumberFormat="1" applyFont="1" applyFill="1" applyBorder="1"/>
    <xf numFmtId="5" fontId="1" fillId="0" borderId="8" xfId="4" applyNumberFormat="1" applyFont="1" applyFill="1" applyBorder="1" applyAlignment="1">
      <alignment horizontal="right"/>
    </xf>
    <xf numFmtId="5" fontId="1" fillId="0" borderId="7" xfId="2" applyNumberFormat="1" applyFont="1" applyBorder="1"/>
    <xf numFmtId="5" fontId="1" fillId="0" borderId="8" xfId="2" applyNumberFormat="1" applyFont="1" applyBorder="1"/>
    <xf numFmtId="17" fontId="6" fillId="0" borderId="8" xfId="3" applyNumberFormat="1" applyFont="1" applyFill="1" applyBorder="1"/>
    <xf numFmtId="5" fontId="1" fillId="0" borderId="8" xfId="2" applyNumberFormat="1" applyFont="1" applyFill="1" applyBorder="1"/>
    <xf numFmtId="17" fontId="6" fillId="0" borderId="9" xfId="3" applyNumberFormat="1" applyFont="1" applyFill="1" applyBorder="1"/>
    <xf numFmtId="5" fontId="1" fillId="0" borderId="9" xfId="2" applyNumberFormat="1" applyFont="1" applyFill="1" applyBorder="1"/>
    <xf numFmtId="5" fontId="1" fillId="0" borderId="9" xfId="2" applyNumberFormat="1" applyFont="1" applyBorder="1"/>
    <xf numFmtId="5" fontId="1" fillId="0" borderId="7" xfId="2" applyNumberFormat="1" applyFont="1" applyFill="1" applyBorder="1"/>
    <xf numFmtId="0" fontId="1" fillId="0" borderId="0" xfId="2" applyFont="1"/>
    <xf numFmtId="0" fontId="1" fillId="0" borderId="11" xfId="2" applyFont="1" applyBorder="1"/>
    <xf numFmtId="0" fontId="1" fillId="0" borderId="12" xfId="2" applyFont="1" applyBorder="1"/>
    <xf numFmtId="0" fontId="1" fillId="0" borderId="13" xfId="2" applyFont="1" applyBorder="1"/>
    <xf numFmtId="5" fontId="1" fillId="0" borderId="10" xfId="2" applyNumberFormat="1" applyFont="1" applyBorder="1"/>
    <xf numFmtId="5" fontId="1" fillId="0" borderId="0" xfId="2" applyNumberFormat="1" applyFont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4" fillId="0" borderId="7" xfId="2" applyBorder="1"/>
    <xf numFmtId="0" fontId="4" fillId="0" borderId="7" xfId="2" applyBorder="1" applyAlignment="1">
      <alignment horizontal="center"/>
    </xf>
    <xf numFmtId="0" fontId="4" fillId="0" borderId="8" xfId="2" applyBorder="1"/>
    <xf numFmtId="0" fontId="4" fillId="0" borderId="8" xfId="2" applyBorder="1" applyAlignment="1">
      <alignment horizontal="center"/>
    </xf>
    <xf numFmtId="0" fontId="4" fillId="0" borderId="9" xfId="2" applyBorder="1" applyAlignment="1">
      <alignment horizontal="center"/>
    </xf>
    <xf numFmtId="0" fontId="4" fillId="0" borderId="10" xfId="2" applyBorder="1" applyAlignment="1">
      <alignment horizontal="center"/>
    </xf>
    <xf numFmtId="49" fontId="4" fillId="0" borderId="10" xfId="2" applyNumberFormat="1" applyBorder="1" applyAlignment="1">
      <alignment horizontal="center"/>
    </xf>
    <xf numFmtId="17" fontId="7" fillId="0" borderId="7" xfId="3" applyNumberFormat="1" applyFont="1" applyFill="1" applyBorder="1"/>
    <xf numFmtId="5" fontId="4" fillId="0" borderId="7" xfId="2" applyNumberFormat="1" applyFill="1" applyBorder="1"/>
    <xf numFmtId="5" fontId="4" fillId="0" borderId="7" xfId="2" applyNumberFormat="1" applyBorder="1"/>
    <xf numFmtId="17" fontId="7" fillId="0" borderId="8" xfId="3" applyNumberFormat="1" applyFont="1" applyFill="1" applyBorder="1"/>
    <xf numFmtId="5" fontId="4" fillId="0" borderId="8" xfId="2" applyNumberFormat="1" applyFill="1" applyBorder="1"/>
    <xf numFmtId="5" fontId="4" fillId="0" borderId="8" xfId="2" applyNumberFormat="1" applyBorder="1"/>
    <xf numFmtId="17" fontId="7" fillId="0" borderId="9" xfId="3" applyNumberFormat="1" applyFont="1" applyFill="1" applyBorder="1"/>
    <xf numFmtId="5" fontId="4" fillId="0" borderId="9" xfId="2" applyNumberFormat="1" applyFill="1" applyBorder="1"/>
    <xf numFmtId="5" fontId="4" fillId="0" borderId="9" xfId="2" applyNumberFormat="1" applyBorder="1"/>
    <xf numFmtId="0" fontId="4" fillId="0" borderId="11" xfId="2" applyBorder="1"/>
    <xf numFmtId="0" fontId="4" fillId="0" borderId="12" xfId="2" applyBorder="1"/>
    <xf numFmtId="0" fontId="4" fillId="0" borderId="13" xfId="2" applyBorder="1"/>
    <xf numFmtId="5" fontId="4" fillId="0" borderId="10" xfId="2" applyNumberFormat="1" applyBorder="1"/>
    <xf numFmtId="5" fontId="4" fillId="0" borderId="0" xfId="2" applyNumberFormat="1"/>
    <xf numFmtId="5" fontId="5" fillId="0" borderId="8" xfId="4" applyNumberFormat="1" applyFill="1" applyBorder="1"/>
    <xf numFmtId="165" fontId="0" fillId="0" borderId="16" xfId="1" applyNumberFormat="1" applyFont="1" applyBorder="1"/>
    <xf numFmtId="165" fontId="0" fillId="0" borderId="6" xfId="1" applyNumberFormat="1" applyFont="1" applyBorder="1"/>
    <xf numFmtId="0" fontId="2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2" fillId="0" borderId="1" xfId="2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2" fillId="0" borderId="3" xfId="2" applyFont="1" applyBorder="1" applyAlignment="1">
      <alignment horizontal="center" wrapText="1"/>
    </xf>
    <xf numFmtId="0" fontId="2" fillId="0" borderId="4" xfId="2" applyFont="1" applyBorder="1" applyAlignment="1">
      <alignment horizontal="center" wrapText="1"/>
    </xf>
    <xf numFmtId="0" fontId="2" fillId="0" borderId="5" xfId="2" applyFont="1" applyBorder="1" applyAlignment="1">
      <alignment horizontal="center" wrapText="1"/>
    </xf>
    <xf numFmtId="0" fontId="2" fillId="0" borderId="6" xfId="2" applyFont="1" applyBorder="1" applyAlignment="1">
      <alignment horizontal="center" wrapText="1"/>
    </xf>
  </cellXfs>
  <cellStyles count="5">
    <cellStyle name="Comma" xfId="1" builtinId="3"/>
    <cellStyle name="Currency 2" xf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tabSelected="1" workbookViewId="0">
      <selection activeCell="A8" sqref="A8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ht="14.25" customHeight="1" x14ac:dyDescent="0.2">
      <c r="B3" s="109" t="s">
        <v>0</v>
      </c>
      <c r="C3" s="110"/>
      <c r="D3" s="110"/>
      <c r="E3" s="110"/>
      <c r="F3" s="110"/>
      <c r="G3" s="111"/>
    </row>
    <row r="4" spans="2:7" ht="14.25" customHeight="1" x14ac:dyDescent="0.2">
      <c r="B4" s="112"/>
      <c r="C4" s="113"/>
      <c r="D4" s="113"/>
      <c r="E4" s="113"/>
      <c r="F4" s="113"/>
      <c r="G4" s="114"/>
    </row>
    <row r="6" spans="2:7" x14ac:dyDescent="0.2">
      <c r="B6" s="3"/>
      <c r="C6" s="3"/>
      <c r="D6" s="3"/>
      <c r="E6" s="4" t="s">
        <v>1</v>
      </c>
      <c r="F6" s="3"/>
      <c r="G6" s="3"/>
    </row>
    <row r="7" spans="2:7" x14ac:dyDescent="0.2">
      <c r="B7" s="5"/>
      <c r="C7" s="5"/>
      <c r="D7" s="6" t="s">
        <v>2</v>
      </c>
      <c r="E7" s="6" t="s">
        <v>3</v>
      </c>
      <c r="F7" s="5"/>
      <c r="G7" s="5"/>
    </row>
    <row r="8" spans="2:7" x14ac:dyDescent="0.2">
      <c r="B8" s="5"/>
      <c r="C8" s="5"/>
      <c r="D8" s="6" t="s">
        <v>4</v>
      </c>
      <c r="E8" s="6" t="s">
        <v>5</v>
      </c>
      <c r="F8" s="6" t="s">
        <v>6</v>
      </c>
      <c r="G8" s="6" t="s">
        <v>7</v>
      </c>
    </row>
    <row r="9" spans="2:7" x14ac:dyDescent="0.2">
      <c r="B9" s="7"/>
      <c r="C9" s="7"/>
      <c r="D9" s="7" t="s">
        <v>8</v>
      </c>
      <c r="E9" s="7" t="s">
        <v>8</v>
      </c>
      <c r="F9" s="7" t="s">
        <v>9</v>
      </c>
      <c r="G9" s="7" t="s">
        <v>9</v>
      </c>
    </row>
    <row r="10" spans="2:7" x14ac:dyDescent="0.2">
      <c r="B10" s="8" t="s">
        <v>10</v>
      </c>
      <c r="C10" s="8" t="s">
        <v>11</v>
      </c>
      <c r="D10" s="9" t="s">
        <v>12</v>
      </c>
      <c r="E10" s="9" t="s">
        <v>13</v>
      </c>
      <c r="F10" s="9" t="s">
        <v>14</v>
      </c>
      <c r="G10" s="9" t="s">
        <v>15</v>
      </c>
    </row>
    <row r="11" spans="2:7" x14ac:dyDescent="0.2">
      <c r="B11" s="4">
        <v>1</v>
      </c>
      <c r="C11" s="115" t="s">
        <v>16</v>
      </c>
      <c r="D11" s="116"/>
      <c r="E11" s="116"/>
      <c r="F11" s="116"/>
      <c r="G11" s="117"/>
    </row>
    <row r="12" spans="2:7" x14ac:dyDescent="0.2">
      <c r="B12" s="6" t="s">
        <v>17</v>
      </c>
      <c r="C12" s="10" t="s">
        <v>18</v>
      </c>
      <c r="D12" s="10"/>
      <c r="E12" s="10"/>
      <c r="F12" s="11"/>
      <c r="G12" s="12">
        <v>-5403</v>
      </c>
    </row>
    <row r="13" spans="2:7" x14ac:dyDescent="0.2">
      <c r="B13" s="6" t="s">
        <v>19</v>
      </c>
      <c r="C13" s="10" t="s">
        <v>20</v>
      </c>
      <c r="D13" s="10"/>
      <c r="E13" s="10"/>
      <c r="F13" s="11"/>
      <c r="G13" s="12">
        <v>-6543</v>
      </c>
    </row>
    <row r="14" spans="2:7" x14ac:dyDescent="0.2">
      <c r="B14" s="7" t="s">
        <v>21</v>
      </c>
      <c r="C14" s="10" t="s">
        <v>22</v>
      </c>
      <c r="D14" s="10"/>
      <c r="E14" s="10"/>
      <c r="F14" s="13"/>
      <c r="G14" s="14">
        <f>G12+G13</f>
        <v>-11946</v>
      </c>
    </row>
    <row r="15" spans="2:7" x14ac:dyDescent="0.2">
      <c r="B15" s="6">
        <v>2</v>
      </c>
      <c r="C15" s="15">
        <v>43282</v>
      </c>
      <c r="D15" s="16">
        <f>172945-248</f>
        <v>172697</v>
      </c>
      <c r="E15" s="17">
        <v>247667.6</v>
      </c>
      <c r="F15" s="18">
        <f t="shared" ref="F15:F22" si="0">D15-E15</f>
        <v>-74970.600000000006</v>
      </c>
      <c r="G15" s="14">
        <f t="shared" ref="G15:G22" si="1">G14+F15</f>
        <v>-86916.6</v>
      </c>
    </row>
    <row r="16" spans="2:7" x14ac:dyDescent="0.2">
      <c r="B16" s="6">
        <v>3</v>
      </c>
      <c r="C16" s="19">
        <v>43313</v>
      </c>
      <c r="D16" s="20">
        <f>149609-223</f>
        <v>149386</v>
      </c>
      <c r="E16" s="21">
        <v>153486.62</v>
      </c>
      <c r="F16" s="22">
        <f t="shared" si="0"/>
        <v>-4100.6199999999953</v>
      </c>
      <c r="G16" s="23">
        <f t="shared" si="1"/>
        <v>-91017.22</v>
      </c>
    </row>
    <row r="17" spans="2:7" x14ac:dyDescent="0.2">
      <c r="B17" s="6">
        <v>4</v>
      </c>
      <c r="C17" s="19">
        <v>43344</v>
      </c>
      <c r="D17" s="20">
        <f>149134-238</f>
        <v>148896</v>
      </c>
      <c r="E17" s="21">
        <v>159769.07999999999</v>
      </c>
      <c r="F17" s="22">
        <f t="shared" si="0"/>
        <v>-10873.079999999987</v>
      </c>
      <c r="G17" s="23">
        <f t="shared" si="1"/>
        <v>-101890.29999999999</v>
      </c>
    </row>
    <row r="18" spans="2:7" x14ac:dyDescent="0.2">
      <c r="B18" s="6">
        <v>5</v>
      </c>
      <c r="C18" s="19">
        <v>43374</v>
      </c>
      <c r="D18" s="20">
        <f>143422-241</f>
        <v>143181</v>
      </c>
      <c r="E18" s="21">
        <v>154939.38</v>
      </c>
      <c r="F18" s="22">
        <f t="shared" si="0"/>
        <v>-11758.380000000005</v>
      </c>
      <c r="G18" s="23">
        <f t="shared" si="1"/>
        <v>-113648.68</v>
      </c>
    </row>
    <row r="19" spans="2:7" x14ac:dyDescent="0.2">
      <c r="B19" s="6">
        <v>6</v>
      </c>
      <c r="C19" s="19">
        <v>43405</v>
      </c>
      <c r="D19" s="20">
        <f>193843-252</f>
        <v>193591</v>
      </c>
      <c r="E19" s="21">
        <v>201801.89</v>
      </c>
      <c r="F19" s="22">
        <f t="shared" si="0"/>
        <v>-8210.890000000014</v>
      </c>
      <c r="G19" s="23">
        <f t="shared" si="1"/>
        <v>-121859.57</v>
      </c>
    </row>
    <row r="20" spans="2:7" x14ac:dyDescent="0.2">
      <c r="B20" s="6">
        <v>7</v>
      </c>
      <c r="C20" s="19">
        <v>43435</v>
      </c>
      <c r="D20" s="20">
        <f>240645-262</f>
        <v>240383</v>
      </c>
      <c r="E20" s="21">
        <v>236114.73</v>
      </c>
      <c r="F20" s="24">
        <f t="shared" si="0"/>
        <v>4268.2699999999895</v>
      </c>
      <c r="G20" s="25">
        <f t="shared" si="1"/>
        <v>-117591.30000000002</v>
      </c>
    </row>
    <row r="21" spans="2:7" x14ac:dyDescent="0.2">
      <c r="B21" s="26" t="s">
        <v>23</v>
      </c>
      <c r="C21" s="15">
        <v>43466</v>
      </c>
      <c r="D21" s="16">
        <f>223486-229</f>
        <v>223257</v>
      </c>
      <c r="E21" s="17">
        <v>230238.81</v>
      </c>
      <c r="F21" s="18">
        <f t="shared" si="0"/>
        <v>-6981.8099999999977</v>
      </c>
      <c r="G21" s="14">
        <f t="shared" si="1"/>
        <v>-124573.11000000002</v>
      </c>
    </row>
    <row r="22" spans="2:7" x14ac:dyDescent="0.2">
      <c r="B22" s="27" t="s">
        <v>24</v>
      </c>
      <c r="C22" s="28">
        <v>43497</v>
      </c>
      <c r="D22" s="29">
        <f>139254-189</f>
        <v>139065</v>
      </c>
      <c r="E22" s="30">
        <v>136668.24</v>
      </c>
      <c r="F22" s="24">
        <f t="shared" si="0"/>
        <v>2396.7600000000093</v>
      </c>
      <c r="G22" s="25">
        <f t="shared" si="1"/>
        <v>-122176.35</v>
      </c>
    </row>
    <row r="23" spans="2:7" x14ac:dyDescent="0.2">
      <c r="B23" s="7"/>
      <c r="C23" s="31" t="s">
        <v>25</v>
      </c>
      <c r="D23" s="32"/>
      <c r="E23" s="32"/>
      <c r="F23" s="32"/>
      <c r="G23" s="33"/>
    </row>
    <row r="24" spans="2:7" x14ac:dyDescent="0.2">
      <c r="B24" s="4"/>
      <c r="C24" s="3"/>
      <c r="D24" s="3"/>
      <c r="E24" s="3"/>
      <c r="F24" s="3"/>
      <c r="G24" s="14"/>
    </row>
    <row r="25" spans="2:7" x14ac:dyDescent="0.2">
      <c r="B25" s="6"/>
      <c r="C25" s="5"/>
      <c r="D25" s="6" t="s">
        <v>26</v>
      </c>
      <c r="E25" s="6" t="s">
        <v>27</v>
      </c>
      <c r="F25" s="5"/>
      <c r="G25" s="23"/>
    </row>
    <row r="26" spans="2:7" x14ac:dyDescent="0.2">
      <c r="B26" s="6">
        <v>8</v>
      </c>
      <c r="C26" s="5"/>
      <c r="D26" s="6" t="s">
        <v>28</v>
      </c>
      <c r="E26" s="6" t="s">
        <v>29</v>
      </c>
      <c r="F26" s="5"/>
      <c r="G26" s="34" t="s">
        <v>26</v>
      </c>
    </row>
    <row r="27" spans="2:7" x14ac:dyDescent="0.2">
      <c r="B27" s="6"/>
      <c r="C27" s="5"/>
      <c r="D27" s="6" t="s">
        <v>30</v>
      </c>
      <c r="E27" s="6" t="s">
        <v>31</v>
      </c>
      <c r="F27" s="5"/>
      <c r="G27" s="34" t="s">
        <v>32</v>
      </c>
    </row>
    <row r="28" spans="2:7" x14ac:dyDescent="0.2">
      <c r="B28" s="6"/>
      <c r="C28" s="5"/>
      <c r="D28" s="6" t="s">
        <v>33</v>
      </c>
      <c r="E28" s="6" t="s">
        <v>34</v>
      </c>
      <c r="F28" s="5"/>
      <c r="G28" s="34" t="s">
        <v>35</v>
      </c>
    </row>
    <row r="29" spans="2:7" x14ac:dyDescent="0.2">
      <c r="B29" s="7"/>
      <c r="C29" s="35"/>
      <c r="D29" s="7" t="s">
        <v>36</v>
      </c>
      <c r="E29" s="7" t="s">
        <v>37</v>
      </c>
      <c r="F29" s="35"/>
      <c r="G29" s="36" t="s">
        <v>38</v>
      </c>
    </row>
    <row r="30" spans="2:7" x14ac:dyDescent="0.2">
      <c r="B30" s="37" t="s">
        <v>39</v>
      </c>
      <c r="C30" s="5" t="s">
        <v>40</v>
      </c>
      <c r="D30" s="23">
        <f>-G12</f>
        <v>5403</v>
      </c>
      <c r="E30" s="23">
        <f>D61</f>
        <v>-4505</v>
      </c>
      <c r="F30" s="5"/>
      <c r="G30" s="23">
        <f>D30+E30</f>
        <v>898</v>
      </c>
    </row>
    <row r="31" spans="2:7" x14ac:dyDescent="0.2">
      <c r="B31" s="37" t="s">
        <v>41</v>
      </c>
      <c r="C31" s="35" t="s">
        <v>42</v>
      </c>
      <c r="D31" s="25">
        <f>-G13</f>
        <v>6543</v>
      </c>
      <c r="E31" s="25">
        <f>E61</f>
        <v>0</v>
      </c>
      <c r="F31" s="35"/>
      <c r="G31" s="25">
        <f>D31+E31</f>
        <v>6543</v>
      </c>
    </row>
    <row r="32" spans="2:7" x14ac:dyDescent="0.2">
      <c r="B32" s="7" t="s">
        <v>43</v>
      </c>
      <c r="C32" s="38"/>
      <c r="D32" s="39"/>
      <c r="E32" s="39"/>
      <c r="F32" s="40" t="s">
        <v>44</v>
      </c>
      <c r="G32" s="25">
        <f>G30+G31</f>
        <v>7441</v>
      </c>
    </row>
    <row r="33" spans="2:7" x14ac:dyDescent="0.2">
      <c r="B33" s="41"/>
      <c r="G33" s="42"/>
    </row>
    <row r="34" spans="2:7" x14ac:dyDescent="0.2">
      <c r="B34" s="8">
        <v>9</v>
      </c>
      <c r="C34" s="43" t="s">
        <v>45</v>
      </c>
      <c r="D34" s="10"/>
      <c r="E34" s="10"/>
      <c r="F34" s="11"/>
      <c r="G34" s="44">
        <f>G20+G32</f>
        <v>-110150.30000000002</v>
      </c>
    </row>
    <row r="35" spans="2:7" x14ac:dyDescent="0.2">
      <c r="B35" s="41"/>
      <c r="G35" s="42"/>
    </row>
    <row r="36" spans="2:7" x14ac:dyDescent="0.2">
      <c r="B36" s="8">
        <v>10</v>
      </c>
      <c r="C36" s="45" t="s">
        <v>46</v>
      </c>
      <c r="D36" s="10"/>
      <c r="E36" s="10"/>
      <c r="F36" s="11"/>
      <c r="G36" s="44">
        <f>G34/6</f>
        <v>-18358.383333333335</v>
      </c>
    </row>
    <row r="38" spans="2:7" x14ac:dyDescent="0.2">
      <c r="B38" s="3"/>
      <c r="C38" s="46" t="s">
        <v>47</v>
      </c>
      <c r="D38" s="47"/>
      <c r="E38" s="47"/>
      <c r="F38" s="47"/>
      <c r="G38" s="48"/>
    </row>
    <row r="39" spans="2:7" x14ac:dyDescent="0.2">
      <c r="B39" s="3"/>
      <c r="C39" s="49"/>
      <c r="D39" s="49"/>
      <c r="E39" s="49"/>
      <c r="F39" s="49"/>
      <c r="G39" s="13"/>
    </row>
    <row r="40" spans="2:7" x14ac:dyDescent="0.2">
      <c r="B40" s="6">
        <v>11</v>
      </c>
      <c r="C40" s="50" t="s">
        <v>48</v>
      </c>
      <c r="D40" s="50"/>
      <c r="E40" s="50"/>
      <c r="F40" s="50"/>
      <c r="G40" s="51">
        <f>G14</f>
        <v>-11946</v>
      </c>
    </row>
    <row r="41" spans="2:7" x14ac:dyDescent="0.2">
      <c r="B41" s="6">
        <v>12</v>
      </c>
      <c r="C41" s="50" t="s">
        <v>49</v>
      </c>
      <c r="D41" s="50"/>
      <c r="E41" s="50"/>
      <c r="F41" s="50"/>
      <c r="G41" s="52">
        <f>G32</f>
        <v>7441</v>
      </c>
    </row>
    <row r="42" spans="2:7" x14ac:dyDescent="0.2">
      <c r="B42" s="6"/>
      <c r="C42" s="50"/>
      <c r="D42" s="50"/>
      <c r="E42" s="50"/>
      <c r="F42" s="50"/>
      <c r="G42" s="51"/>
    </row>
    <row r="43" spans="2:7" ht="15" thickBot="1" x14ac:dyDescent="0.25">
      <c r="B43" s="6">
        <v>13</v>
      </c>
      <c r="C43" s="50" t="s">
        <v>50</v>
      </c>
      <c r="D43" s="50"/>
      <c r="E43" s="50"/>
      <c r="F43" s="50"/>
      <c r="G43" s="53">
        <f>G40+G41</f>
        <v>-4505</v>
      </c>
    </row>
    <row r="44" spans="2:7" ht="15" thickTop="1" x14ac:dyDescent="0.2">
      <c r="B44" s="6"/>
      <c r="C44" s="50"/>
      <c r="D44" s="50"/>
      <c r="E44" s="50"/>
      <c r="F44" s="50"/>
      <c r="G44" s="51"/>
    </row>
    <row r="45" spans="2:7" x14ac:dyDescent="0.2">
      <c r="B45" s="6">
        <v>14</v>
      </c>
      <c r="C45" s="50" t="s">
        <v>51</v>
      </c>
      <c r="D45" s="50"/>
      <c r="E45" s="50"/>
      <c r="F45" s="50"/>
      <c r="G45" s="51">
        <f>G34</f>
        <v>-110150.30000000002</v>
      </c>
    </row>
    <row r="46" spans="2:7" x14ac:dyDescent="0.2">
      <c r="B46" s="6"/>
      <c r="C46" s="50"/>
      <c r="D46" s="50"/>
      <c r="E46" s="50"/>
      <c r="F46" s="50"/>
      <c r="G46" s="51"/>
    </row>
    <row r="47" spans="2:7" x14ac:dyDescent="0.2">
      <c r="B47" s="6">
        <v>15</v>
      </c>
      <c r="C47" s="50" t="s">
        <v>52</v>
      </c>
      <c r="D47" s="50"/>
      <c r="E47" s="50"/>
      <c r="F47" s="50"/>
      <c r="G47" s="52">
        <f>SUM(F15:F20)</f>
        <v>-105645.30000000002</v>
      </c>
    </row>
    <row r="48" spans="2:7" x14ac:dyDescent="0.2">
      <c r="B48" s="6"/>
      <c r="C48" s="50"/>
      <c r="D48" s="50"/>
      <c r="E48" s="50"/>
      <c r="F48" s="50"/>
      <c r="G48" s="51"/>
    </row>
    <row r="49" spans="2:7" ht="15" thickBot="1" x14ac:dyDescent="0.25">
      <c r="B49" s="6">
        <v>16</v>
      </c>
      <c r="C49" s="50" t="s">
        <v>53</v>
      </c>
      <c r="D49" s="50"/>
      <c r="E49" s="50"/>
      <c r="F49" s="50"/>
      <c r="G49" s="53">
        <f>G45-G47</f>
        <v>-4505</v>
      </c>
    </row>
    <row r="50" spans="2:7" ht="15" thickTop="1" x14ac:dyDescent="0.2">
      <c r="B50" s="35"/>
      <c r="C50" s="54"/>
      <c r="D50" s="54"/>
      <c r="E50" s="54"/>
      <c r="F50" s="54"/>
      <c r="G50" s="55"/>
    </row>
    <row r="52" spans="2:7" x14ac:dyDescent="0.2">
      <c r="B52" t="s">
        <v>54</v>
      </c>
    </row>
    <row r="53" spans="2:7" x14ac:dyDescent="0.2">
      <c r="B53" s="41"/>
      <c r="C53" s="3"/>
      <c r="D53" s="4" t="s">
        <v>55</v>
      </c>
      <c r="E53" s="4" t="s">
        <v>55</v>
      </c>
      <c r="F53" s="37"/>
    </row>
    <row r="54" spans="2:7" x14ac:dyDescent="0.2">
      <c r="B54" s="41"/>
      <c r="C54" s="7" t="s">
        <v>11</v>
      </c>
      <c r="D54" s="7" t="s">
        <v>56</v>
      </c>
      <c r="E54" s="7" t="s">
        <v>57</v>
      </c>
      <c r="F54" s="37"/>
    </row>
    <row r="55" spans="2:7" x14ac:dyDescent="0.2">
      <c r="C55" s="15">
        <v>43282</v>
      </c>
      <c r="D55" s="16">
        <v>0</v>
      </c>
      <c r="E55" s="14">
        <v>0</v>
      </c>
      <c r="F55" s="22"/>
    </row>
    <row r="56" spans="2:7" x14ac:dyDescent="0.2">
      <c r="C56" s="19">
        <v>43313</v>
      </c>
      <c r="D56" s="20">
        <v>-901</v>
      </c>
      <c r="E56" s="23">
        <v>0</v>
      </c>
      <c r="F56" s="22"/>
    </row>
    <row r="57" spans="2:7" x14ac:dyDescent="0.2">
      <c r="C57" s="19">
        <v>43344</v>
      </c>
      <c r="D57" s="20">
        <v>-901</v>
      </c>
      <c r="E57" s="23">
        <v>0</v>
      </c>
      <c r="F57" s="22"/>
    </row>
    <row r="58" spans="2:7" x14ac:dyDescent="0.2">
      <c r="C58" s="19">
        <v>43374</v>
      </c>
      <c r="D58" s="20">
        <v>-901</v>
      </c>
      <c r="E58" s="23">
        <v>0</v>
      </c>
      <c r="F58" s="22"/>
    </row>
    <row r="59" spans="2:7" x14ac:dyDescent="0.2">
      <c r="C59" s="19">
        <v>43405</v>
      </c>
      <c r="D59" s="20">
        <v>-901</v>
      </c>
      <c r="E59" s="23">
        <v>0</v>
      </c>
      <c r="F59" s="22"/>
    </row>
    <row r="60" spans="2:7" x14ac:dyDescent="0.2">
      <c r="C60" s="19">
        <v>43435</v>
      </c>
      <c r="D60" s="29">
        <v>-901</v>
      </c>
      <c r="E60" s="25">
        <v>0</v>
      </c>
      <c r="F60" s="22"/>
    </row>
    <row r="61" spans="2:7" x14ac:dyDescent="0.2">
      <c r="C61" s="56" t="s">
        <v>58</v>
      </c>
      <c r="D61" s="44">
        <f>SUM(D55:D60)</f>
        <v>-4505</v>
      </c>
      <c r="E61" s="44">
        <f>SUM(E55:E60)</f>
        <v>0</v>
      </c>
      <c r="F61" s="22"/>
    </row>
  </sheetData>
  <mergeCells count="2">
    <mergeCell ref="B3:G4"/>
    <mergeCell ref="C11:G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workbookViewId="0">
      <selection activeCell="C37" sqref="C37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ht="14.25" customHeight="1" x14ac:dyDescent="0.2">
      <c r="B3" s="109" t="s">
        <v>79</v>
      </c>
      <c r="C3" s="110"/>
      <c r="D3" s="110"/>
      <c r="E3" s="110"/>
      <c r="F3" s="110"/>
      <c r="G3" s="111"/>
    </row>
    <row r="4" spans="2:7" x14ac:dyDescent="0.2">
      <c r="B4" s="112"/>
      <c r="C4" s="113"/>
      <c r="D4" s="113"/>
      <c r="E4" s="113"/>
      <c r="F4" s="113"/>
      <c r="G4" s="114"/>
    </row>
    <row r="6" spans="2:7" x14ac:dyDescent="0.2">
      <c r="B6" s="3"/>
      <c r="C6" s="3"/>
      <c r="D6" s="3"/>
      <c r="E6" s="4" t="s">
        <v>1</v>
      </c>
      <c r="F6" s="3"/>
      <c r="G6" s="3"/>
    </row>
    <row r="7" spans="2:7" x14ac:dyDescent="0.2">
      <c r="B7" s="5"/>
      <c r="C7" s="5"/>
      <c r="D7" s="6" t="s">
        <v>2</v>
      </c>
      <c r="E7" s="6" t="s">
        <v>3</v>
      </c>
      <c r="F7" s="5"/>
      <c r="G7" s="5"/>
    </row>
    <row r="8" spans="2:7" x14ac:dyDescent="0.2">
      <c r="B8" s="5"/>
      <c r="C8" s="5"/>
      <c r="D8" s="6" t="s">
        <v>4</v>
      </c>
      <c r="E8" s="6" t="s">
        <v>5</v>
      </c>
      <c r="F8" s="6" t="s">
        <v>6</v>
      </c>
      <c r="G8" s="6" t="s">
        <v>7</v>
      </c>
    </row>
    <row r="9" spans="2:7" x14ac:dyDescent="0.2">
      <c r="B9" s="7"/>
      <c r="C9" s="7"/>
      <c r="D9" s="7" t="s">
        <v>8</v>
      </c>
      <c r="E9" s="7" t="s">
        <v>8</v>
      </c>
      <c r="F9" s="7" t="s">
        <v>9</v>
      </c>
      <c r="G9" s="7" t="s">
        <v>9</v>
      </c>
    </row>
    <row r="10" spans="2:7" x14ac:dyDescent="0.2">
      <c r="B10" s="8" t="s">
        <v>10</v>
      </c>
      <c r="C10" s="8" t="s">
        <v>11</v>
      </c>
      <c r="D10" s="9" t="s">
        <v>12</v>
      </c>
      <c r="E10" s="9" t="s">
        <v>13</v>
      </c>
      <c r="F10" s="9" t="s">
        <v>14</v>
      </c>
      <c r="G10" s="9" t="s">
        <v>15</v>
      </c>
    </row>
    <row r="11" spans="2:7" x14ac:dyDescent="0.2">
      <c r="B11" s="4">
        <v>1</v>
      </c>
      <c r="C11" s="115" t="s">
        <v>16</v>
      </c>
      <c r="D11" s="116"/>
      <c r="E11" s="116"/>
      <c r="F11" s="116"/>
      <c r="G11" s="117"/>
    </row>
    <row r="12" spans="2:7" x14ac:dyDescent="0.2">
      <c r="B12" s="4" t="s">
        <v>17</v>
      </c>
      <c r="C12" s="10" t="s">
        <v>18</v>
      </c>
      <c r="D12" s="10"/>
      <c r="E12" s="10"/>
      <c r="F12" s="11"/>
      <c r="G12" s="12">
        <v>62335</v>
      </c>
    </row>
    <row r="13" spans="2:7" x14ac:dyDescent="0.2">
      <c r="B13" s="6" t="s">
        <v>19</v>
      </c>
      <c r="C13" s="10" t="s">
        <v>20</v>
      </c>
      <c r="D13" s="10"/>
      <c r="E13" s="10"/>
      <c r="F13" s="11"/>
      <c r="G13" s="12">
        <v>6109</v>
      </c>
    </row>
    <row r="14" spans="2:7" x14ac:dyDescent="0.2">
      <c r="B14" s="7" t="s">
        <v>21</v>
      </c>
      <c r="C14" s="10" t="s">
        <v>22</v>
      </c>
      <c r="D14" s="10"/>
      <c r="E14" s="10"/>
      <c r="F14" s="13"/>
      <c r="G14" s="14">
        <f>G12+G13</f>
        <v>68444</v>
      </c>
    </row>
    <row r="15" spans="2:7" x14ac:dyDescent="0.2">
      <c r="B15" s="6">
        <v>2</v>
      </c>
      <c r="C15" s="15">
        <v>43282</v>
      </c>
      <c r="D15" s="16">
        <f>679094-365</f>
        <v>678729</v>
      </c>
      <c r="E15" s="17">
        <v>736241.16</v>
      </c>
      <c r="F15" s="18">
        <f t="shared" ref="F15:F22" si="0">D15-E15</f>
        <v>-57512.160000000033</v>
      </c>
      <c r="G15" s="14">
        <f t="shared" ref="G15:G22" si="1">G14+F15</f>
        <v>10931.839999999967</v>
      </c>
    </row>
    <row r="16" spans="2:7" x14ac:dyDescent="0.2">
      <c r="B16" s="6">
        <v>3</v>
      </c>
      <c r="C16" s="19">
        <v>43313</v>
      </c>
      <c r="D16" s="20">
        <f>591122-331</f>
        <v>590791</v>
      </c>
      <c r="E16" s="21">
        <v>651832.66</v>
      </c>
      <c r="F16" s="22">
        <f t="shared" si="0"/>
        <v>-61041.660000000033</v>
      </c>
      <c r="G16" s="23">
        <f t="shared" si="1"/>
        <v>-50109.820000000065</v>
      </c>
    </row>
    <row r="17" spans="2:7" x14ac:dyDescent="0.2">
      <c r="B17" s="6">
        <v>4</v>
      </c>
      <c r="C17" s="19">
        <v>43344</v>
      </c>
      <c r="D17" s="20">
        <f>598279-350</f>
        <v>597929</v>
      </c>
      <c r="E17" s="21">
        <v>613355.02</v>
      </c>
      <c r="F17" s="22">
        <f t="shared" si="0"/>
        <v>-15426.020000000019</v>
      </c>
      <c r="G17" s="23">
        <f t="shared" si="1"/>
        <v>-65535.840000000084</v>
      </c>
    </row>
    <row r="18" spans="2:7" x14ac:dyDescent="0.2">
      <c r="B18" s="6">
        <v>5</v>
      </c>
      <c r="C18" s="19">
        <v>43374</v>
      </c>
      <c r="D18" s="20">
        <f>579931-353</f>
        <v>579578</v>
      </c>
      <c r="E18" s="21">
        <v>609992.71</v>
      </c>
      <c r="F18" s="22">
        <f t="shared" si="0"/>
        <v>-30414.709999999963</v>
      </c>
      <c r="G18" s="23">
        <f t="shared" si="1"/>
        <v>-95950.550000000047</v>
      </c>
    </row>
    <row r="19" spans="2:7" x14ac:dyDescent="0.2">
      <c r="B19" s="6">
        <v>6</v>
      </c>
      <c r="C19" s="19">
        <v>43405</v>
      </c>
      <c r="D19" s="20">
        <f>782630-370</f>
        <v>782260</v>
      </c>
      <c r="E19" s="21">
        <v>771922.24</v>
      </c>
      <c r="F19" s="22">
        <f t="shared" si="0"/>
        <v>10337.760000000009</v>
      </c>
      <c r="G19" s="23">
        <f t="shared" si="1"/>
        <v>-85612.790000000037</v>
      </c>
    </row>
    <row r="20" spans="2:7" x14ac:dyDescent="0.2">
      <c r="B20" s="6">
        <v>7</v>
      </c>
      <c r="C20" s="19">
        <v>43435</v>
      </c>
      <c r="D20" s="20">
        <f>968367-385</f>
        <v>967982</v>
      </c>
      <c r="E20" s="21">
        <v>909464.6</v>
      </c>
      <c r="F20" s="24">
        <f t="shared" si="0"/>
        <v>58517.400000000023</v>
      </c>
      <c r="G20" s="25">
        <f t="shared" si="1"/>
        <v>-27095.390000000014</v>
      </c>
    </row>
    <row r="21" spans="2:7" x14ac:dyDescent="0.2">
      <c r="B21" s="26" t="s">
        <v>23</v>
      </c>
      <c r="C21" s="15">
        <v>43466</v>
      </c>
      <c r="D21" s="16">
        <f>874954-336</f>
        <v>874618</v>
      </c>
      <c r="E21" s="17">
        <v>910982.5</v>
      </c>
      <c r="F21" s="18">
        <f t="shared" si="0"/>
        <v>-36364.5</v>
      </c>
      <c r="G21" s="14">
        <f t="shared" si="1"/>
        <v>-63459.890000000014</v>
      </c>
    </row>
    <row r="22" spans="2:7" x14ac:dyDescent="0.2">
      <c r="B22" s="27" t="s">
        <v>24</v>
      </c>
      <c r="C22" s="28">
        <v>43497</v>
      </c>
      <c r="D22" s="29">
        <f>569209-278</f>
        <v>568931</v>
      </c>
      <c r="E22" s="30">
        <v>595893.9</v>
      </c>
      <c r="F22" s="24">
        <f t="shared" si="0"/>
        <v>-26962.900000000023</v>
      </c>
      <c r="G22" s="25">
        <f t="shared" si="1"/>
        <v>-90422.790000000037</v>
      </c>
    </row>
    <row r="23" spans="2:7" x14ac:dyDescent="0.2">
      <c r="B23" s="7"/>
      <c r="C23" s="31" t="s">
        <v>25</v>
      </c>
      <c r="D23" s="32"/>
      <c r="E23" s="32"/>
      <c r="F23" s="32"/>
      <c r="G23" s="33"/>
    </row>
    <row r="24" spans="2:7" x14ac:dyDescent="0.2">
      <c r="B24" s="4"/>
      <c r="C24" s="3"/>
      <c r="D24" s="3"/>
      <c r="E24" s="3"/>
      <c r="F24" s="3"/>
      <c r="G24" s="14"/>
    </row>
    <row r="25" spans="2:7" x14ac:dyDescent="0.2">
      <c r="B25" s="6"/>
      <c r="C25" s="5"/>
      <c r="D25" s="6" t="s">
        <v>26</v>
      </c>
      <c r="E25" s="6" t="s">
        <v>27</v>
      </c>
      <c r="F25" s="5"/>
      <c r="G25" s="23"/>
    </row>
    <row r="26" spans="2:7" x14ac:dyDescent="0.2">
      <c r="B26" s="6">
        <v>8</v>
      </c>
      <c r="C26" s="5"/>
      <c r="D26" s="6" t="s">
        <v>28</v>
      </c>
      <c r="E26" s="6" t="s">
        <v>29</v>
      </c>
      <c r="F26" s="5"/>
      <c r="G26" s="34" t="s">
        <v>26</v>
      </c>
    </row>
    <row r="27" spans="2:7" x14ac:dyDescent="0.2">
      <c r="B27" s="6"/>
      <c r="C27" s="5"/>
      <c r="D27" s="6" t="s">
        <v>30</v>
      </c>
      <c r="E27" s="6" t="s">
        <v>31</v>
      </c>
      <c r="F27" s="5"/>
      <c r="G27" s="34" t="s">
        <v>32</v>
      </c>
    </row>
    <row r="28" spans="2:7" x14ac:dyDescent="0.2">
      <c r="B28" s="6"/>
      <c r="C28" s="5"/>
      <c r="D28" s="6" t="s">
        <v>33</v>
      </c>
      <c r="E28" s="6" t="s">
        <v>34</v>
      </c>
      <c r="F28" s="5"/>
      <c r="G28" s="34" t="s">
        <v>35</v>
      </c>
    </row>
    <row r="29" spans="2:7" x14ac:dyDescent="0.2">
      <c r="B29" s="7"/>
      <c r="C29" s="5"/>
      <c r="D29" s="6" t="s">
        <v>36</v>
      </c>
      <c r="E29" s="6" t="s">
        <v>37</v>
      </c>
      <c r="F29" s="5"/>
      <c r="G29" s="34" t="s">
        <v>38</v>
      </c>
    </row>
    <row r="30" spans="2:7" x14ac:dyDescent="0.2">
      <c r="B30" s="26" t="s">
        <v>39</v>
      </c>
      <c r="C30" s="3" t="s">
        <v>40</v>
      </c>
      <c r="D30" s="14">
        <f>-G12</f>
        <v>-62335</v>
      </c>
      <c r="E30" s="14">
        <f>D61</f>
        <v>51945</v>
      </c>
      <c r="F30" s="3"/>
      <c r="G30" s="14">
        <f>D30+E30</f>
        <v>-10390</v>
      </c>
    </row>
    <row r="31" spans="2:7" x14ac:dyDescent="0.2">
      <c r="B31" s="37" t="s">
        <v>41</v>
      </c>
      <c r="C31" s="5" t="s">
        <v>42</v>
      </c>
      <c r="D31" s="23">
        <f>-G13</f>
        <v>-6109</v>
      </c>
      <c r="E31" s="23">
        <f>E61</f>
        <v>0</v>
      </c>
      <c r="F31" s="5"/>
      <c r="G31" s="23">
        <f>D31+E31</f>
        <v>-6109</v>
      </c>
    </row>
    <row r="32" spans="2:7" x14ac:dyDescent="0.2">
      <c r="B32" s="7" t="s">
        <v>43</v>
      </c>
      <c r="C32" s="82"/>
      <c r="D32" s="83"/>
      <c r="E32" s="83"/>
      <c r="F32" s="84" t="s">
        <v>44</v>
      </c>
      <c r="G32" s="44">
        <f>G30+G31</f>
        <v>-16499</v>
      </c>
    </row>
    <row r="33" spans="2:7" x14ac:dyDescent="0.2">
      <c r="B33" s="41"/>
      <c r="G33" s="42"/>
    </row>
    <row r="34" spans="2:7" x14ac:dyDescent="0.2">
      <c r="B34" s="8">
        <v>9</v>
      </c>
      <c r="C34" s="45" t="s">
        <v>45</v>
      </c>
      <c r="D34" s="10"/>
      <c r="E34" s="10"/>
      <c r="F34" s="11"/>
      <c r="G34" s="44">
        <f>G20+G32</f>
        <v>-43594.390000000014</v>
      </c>
    </row>
    <row r="35" spans="2:7" x14ac:dyDescent="0.2">
      <c r="B35" s="41"/>
      <c r="G35" s="42"/>
    </row>
    <row r="36" spans="2:7" x14ac:dyDescent="0.2">
      <c r="B36" s="8">
        <v>10</v>
      </c>
      <c r="C36" s="45" t="s">
        <v>46</v>
      </c>
      <c r="D36" s="10"/>
      <c r="E36" s="10"/>
      <c r="F36" s="11"/>
      <c r="G36" s="44">
        <f>G34/6</f>
        <v>-7265.7316666666693</v>
      </c>
    </row>
    <row r="38" spans="2:7" x14ac:dyDescent="0.2">
      <c r="B38" s="3"/>
      <c r="C38" s="46" t="s">
        <v>47</v>
      </c>
      <c r="D38" s="47"/>
      <c r="E38" s="47"/>
      <c r="F38" s="47"/>
      <c r="G38" s="48"/>
    </row>
    <row r="39" spans="2:7" x14ac:dyDescent="0.2">
      <c r="B39" s="3"/>
      <c r="C39" s="49"/>
      <c r="D39" s="49"/>
      <c r="E39" s="49"/>
      <c r="F39" s="49"/>
      <c r="G39" s="13"/>
    </row>
    <row r="40" spans="2:7" x14ac:dyDescent="0.2">
      <c r="B40" s="6">
        <v>11</v>
      </c>
      <c r="C40" s="50" t="s">
        <v>48</v>
      </c>
      <c r="D40" s="50"/>
      <c r="E40" s="50"/>
      <c r="F40" s="50"/>
      <c r="G40" s="51">
        <f>G14</f>
        <v>68444</v>
      </c>
    </row>
    <row r="41" spans="2:7" x14ac:dyDescent="0.2">
      <c r="B41" s="6">
        <v>12</v>
      </c>
      <c r="C41" s="50" t="s">
        <v>49</v>
      </c>
      <c r="D41" s="50"/>
      <c r="E41" s="50"/>
      <c r="F41" s="50"/>
      <c r="G41" s="52">
        <f>G32</f>
        <v>-16499</v>
      </c>
    </row>
    <row r="42" spans="2:7" x14ac:dyDescent="0.2">
      <c r="B42" s="6"/>
      <c r="C42" s="50"/>
      <c r="D42" s="50"/>
      <c r="E42" s="50"/>
      <c r="F42" s="50"/>
      <c r="G42" s="51"/>
    </row>
    <row r="43" spans="2:7" ht="15" thickBot="1" x14ac:dyDescent="0.25">
      <c r="B43" s="6">
        <v>13</v>
      </c>
      <c r="C43" s="50" t="s">
        <v>50</v>
      </c>
      <c r="D43" s="50"/>
      <c r="E43" s="50"/>
      <c r="F43" s="50"/>
      <c r="G43" s="53">
        <f>G40+G41</f>
        <v>51945</v>
      </c>
    </row>
    <row r="44" spans="2:7" ht="15" thickTop="1" x14ac:dyDescent="0.2">
      <c r="B44" s="6"/>
      <c r="C44" s="50"/>
      <c r="D44" s="50"/>
      <c r="E44" s="50"/>
      <c r="F44" s="50"/>
      <c r="G44" s="51"/>
    </row>
    <row r="45" spans="2:7" x14ac:dyDescent="0.2">
      <c r="B45" s="6">
        <v>14</v>
      </c>
      <c r="C45" s="50" t="s">
        <v>51</v>
      </c>
      <c r="D45" s="50"/>
      <c r="E45" s="50"/>
      <c r="F45" s="50"/>
      <c r="G45" s="51">
        <f>G34</f>
        <v>-43594.390000000014</v>
      </c>
    </row>
    <row r="46" spans="2:7" x14ac:dyDescent="0.2">
      <c r="B46" s="6"/>
      <c r="C46" s="50"/>
      <c r="D46" s="50"/>
      <c r="E46" s="50"/>
      <c r="F46" s="50"/>
      <c r="G46" s="51"/>
    </row>
    <row r="47" spans="2:7" x14ac:dyDescent="0.2">
      <c r="B47" s="6">
        <v>15</v>
      </c>
      <c r="C47" s="50" t="s">
        <v>52</v>
      </c>
      <c r="D47" s="50"/>
      <c r="E47" s="50"/>
      <c r="F47" s="50"/>
      <c r="G47" s="52">
        <f>SUM(F15:F20)</f>
        <v>-95539.390000000014</v>
      </c>
    </row>
    <row r="48" spans="2:7" x14ac:dyDescent="0.2">
      <c r="B48" s="6"/>
      <c r="C48" s="50"/>
      <c r="D48" s="50"/>
      <c r="E48" s="50"/>
      <c r="F48" s="50"/>
      <c r="G48" s="51"/>
    </row>
    <row r="49" spans="2:7" ht="15" thickBot="1" x14ac:dyDescent="0.25">
      <c r="B49" s="6">
        <v>16</v>
      </c>
      <c r="C49" s="50" t="s">
        <v>53</v>
      </c>
      <c r="D49" s="50"/>
      <c r="E49" s="50"/>
      <c r="F49" s="50"/>
      <c r="G49" s="53">
        <f>G45-G47</f>
        <v>51945</v>
      </c>
    </row>
    <row r="50" spans="2:7" ht="15" thickTop="1" x14ac:dyDescent="0.2">
      <c r="B50" s="35"/>
      <c r="C50" s="54"/>
      <c r="D50" s="54"/>
      <c r="E50" s="54"/>
      <c r="F50" s="54"/>
      <c r="G50" s="55"/>
    </row>
    <row r="52" spans="2:7" x14ac:dyDescent="0.2">
      <c r="B52" t="s">
        <v>54</v>
      </c>
    </row>
    <row r="53" spans="2:7" x14ac:dyDescent="0.2">
      <c r="B53" s="41"/>
      <c r="C53" s="3"/>
      <c r="D53" s="4" t="s">
        <v>55</v>
      </c>
      <c r="E53" s="4" t="s">
        <v>55</v>
      </c>
      <c r="F53" s="37"/>
    </row>
    <row r="54" spans="2:7" x14ac:dyDescent="0.2">
      <c r="B54" s="41"/>
      <c r="C54" s="7" t="s">
        <v>11</v>
      </c>
      <c r="D54" s="7" t="s">
        <v>56</v>
      </c>
      <c r="E54" s="7" t="s">
        <v>57</v>
      </c>
      <c r="F54" s="37"/>
    </row>
    <row r="55" spans="2:7" x14ac:dyDescent="0.2">
      <c r="C55" s="15">
        <v>43282</v>
      </c>
      <c r="D55" s="16">
        <v>0</v>
      </c>
      <c r="E55" s="16">
        <v>0</v>
      </c>
      <c r="F55" s="22"/>
    </row>
    <row r="56" spans="2:7" x14ac:dyDescent="0.2">
      <c r="C56" s="19">
        <v>43313</v>
      </c>
      <c r="D56" s="20">
        <v>10389</v>
      </c>
      <c r="E56" s="20">
        <v>0</v>
      </c>
      <c r="F56" s="22"/>
    </row>
    <row r="57" spans="2:7" x14ac:dyDescent="0.2">
      <c r="C57" s="19">
        <v>43344</v>
      </c>
      <c r="D57" s="20">
        <v>10389</v>
      </c>
      <c r="E57" s="20">
        <v>0</v>
      </c>
      <c r="F57" s="22"/>
    </row>
    <row r="58" spans="2:7" x14ac:dyDescent="0.2">
      <c r="C58" s="19">
        <v>43374</v>
      </c>
      <c r="D58" s="20">
        <v>10389</v>
      </c>
      <c r="E58" s="20">
        <v>0</v>
      </c>
      <c r="F58" s="22"/>
    </row>
    <row r="59" spans="2:7" x14ac:dyDescent="0.2">
      <c r="C59" s="19">
        <v>43405</v>
      </c>
      <c r="D59" s="20">
        <v>10389</v>
      </c>
      <c r="E59" s="20">
        <v>0</v>
      </c>
      <c r="F59" s="22"/>
    </row>
    <row r="60" spans="2:7" x14ac:dyDescent="0.2">
      <c r="C60" s="28">
        <v>43435</v>
      </c>
      <c r="D60" s="29">
        <v>10389</v>
      </c>
      <c r="E60" s="29">
        <v>0</v>
      </c>
      <c r="F60" s="22"/>
    </row>
    <row r="61" spans="2:7" x14ac:dyDescent="0.2">
      <c r="C61" s="56" t="s">
        <v>58</v>
      </c>
      <c r="D61" s="44">
        <f>SUM(D55:D60)</f>
        <v>51945</v>
      </c>
      <c r="E61" s="44">
        <f>SUM(E55:E60)</f>
        <v>0</v>
      </c>
      <c r="F61" s="22"/>
    </row>
  </sheetData>
  <mergeCells count="2">
    <mergeCell ref="B3:G4"/>
    <mergeCell ref="C11:G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workbookViewId="0">
      <selection activeCell="C37" sqref="C37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ht="14.25" customHeight="1" x14ac:dyDescent="0.2">
      <c r="B3" s="109" t="s">
        <v>80</v>
      </c>
      <c r="C3" s="110"/>
      <c r="D3" s="110"/>
      <c r="E3" s="110"/>
      <c r="F3" s="110"/>
      <c r="G3" s="111"/>
    </row>
    <row r="4" spans="2:7" x14ac:dyDescent="0.2">
      <c r="B4" s="112"/>
      <c r="C4" s="113"/>
      <c r="D4" s="113"/>
      <c r="E4" s="113"/>
      <c r="F4" s="113"/>
      <c r="G4" s="114"/>
    </row>
    <row r="6" spans="2:7" x14ac:dyDescent="0.2">
      <c r="B6" s="3"/>
      <c r="C6" s="3"/>
      <c r="D6" s="3"/>
      <c r="E6" s="4" t="s">
        <v>1</v>
      </c>
      <c r="F6" s="3"/>
      <c r="G6" s="3"/>
    </row>
    <row r="7" spans="2:7" x14ac:dyDescent="0.2">
      <c r="B7" s="5"/>
      <c r="C7" s="5"/>
      <c r="D7" s="6" t="s">
        <v>2</v>
      </c>
      <c r="E7" s="6" t="s">
        <v>3</v>
      </c>
      <c r="F7" s="5"/>
      <c r="G7" s="5"/>
    </row>
    <row r="8" spans="2:7" x14ac:dyDescent="0.2">
      <c r="B8" s="5"/>
      <c r="C8" s="5"/>
      <c r="D8" s="6" t="s">
        <v>4</v>
      </c>
      <c r="E8" s="6" t="s">
        <v>5</v>
      </c>
      <c r="F8" s="6" t="s">
        <v>6</v>
      </c>
      <c r="G8" s="6" t="s">
        <v>7</v>
      </c>
    </row>
    <row r="9" spans="2:7" x14ac:dyDescent="0.2">
      <c r="B9" s="7"/>
      <c r="C9" s="7"/>
      <c r="D9" s="7" t="s">
        <v>8</v>
      </c>
      <c r="E9" s="7" t="s">
        <v>8</v>
      </c>
      <c r="F9" s="7" t="s">
        <v>9</v>
      </c>
      <c r="G9" s="7" t="s">
        <v>9</v>
      </c>
    </row>
    <row r="10" spans="2:7" x14ac:dyDescent="0.2">
      <c r="B10" s="8" t="s">
        <v>10</v>
      </c>
      <c r="C10" s="8" t="s">
        <v>11</v>
      </c>
      <c r="D10" s="9" t="s">
        <v>12</v>
      </c>
      <c r="E10" s="9" t="s">
        <v>13</v>
      </c>
      <c r="F10" s="9" t="s">
        <v>14</v>
      </c>
      <c r="G10" s="9" t="s">
        <v>15</v>
      </c>
    </row>
    <row r="11" spans="2:7" x14ac:dyDescent="0.2">
      <c r="B11" s="4">
        <v>1</v>
      </c>
      <c r="C11" s="115" t="s">
        <v>16</v>
      </c>
      <c r="D11" s="116"/>
      <c r="E11" s="116"/>
      <c r="F11" s="116"/>
      <c r="G11" s="117"/>
    </row>
    <row r="12" spans="2:7" x14ac:dyDescent="0.2">
      <c r="B12" s="4" t="s">
        <v>17</v>
      </c>
      <c r="C12" s="10" t="s">
        <v>18</v>
      </c>
      <c r="D12" s="10"/>
      <c r="E12" s="10"/>
      <c r="F12" s="11"/>
      <c r="G12" s="12">
        <v>-86761</v>
      </c>
    </row>
    <row r="13" spans="2:7" x14ac:dyDescent="0.2">
      <c r="B13" s="6" t="s">
        <v>19</v>
      </c>
      <c r="C13" s="10" t="s">
        <v>20</v>
      </c>
      <c r="D13" s="10"/>
      <c r="E13" s="10"/>
      <c r="F13" s="11"/>
      <c r="G13" s="12">
        <v>41610</v>
      </c>
    </row>
    <row r="14" spans="2:7" x14ac:dyDescent="0.2">
      <c r="B14" s="7" t="s">
        <v>21</v>
      </c>
      <c r="C14" s="10" t="s">
        <v>22</v>
      </c>
      <c r="D14" s="10"/>
      <c r="E14" s="10"/>
      <c r="F14" s="13"/>
      <c r="G14" s="14">
        <f>G12+G13</f>
        <v>-45151</v>
      </c>
    </row>
    <row r="15" spans="2:7" x14ac:dyDescent="0.2">
      <c r="B15" s="6">
        <v>2</v>
      </c>
      <c r="C15" s="15">
        <v>43282</v>
      </c>
      <c r="D15" s="16">
        <f>194746-198</f>
        <v>194548</v>
      </c>
      <c r="E15" s="17">
        <v>202303</v>
      </c>
      <c r="F15" s="18">
        <f t="shared" ref="F15:F22" si="0">D15-E15</f>
        <v>-7755</v>
      </c>
      <c r="G15" s="14">
        <f t="shared" ref="G15:G22" si="1">G14+F15</f>
        <v>-52906</v>
      </c>
    </row>
    <row r="16" spans="2:7" x14ac:dyDescent="0.2">
      <c r="B16" s="6">
        <v>3</v>
      </c>
      <c r="C16" s="19">
        <v>43313</v>
      </c>
      <c r="D16" s="20">
        <f>169355-180</f>
        <v>169175</v>
      </c>
      <c r="E16" s="21">
        <v>156485.01</v>
      </c>
      <c r="F16" s="22">
        <f t="shared" si="0"/>
        <v>12689.989999999991</v>
      </c>
      <c r="G16" s="23">
        <f t="shared" si="1"/>
        <v>-40216.010000000009</v>
      </c>
    </row>
    <row r="17" spans="2:7" x14ac:dyDescent="0.2">
      <c r="B17" s="6">
        <v>4</v>
      </c>
      <c r="C17" s="19">
        <v>43344</v>
      </c>
      <c r="D17" s="20">
        <f>168515-193</f>
        <v>168322</v>
      </c>
      <c r="E17" s="21">
        <v>150562.04</v>
      </c>
      <c r="F17" s="22">
        <f t="shared" si="0"/>
        <v>17759.959999999992</v>
      </c>
      <c r="G17" s="23">
        <f t="shared" si="1"/>
        <v>-22456.050000000017</v>
      </c>
    </row>
    <row r="18" spans="2:7" x14ac:dyDescent="0.2">
      <c r="B18" s="6">
        <v>5</v>
      </c>
      <c r="C18" s="19">
        <v>43374</v>
      </c>
      <c r="D18" s="20">
        <f>165396-196</f>
        <v>165200</v>
      </c>
      <c r="E18" s="21">
        <v>162873.34</v>
      </c>
      <c r="F18" s="22">
        <f t="shared" si="0"/>
        <v>2326.6600000000035</v>
      </c>
      <c r="G18" s="23">
        <f t="shared" si="1"/>
        <v>-20129.390000000014</v>
      </c>
    </row>
    <row r="19" spans="2:7" x14ac:dyDescent="0.2">
      <c r="B19" s="6">
        <v>6</v>
      </c>
      <c r="C19" s="19">
        <v>43405</v>
      </c>
      <c r="D19" s="20">
        <f>214925-205</f>
        <v>214720</v>
      </c>
      <c r="E19" s="21">
        <v>218705.56</v>
      </c>
      <c r="F19" s="22">
        <f t="shared" si="0"/>
        <v>-3985.5599999999977</v>
      </c>
      <c r="G19" s="23">
        <f t="shared" si="1"/>
        <v>-24114.950000000012</v>
      </c>
    </row>
    <row r="20" spans="2:7" x14ac:dyDescent="0.2">
      <c r="B20" s="6">
        <v>7</v>
      </c>
      <c r="C20" s="19">
        <v>43435</v>
      </c>
      <c r="D20" s="20">
        <f>266028-214</f>
        <v>265814</v>
      </c>
      <c r="E20" s="21">
        <v>225743.5</v>
      </c>
      <c r="F20" s="24">
        <f t="shared" si="0"/>
        <v>40070.5</v>
      </c>
      <c r="G20" s="25">
        <f t="shared" si="1"/>
        <v>15955.549999999988</v>
      </c>
    </row>
    <row r="21" spans="2:7" x14ac:dyDescent="0.2">
      <c r="B21" s="26" t="s">
        <v>23</v>
      </c>
      <c r="C21" s="15">
        <v>43466</v>
      </c>
      <c r="D21" s="16">
        <f>239382-186</f>
        <v>239196</v>
      </c>
      <c r="E21" s="17">
        <v>230370.33</v>
      </c>
      <c r="F21" s="18">
        <f t="shared" si="0"/>
        <v>8825.6700000000128</v>
      </c>
      <c r="G21" s="14">
        <f t="shared" si="1"/>
        <v>24781.22</v>
      </c>
    </row>
    <row r="22" spans="2:7" x14ac:dyDescent="0.2">
      <c r="B22" s="27" t="s">
        <v>24</v>
      </c>
      <c r="C22" s="28">
        <v>43497</v>
      </c>
      <c r="D22" s="29">
        <f>154795-154</f>
        <v>154641</v>
      </c>
      <c r="E22" s="30">
        <v>169063.52</v>
      </c>
      <c r="F22" s="24">
        <f t="shared" si="0"/>
        <v>-14422.51999999999</v>
      </c>
      <c r="G22" s="25">
        <f t="shared" si="1"/>
        <v>10358.700000000012</v>
      </c>
    </row>
    <row r="23" spans="2:7" x14ac:dyDescent="0.2">
      <c r="B23" s="7"/>
      <c r="C23" s="31" t="s">
        <v>25</v>
      </c>
      <c r="D23" s="32"/>
      <c r="E23" s="32"/>
      <c r="F23" s="32"/>
      <c r="G23" s="33"/>
    </row>
    <row r="24" spans="2:7" x14ac:dyDescent="0.2">
      <c r="B24" s="4"/>
      <c r="C24" s="3"/>
      <c r="D24" s="3"/>
      <c r="E24" s="3"/>
      <c r="F24" s="3"/>
      <c r="G24" s="14"/>
    </row>
    <row r="25" spans="2:7" x14ac:dyDescent="0.2">
      <c r="B25" s="6"/>
      <c r="C25" s="5"/>
      <c r="D25" s="6" t="s">
        <v>26</v>
      </c>
      <c r="E25" s="6" t="s">
        <v>27</v>
      </c>
      <c r="F25" s="5"/>
      <c r="G25" s="23"/>
    </row>
    <row r="26" spans="2:7" x14ac:dyDescent="0.2">
      <c r="B26" s="6">
        <v>8</v>
      </c>
      <c r="C26" s="5"/>
      <c r="D26" s="6" t="s">
        <v>28</v>
      </c>
      <c r="E26" s="6" t="s">
        <v>29</v>
      </c>
      <c r="F26" s="5"/>
      <c r="G26" s="34" t="s">
        <v>26</v>
      </c>
    </row>
    <row r="27" spans="2:7" x14ac:dyDescent="0.2">
      <c r="B27" s="6"/>
      <c r="C27" s="5"/>
      <c r="D27" s="6" t="s">
        <v>30</v>
      </c>
      <c r="E27" s="6" t="s">
        <v>31</v>
      </c>
      <c r="F27" s="5"/>
      <c r="G27" s="34" t="s">
        <v>32</v>
      </c>
    </row>
    <row r="28" spans="2:7" x14ac:dyDescent="0.2">
      <c r="B28" s="6"/>
      <c r="C28" s="5"/>
      <c r="D28" s="6" t="s">
        <v>33</v>
      </c>
      <c r="E28" s="6" t="s">
        <v>34</v>
      </c>
      <c r="F28" s="5"/>
      <c r="G28" s="34" t="s">
        <v>35</v>
      </c>
    </row>
    <row r="29" spans="2:7" x14ac:dyDescent="0.2">
      <c r="B29" s="7"/>
      <c r="C29" s="5"/>
      <c r="D29" s="6" t="s">
        <v>36</v>
      </c>
      <c r="E29" s="6" t="s">
        <v>37</v>
      </c>
      <c r="F29" s="5"/>
      <c r="G29" s="34" t="s">
        <v>38</v>
      </c>
    </row>
    <row r="30" spans="2:7" x14ac:dyDescent="0.2">
      <c r="B30" s="26" t="s">
        <v>39</v>
      </c>
      <c r="C30" s="3" t="s">
        <v>40</v>
      </c>
      <c r="D30" s="14">
        <f>-G12</f>
        <v>86761</v>
      </c>
      <c r="E30" s="14">
        <f>D61</f>
        <v>-72300</v>
      </c>
      <c r="F30" s="3"/>
      <c r="G30" s="14">
        <f>D30+E30</f>
        <v>14461</v>
      </c>
    </row>
    <row r="31" spans="2:7" x14ac:dyDescent="0.2">
      <c r="B31" s="37" t="s">
        <v>41</v>
      </c>
      <c r="C31" s="5" t="s">
        <v>42</v>
      </c>
      <c r="D31" s="23">
        <f>-G13</f>
        <v>-41610</v>
      </c>
      <c r="E31" s="23">
        <f>E61</f>
        <v>0</v>
      </c>
      <c r="F31" s="5"/>
      <c r="G31" s="23">
        <f>D31+E31</f>
        <v>-41610</v>
      </c>
    </row>
    <row r="32" spans="2:7" x14ac:dyDescent="0.2">
      <c r="B32" s="7" t="s">
        <v>43</v>
      </c>
      <c r="C32" s="82"/>
      <c r="D32" s="83"/>
      <c r="E32" s="83"/>
      <c r="F32" s="84" t="s">
        <v>44</v>
      </c>
      <c r="G32" s="44">
        <f>G30+G31</f>
        <v>-27149</v>
      </c>
    </row>
    <row r="33" spans="2:7" x14ac:dyDescent="0.2">
      <c r="B33" s="41"/>
      <c r="G33" s="42"/>
    </row>
    <row r="34" spans="2:7" x14ac:dyDescent="0.2">
      <c r="B34" s="8">
        <v>9</v>
      </c>
      <c r="C34" s="45" t="s">
        <v>45</v>
      </c>
      <c r="D34" s="10"/>
      <c r="E34" s="10"/>
      <c r="F34" s="11"/>
      <c r="G34" s="44">
        <f>G20+G32</f>
        <v>-11193.450000000012</v>
      </c>
    </row>
    <row r="35" spans="2:7" x14ac:dyDescent="0.2">
      <c r="B35" s="41"/>
      <c r="G35" s="42"/>
    </row>
    <row r="36" spans="2:7" x14ac:dyDescent="0.2">
      <c r="B36" s="8">
        <v>10</v>
      </c>
      <c r="C36" s="45" t="s">
        <v>46</v>
      </c>
      <c r="D36" s="10"/>
      <c r="E36" s="10"/>
      <c r="F36" s="11"/>
      <c r="G36" s="44">
        <f>G34/6</f>
        <v>-1865.5750000000019</v>
      </c>
    </row>
    <row r="38" spans="2:7" x14ac:dyDescent="0.2">
      <c r="B38" s="3"/>
      <c r="C38" s="46" t="s">
        <v>47</v>
      </c>
      <c r="D38" s="47"/>
      <c r="E38" s="47"/>
      <c r="F38" s="47"/>
      <c r="G38" s="48"/>
    </row>
    <row r="39" spans="2:7" x14ac:dyDescent="0.2">
      <c r="B39" s="3"/>
      <c r="C39" s="49"/>
      <c r="D39" s="49"/>
      <c r="E39" s="49"/>
      <c r="F39" s="49"/>
      <c r="G39" s="13"/>
    </row>
    <row r="40" spans="2:7" x14ac:dyDescent="0.2">
      <c r="B40" s="6">
        <v>11</v>
      </c>
      <c r="C40" s="50" t="s">
        <v>48</v>
      </c>
      <c r="D40" s="50"/>
      <c r="E40" s="50"/>
      <c r="F40" s="50"/>
      <c r="G40" s="51">
        <f>G14</f>
        <v>-45151</v>
      </c>
    </row>
    <row r="41" spans="2:7" x14ac:dyDescent="0.2">
      <c r="B41" s="6">
        <v>12</v>
      </c>
      <c r="C41" s="50" t="s">
        <v>49</v>
      </c>
      <c r="D41" s="50"/>
      <c r="E41" s="50"/>
      <c r="F41" s="50"/>
      <c r="G41" s="52">
        <f>G32</f>
        <v>-27149</v>
      </c>
    </row>
    <row r="42" spans="2:7" x14ac:dyDescent="0.2">
      <c r="B42" s="6"/>
      <c r="C42" s="50"/>
      <c r="D42" s="50"/>
      <c r="E42" s="50"/>
      <c r="F42" s="50"/>
      <c r="G42" s="51"/>
    </row>
    <row r="43" spans="2:7" ht="15" thickBot="1" x14ac:dyDescent="0.25">
      <c r="B43" s="6">
        <v>13</v>
      </c>
      <c r="C43" s="50" t="s">
        <v>50</v>
      </c>
      <c r="D43" s="50"/>
      <c r="E43" s="50"/>
      <c r="F43" s="50"/>
      <c r="G43" s="53">
        <f>G40+G41</f>
        <v>-72300</v>
      </c>
    </row>
    <row r="44" spans="2:7" ht="15" thickTop="1" x14ac:dyDescent="0.2">
      <c r="B44" s="6"/>
      <c r="C44" s="50"/>
      <c r="D44" s="50"/>
      <c r="E44" s="50"/>
      <c r="F44" s="50"/>
      <c r="G44" s="51"/>
    </row>
    <row r="45" spans="2:7" x14ac:dyDescent="0.2">
      <c r="B45" s="6">
        <v>14</v>
      </c>
      <c r="C45" s="50" t="s">
        <v>51</v>
      </c>
      <c r="D45" s="50"/>
      <c r="E45" s="50"/>
      <c r="F45" s="50"/>
      <c r="G45" s="51">
        <f>G34</f>
        <v>-11193.450000000012</v>
      </c>
    </row>
    <row r="46" spans="2:7" x14ac:dyDescent="0.2">
      <c r="B46" s="6"/>
      <c r="C46" s="50"/>
      <c r="D46" s="50"/>
      <c r="E46" s="50"/>
      <c r="F46" s="50"/>
      <c r="G46" s="51"/>
    </row>
    <row r="47" spans="2:7" x14ac:dyDescent="0.2">
      <c r="B47" s="6">
        <v>15</v>
      </c>
      <c r="C47" s="50" t="s">
        <v>52</v>
      </c>
      <c r="D47" s="50"/>
      <c r="E47" s="50"/>
      <c r="F47" s="50"/>
      <c r="G47" s="52">
        <f>SUM(F15:F20)</f>
        <v>61106.549999999988</v>
      </c>
    </row>
    <row r="48" spans="2:7" x14ac:dyDescent="0.2">
      <c r="B48" s="6"/>
      <c r="C48" s="50"/>
      <c r="D48" s="50"/>
      <c r="E48" s="50"/>
      <c r="F48" s="50"/>
      <c r="G48" s="51"/>
    </row>
    <row r="49" spans="2:7" ht="15" thickBot="1" x14ac:dyDescent="0.25">
      <c r="B49" s="6">
        <v>16</v>
      </c>
      <c r="C49" s="50" t="s">
        <v>53</v>
      </c>
      <c r="D49" s="50"/>
      <c r="E49" s="50"/>
      <c r="F49" s="50"/>
      <c r="G49" s="53">
        <f>G45-G47</f>
        <v>-72300</v>
      </c>
    </row>
    <row r="50" spans="2:7" ht="15" thickTop="1" x14ac:dyDescent="0.2">
      <c r="B50" s="35"/>
      <c r="C50" s="54"/>
      <c r="D50" s="54"/>
      <c r="E50" s="54"/>
      <c r="F50" s="54"/>
      <c r="G50" s="55"/>
    </row>
    <row r="52" spans="2:7" x14ac:dyDescent="0.2">
      <c r="B52" t="s">
        <v>54</v>
      </c>
    </row>
    <row r="53" spans="2:7" x14ac:dyDescent="0.2">
      <c r="B53" s="41"/>
      <c r="C53" s="3"/>
      <c r="D53" s="4" t="s">
        <v>55</v>
      </c>
      <c r="E53" s="4" t="s">
        <v>55</v>
      </c>
      <c r="F53" s="37"/>
    </row>
    <row r="54" spans="2:7" x14ac:dyDescent="0.2">
      <c r="B54" s="41"/>
      <c r="C54" s="7" t="s">
        <v>11</v>
      </c>
      <c r="D54" s="7" t="s">
        <v>56</v>
      </c>
      <c r="E54" s="7" t="s">
        <v>57</v>
      </c>
      <c r="F54" s="37"/>
    </row>
    <row r="55" spans="2:7" x14ac:dyDescent="0.2">
      <c r="C55" s="15">
        <v>43282</v>
      </c>
      <c r="D55" s="14">
        <v>0</v>
      </c>
      <c r="E55" s="16">
        <v>0</v>
      </c>
      <c r="F55" s="22"/>
    </row>
    <row r="56" spans="2:7" x14ac:dyDescent="0.2">
      <c r="C56" s="19">
        <v>43313</v>
      </c>
      <c r="D56" s="23">
        <v>-14460</v>
      </c>
      <c r="E56" s="20">
        <v>0</v>
      </c>
      <c r="F56" s="22"/>
    </row>
    <row r="57" spans="2:7" x14ac:dyDescent="0.2">
      <c r="C57" s="19">
        <v>43344</v>
      </c>
      <c r="D57" s="23">
        <v>-14460</v>
      </c>
      <c r="E57" s="20">
        <v>0</v>
      </c>
      <c r="F57" s="22"/>
    </row>
    <row r="58" spans="2:7" x14ac:dyDescent="0.2">
      <c r="C58" s="19">
        <v>43374</v>
      </c>
      <c r="D58" s="23">
        <v>-14460</v>
      </c>
      <c r="E58" s="20">
        <v>0</v>
      </c>
      <c r="F58" s="22"/>
    </row>
    <row r="59" spans="2:7" x14ac:dyDescent="0.2">
      <c r="C59" s="19">
        <v>43405</v>
      </c>
      <c r="D59" s="23">
        <v>-14460</v>
      </c>
      <c r="E59" s="20">
        <v>0</v>
      </c>
      <c r="F59" s="22"/>
    </row>
    <row r="60" spans="2:7" x14ac:dyDescent="0.2">
      <c r="C60" s="28">
        <v>43435</v>
      </c>
      <c r="D60" s="25">
        <v>-14460</v>
      </c>
      <c r="E60" s="29">
        <v>0</v>
      </c>
      <c r="F60" s="22"/>
    </row>
    <row r="61" spans="2:7" x14ac:dyDescent="0.2">
      <c r="C61" s="56" t="s">
        <v>58</v>
      </c>
      <c r="D61" s="44">
        <f>SUM(D55:D60)</f>
        <v>-72300</v>
      </c>
      <c r="E61" s="44">
        <f>SUM(E55:E60)</f>
        <v>0</v>
      </c>
      <c r="F61" s="22"/>
    </row>
  </sheetData>
  <mergeCells count="2">
    <mergeCell ref="B3:G4"/>
    <mergeCell ref="C11:G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workbookViewId="0">
      <selection activeCell="C37" sqref="C37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ht="14.25" customHeight="1" x14ac:dyDescent="0.2">
      <c r="B3" s="109" t="s">
        <v>81</v>
      </c>
      <c r="C3" s="110"/>
      <c r="D3" s="110"/>
      <c r="E3" s="110"/>
      <c r="F3" s="110"/>
      <c r="G3" s="111"/>
    </row>
    <row r="4" spans="2:7" x14ac:dyDescent="0.2">
      <c r="B4" s="112"/>
      <c r="C4" s="113"/>
      <c r="D4" s="113"/>
      <c r="E4" s="113"/>
      <c r="F4" s="113"/>
      <c r="G4" s="114"/>
    </row>
    <row r="6" spans="2:7" x14ac:dyDescent="0.2">
      <c r="B6" s="3"/>
      <c r="C6" s="3"/>
      <c r="D6" s="3"/>
      <c r="E6" s="4" t="s">
        <v>1</v>
      </c>
      <c r="F6" s="3"/>
      <c r="G6" s="3"/>
    </row>
    <row r="7" spans="2:7" x14ac:dyDescent="0.2">
      <c r="B7" s="5"/>
      <c r="C7" s="5"/>
      <c r="D7" s="6" t="s">
        <v>2</v>
      </c>
      <c r="E7" s="6" t="s">
        <v>3</v>
      </c>
      <c r="F7" s="5"/>
      <c r="G7" s="5"/>
    </row>
    <row r="8" spans="2:7" x14ac:dyDescent="0.2">
      <c r="B8" s="5"/>
      <c r="C8" s="5"/>
      <c r="D8" s="6" t="s">
        <v>4</v>
      </c>
      <c r="E8" s="6" t="s">
        <v>5</v>
      </c>
      <c r="F8" s="6" t="s">
        <v>6</v>
      </c>
      <c r="G8" s="6" t="s">
        <v>7</v>
      </c>
    </row>
    <row r="9" spans="2:7" x14ac:dyDescent="0.2">
      <c r="B9" s="7"/>
      <c r="C9" s="7"/>
      <c r="D9" s="7" t="s">
        <v>8</v>
      </c>
      <c r="E9" s="7" t="s">
        <v>8</v>
      </c>
      <c r="F9" s="7" t="s">
        <v>9</v>
      </c>
      <c r="G9" s="7" t="s">
        <v>9</v>
      </c>
    </row>
    <row r="10" spans="2:7" x14ac:dyDescent="0.2">
      <c r="B10" s="8" t="s">
        <v>10</v>
      </c>
      <c r="C10" s="8" t="s">
        <v>11</v>
      </c>
      <c r="D10" s="9" t="s">
        <v>12</v>
      </c>
      <c r="E10" s="9" t="s">
        <v>13</v>
      </c>
      <c r="F10" s="9" t="s">
        <v>14</v>
      </c>
      <c r="G10" s="9" t="s">
        <v>15</v>
      </c>
    </row>
    <row r="11" spans="2:7" x14ac:dyDescent="0.2">
      <c r="B11" s="4">
        <v>1</v>
      </c>
      <c r="C11" s="115" t="s">
        <v>16</v>
      </c>
      <c r="D11" s="116"/>
      <c r="E11" s="116"/>
      <c r="F11" s="116"/>
      <c r="G11" s="117"/>
    </row>
    <row r="12" spans="2:7" x14ac:dyDescent="0.2">
      <c r="B12" s="4" t="s">
        <v>17</v>
      </c>
      <c r="C12" s="10" t="s">
        <v>18</v>
      </c>
      <c r="D12" s="10"/>
      <c r="E12" s="10"/>
      <c r="F12" s="11"/>
      <c r="G12" s="12">
        <v>-69207</v>
      </c>
    </row>
    <row r="13" spans="2:7" x14ac:dyDescent="0.2">
      <c r="B13" s="6" t="s">
        <v>19</v>
      </c>
      <c r="C13" s="10" t="s">
        <v>20</v>
      </c>
      <c r="D13" s="10"/>
      <c r="E13" s="10"/>
      <c r="F13" s="11"/>
      <c r="G13" s="12">
        <v>-56052</v>
      </c>
    </row>
    <row r="14" spans="2:7" x14ac:dyDescent="0.2">
      <c r="B14" s="7" t="s">
        <v>21</v>
      </c>
      <c r="C14" s="10" t="s">
        <v>22</v>
      </c>
      <c r="D14" s="10"/>
      <c r="E14" s="10"/>
      <c r="F14" s="13"/>
      <c r="G14" s="14">
        <f>G12+G13</f>
        <v>-125259</v>
      </c>
    </row>
    <row r="15" spans="2:7" x14ac:dyDescent="0.2">
      <c r="B15" s="6">
        <v>2</v>
      </c>
      <c r="C15" s="15">
        <v>43282</v>
      </c>
      <c r="D15" s="16">
        <f>592489-0</f>
        <v>592489</v>
      </c>
      <c r="E15" s="17">
        <v>644308.19999999995</v>
      </c>
      <c r="F15" s="18">
        <f t="shared" ref="F15:F22" si="0">D15-E15</f>
        <v>-51819.199999999953</v>
      </c>
      <c r="G15" s="14">
        <f t="shared" ref="G15:G22" si="1">G14+F15</f>
        <v>-177078.19999999995</v>
      </c>
    </row>
    <row r="16" spans="2:7" x14ac:dyDescent="0.2">
      <c r="B16" s="6">
        <v>3</v>
      </c>
      <c r="C16" s="19">
        <v>43313</v>
      </c>
      <c r="D16" s="20">
        <f>524709-0</f>
        <v>524709</v>
      </c>
      <c r="E16" s="21">
        <v>513554.78</v>
      </c>
      <c r="F16" s="22">
        <f t="shared" si="0"/>
        <v>11154.219999999972</v>
      </c>
      <c r="G16" s="23">
        <f t="shared" si="1"/>
        <v>-165923.97999999998</v>
      </c>
    </row>
    <row r="17" spans="2:7" x14ac:dyDescent="0.2">
      <c r="B17" s="6">
        <v>4</v>
      </c>
      <c r="C17" s="19">
        <v>43344</v>
      </c>
      <c r="D17" s="20">
        <f>516642-0</f>
        <v>516642</v>
      </c>
      <c r="E17" s="21">
        <v>509109.5</v>
      </c>
      <c r="F17" s="22">
        <f t="shared" si="0"/>
        <v>7532.5</v>
      </c>
      <c r="G17" s="23">
        <f t="shared" si="1"/>
        <v>-158391.47999999998</v>
      </c>
    </row>
    <row r="18" spans="2:7" x14ac:dyDescent="0.2">
      <c r="B18" s="6">
        <v>5</v>
      </c>
      <c r="C18" s="19">
        <v>43374</v>
      </c>
      <c r="D18" s="20">
        <f>493694-0</f>
        <v>493694</v>
      </c>
      <c r="E18" s="21">
        <v>494193.8</v>
      </c>
      <c r="F18" s="22">
        <f t="shared" si="0"/>
        <v>-499.79999999998836</v>
      </c>
      <c r="G18" s="23">
        <f t="shared" si="1"/>
        <v>-158891.27999999997</v>
      </c>
    </row>
    <row r="19" spans="2:7" x14ac:dyDescent="0.2">
      <c r="B19" s="6">
        <v>6</v>
      </c>
      <c r="C19" s="19">
        <v>43405</v>
      </c>
      <c r="D19" s="20">
        <f>616653-0</f>
        <v>616653</v>
      </c>
      <c r="E19" s="21">
        <v>624099.75</v>
      </c>
      <c r="F19" s="22">
        <f t="shared" si="0"/>
        <v>-7446.75</v>
      </c>
      <c r="G19" s="23">
        <f t="shared" si="1"/>
        <v>-166338.02999999997</v>
      </c>
    </row>
    <row r="20" spans="2:7" x14ac:dyDescent="0.2">
      <c r="B20" s="6">
        <v>7</v>
      </c>
      <c r="C20" s="19">
        <v>43435</v>
      </c>
      <c r="D20" s="20">
        <f>738456-0</f>
        <v>738456</v>
      </c>
      <c r="E20" s="21">
        <v>692984.47</v>
      </c>
      <c r="F20" s="24">
        <f t="shared" si="0"/>
        <v>45471.530000000028</v>
      </c>
      <c r="G20" s="25">
        <f t="shared" si="1"/>
        <v>-120866.49999999994</v>
      </c>
    </row>
    <row r="21" spans="2:7" x14ac:dyDescent="0.2">
      <c r="B21" s="26" t="s">
        <v>23</v>
      </c>
      <c r="C21" s="15">
        <v>43466</v>
      </c>
      <c r="D21" s="16">
        <f>683846-0</f>
        <v>683846</v>
      </c>
      <c r="E21" s="17">
        <v>693647.49</v>
      </c>
      <c r="F21" s="18">
        <f t="shared" si="0"/>
        <v>-9801.4899999999907</v>
      </c>
      <c r="G21" s="14">
        <f t="shared" si="1"/>
        <v>-130667.98999999993</v>
      </c>
    </row>
    <row r="22" spans="2:7" x14ac:dyDescent="0.2">
      <c r="B22" s="27" t="s">
        <v>24</v>
      </c>
      <c r="C22" s="28">
        <v>43497</v>
      </c>
      <c r="D22" s="29">
        <f>471123-0</f>
        <v>471123</v>
      </c>
      <c r="E22" s="30">
        <v>478882.54</v>
      </c>
      <c r="F22" s="24">
        <f t="shared" si="0"/>
        <v>-7759.539999999979</v>
      </c>
      <c r="G22" s="25">
        <f t="shared" si="1"/>
        <v>-138427.52999999991</v>
      </c>
    </row>
    <row r="23" spans="2:7" x14ac:dyDescent="0.2">
      <c r="B23" s="7"/>
      <c r="C23" s="31" t="s">
        <v>25</v>
      </c>
      <c r="D23" s="32"/>
      <c r="E23" s="32"/>
      <c r="F23" s="32"/>
      <c r="G23" s="33"/>
    </row>
    <row r="24" spans="2:7" x14ac:dyDescent="0.2">
      <c r="B24" s="4"/>
      <c r="C24" s="3"/>
      <c r="D24" s="3"/>
      <c r="E24" s="3"/>
      <c r="F24" s="3"/>
      <c r="G24" s="14"/>
    </row>
    <row r="25" spans="2:7" x14ac:dyDescent="0.2">
      <c r="B25" s="6"/>
      <c r="C25" s="5"/>
      <c r="D25" s="6" t="s">
        <v>26</v>
      </c>
      <c r="E25" s="6" t="s">
        <v>27</v>
      </c>
      <c r="F25" s="5"/>
      <c r="G25" s="23"/>
    </row>
    <row r="26" spans="2:7" x14ac:dyDescent="0.2">
      <c r="B26" s="6">
        <v>8</v>
      </c>
      <c r="C26" s="5"/>
      <c r="D26" s="6" t="s">
        <v>28</v>
      </c>
      <c r="E26" s="6" t="s">
        <v>29</v>
      </c>
      <c r="F26" s="5"/>
      <c r="G26" s="34" t="s">
        <v>26</v>
      </c>
    </row>
    <row r="27" spans="2:7" x14ac:dyDescent="0.2">
      <c r="B27" s="6"/>
      <c r="C27" s="5"/>
      <c r="D27" s="6" t="s">
        <v>30</v>
      </c>
      <c r="E27" s="6" t="s">
        <v>31</v>
      </c>
      <c r="F27" s="5"/>
      <c r="G27" s="34" t="s">
        <v>32</v>
      </c>
    </row>
    <row r="28" spans="2:7" x14ac:dyDescent="0.2">
      <c r="B28" s="6"/>
      <c r="C28" s="5"/>
      <c r="D28" s="6" t="s">
        <v>33</v>
      </c>
      <c r="E28" s="6" t="s">
        <v>34</v>
      </c>
      <c r="F28" s="5"/>
      <c r="G28" s="34" t="s">
        <v>35</v>
      </c>
    </row>
    <row r="29" spans="2:7" x14ac:dyDescent="0.2">
      <c r="B29" s="7"/>
      <c r="C29" s="5"/>
      <c r="D29" s="6" t="s">
        <v>36</v>
      </c>
      <c r="E29" s="6" t="s">
        <v>37</v>
      </c>
      <c r="F29" s="5"/>
      <c r="G29" s="34" t="s">
        <v>38</v>
      </c>
    </row>
    <row r="30" spans="2:7" x14ac:dyDescent="0.2">
      <c r="B30" s="26" t="s">
        <v>39</v>
      </c>
      <c r="C30" s="3" t="s">
        <v>40</v>
      </c>
      <c r="D30" s="14">
        <f>-G12</f>
        <v>69207</v>
      </c>
      <c r="E30" s="14">
        <f>D61</f>
        <v>-57675</v>
      </c>
      <c r="F30" s="3"/>
      <c r="G30" s="14">
        <f>D30+E30</f>
        <v>11532</v>
      </c>
    </row>
    <row r="31" spans="2:7" x14ac:dyDescent="0.2">
      <c r="B31" s="37" t="s">
        <v>41</v>
      </c>
      <c r="C31" s="5" t="s">
        <v>42</v>
      </c>
      <c r="D31" s="23">
        <f>-G13</f>
        <v>56052</v>
      </c>
      <c r="E31" s="23">
        <f>E61</f>
        <v>0</v>
      </c>
      <c r="F31" s="5"/>
      <c r="G31" s="23">
        <f>D31+E31</f>
        <v>56052</v>
      </c>
    </row>
    <row r="32" spans="2:7" x14ac:dyDescent="0.2">
      <c r="B32" s="7" t="s">
        <v>43</v>
      </c>
      <c r="C32" s="82"/>
      <c r="D32" s="83"/>
      <c r="E32" s="83"/>
      <c r="F32" s="84" t="s">
        <v>44</v>
      </c>
      <c r="G32" s="44">
        <f>G30+G31</f>
        <v>67584</v>
      </c>
    </row>
    <row r="33" spans="2:7" x14ac:dyDescent="0.2">
      <c r="B33" s="41"/>
      <c r="G33" s="42"/>
    </row>
    <row r="34" spans="2:7" x14ac:dyDescent="0.2">
      <c r="B34" s="8">
        <v>9</v>
      </c>
      <c r="C34" s="45" t="s">
        <v>45</v>
      </c>
      <c r="D34" s="10"/>
      <c r="E34" s="10"/>
      <c r="F34" s="11"/>
      <c r="G34" s="44">
        <f>G20+G32</f>
        <v>-53282.499999999942</v>
      </c>
    </row>
    <row r="35" spans="2:7" x14ac:dyDescent="0.2">
      <c r="B35" s="41"/>
      <c r="G35" s="42"/>
    </row>
    <row r="36" spans="2:7" x14ac:dyDescent="0.2">
      <c r="B36" s="8">
        <v>10</v>
      </c>
      <c r="C36" s="45" t="s">
        <v>46</v>
      </c>
      <c r="D36" s="10"/>
      <c r="E36" s="10"/>
      <c r="F36" s="11"/>
      <c r="G36" s="44">
        <f>G34/6</f>
        <v>-8880.416666666657</v>
      </c>
    </row>
    <row r="38" spans="2:7" x14ac:dyDescent="0.2">
      <c r="B38" s="3"/>
      <c r="C38" s="46" t="s">
        <v>47</v>
      </c>
      <c r="D38" s="47"/>
      <c r="E38" s="47"/>
      <c r="F38" s="47"/>
      <c r="G38" s="48"/>
    </row>
    <row r="39" spans="2:7" x14ac:dyDescent="0.2">
      <c r="B39" s="3"/>
      <c r="C39" s="49"/>
      <c r="D39" s="49"/>
      <c r="E39" s="49"/>
      <c r="F39" s="49"/>
      <c r="G39" s="13"/>
    </row>
    <row r="40" spans="2:7" x14ac:dyDescent="0.2">
      <c r="B40" s="6">
        <v>11</v>
      </c>
      <c r="C40" s="50" t="s">
        <v>48</v>
      </c>
      <c r="D40" s="50"/>
      <c r="E40" s="50"/>
      <c r="F40" s="50"/>
      <c r="G40" s="51">
        <f>G14</f>
        <v>-125259</v>
      </c>
    </row>
    <row r="41" spans="2:7" x14ac:dyDescent="0.2">
      <c r="B41" s="6">
        <v>12</v>
      </c>
      <c r="C41" s="50" t="s">
        <v>49</v>
      </c>
      <c r="D41" s="50"/>
      <c r="E41" s="50"/>
      <c r="F41" s="50"/>
      <c r="G41" s="52">
        <f>G32</f>
        <v>67584</v>
      </c>
    </row>
    <row r="42" spans="2:7" x14ac:dyDescent="0.2">
      <c r="B42" s="6"/>
      <c r="C42" s="50"/>
      <c r="D42" s="50"/>
      <c r="E42" s="50"/>
      <c r="F42" s="50"/>
      <c r="G42" s="51"/>
    </row>
    <row r="43" spans="2:7" ht="15" thickBot="1" x14ac:dyDescent="0.25">
      <c r="B43" s="6">
        <v>13</v>
      </c>
      <c r="C43" s="50" t="s">
        <v>50</v>
      </c>
      <c r="D43" s="50"/>
      <c r="E43" s="50"/>
      <c r="F43" s="50"/>
      <c r="G43" s="53">
        <f>G40+G41</f>
        <v>-57675</v>
      </c>
    </row>
    <row r="44" spans="2:7" ht="15" thickTop="1" x14ac:dyDescent="0.2">
      <c r="B44" s="6"/>
      <c r="C44" s="50"/>
      <c r="D44" s="50"/>
      <c r="E44" s="50"/>
      <c r="F44" s="50"/>
      <c r="G44" s="51"/>
    </row>
    <row r="45" spans="2:7" x14ac:dyDescent="0.2">
      <c r="B45" s="6">
        <v>14</v>
      </c>
      <c r="C45" s="50" t="s">
        <v>51</v>
      </c>
      <c r="D45" s="50"/>
      <c r="E45" s="50"/>
      <c r="F45" s="50"/>
      <c r="G45" s="51">
        <f>G34</f>
        <v>-53282.499999999942</v>
      </c>
    </row>
    <row r="46" spans="2:7" x14ac:dyDescent="0.2">
      <c r="B46" s="6"/>
      <c r="C46" s="50"/>
      <c r="D46" s="50"/>
      <c r="E46" s="50"/>
      <c r="F46" s="50"/>
      <c r="G46" s="51"/>
    </row>
    <row r="47" spans="2:7" x14ac:dyDescent="0.2">
      <c r="B47" s="6">
        <v>15</v>
      </c>
      <c r="C47" s="50" t="s">
        <v>52</v>
      </c>
      <c r="D47" s="50"/>
      <c r="E47" s="50"/>
      <c r="F47" s="50"/>
      <c r="G47" s="52">
        <f>SUM(F15:F20)</f>
        <v>4392.5000000000582</v>
      </c>
    </row>
    <row r="48" spans="2:7" x14ac:dyDescent="0.2">
      <c r="B48" s="6"/>
      <c r="C48" s="50"/>
      <c r="D48" s="50"/>
      <c r="E48" s="50"/>
      <c r="F48" s="50"/>
      <c r="G48" s="51"/>
    </row>
    <row r="49" spans="2:7" ht="15" thickBot="1" x14ac:dyDescent="0.25">
      <c r="B49" s="6">
        <v>16</v>
      </c>
      <c r="C49" s="50" t="s">
        <v>53</v>
      </c>
      <c r="D49" s="50"/>
      <c r="E49" s="50"/>
      <c r="F49" s="50"/>
      <c r="G49" s="53">
        <f>G45-G47</f>
        <v>-57675</v>
      </c>
    </row>
    <row r="50" spans="2:7" ht="15" thickTop="1" x14ac:dyDescent="0.2">
      <c r="B50" s="35"/>
      <c r="C50" s="54"/>
      <c r="D50" s="54"/>
      <c r="E50" s="54"/>
      <c r="F50" s="54"/>
      <c r="G50" s="55"/>
    </row>
    <row r="52" spans="2:7" x14ac:dyDescent="0.2">
      <c r="B52" t="s">
        <v>54</v>
      </c>
    </row>
    <row r="53" spans="2:7" x14ac:dyDescent="0.2">
      <c r="B53" s="41"/>
      <c r="C53" s="3"/>
      <c r="D53" s="4" t="s">
        <v>55</v>
      </c>
      <c r="E53" s="4" t="s">
        <v>55</v>
      </c>
      <c r="F53" s="37"/>
    </row>
    <row r="54" spans="2:7" x14ac:dyDescent="0.2">
      <c r="B54" s="41"/>
      <c r="C54" s="7" t="s">
        <v>11</v>
      </c>
      <c r="D54" s="7" t="s">
        <v>56</v>
      </c>
      <c r="E54" s="7" t="s">
        <v>57</v>
      </c>
      <c r="F54" s="37"/>
    </row>
    <row r="55" spans="2:7" x14ac:dyDescent="0.2">
      <c r="C55" s="15">
        <v>43282</v>
      </c>
      <c r="D55" s="16">
        <v>0</v>
      </c>
      <c r="E55" s="16">
        <v>0</v>
      </c>
      <c r="F55" s="22"/>
    </row>
    <row r="56" spans="2:7" x14ac:dyDescent="0.2">
      <c r="C56" s="19">
        <v>43313</v>
      </c>
      <c r="D56" s="20">
        <v>-11535</v>
      </c>
      <c r="E56" s="20">
        <v>0</v>
      </c>
      <c r="F56" s="22"/>
    </row>
    <row r="57" spans="2:7" x14ac:dyDescent="0.2">
      <c r="C57" s="19">
        <v>43344</v>
      </c>
      <c r="D57" s="20">
        <v>-11535</v>
      </c>
      <c r="E57" s="20">
        <v>0</v>
      </c>
      <c r="F57" s="22"/>
    </row>
    <row r="58" spans="2:7" x14ac:dyDescent="0.2">
      <c r="C58" s="19">
        <v>43374</v>
      </c>
      <c r="D58" s="20">
        <v>-11535</v>
      </c>
      <c r="E58" s="20">
        <v>0</v>
      </c>
      <c r="F58" s="22"/>
    </row>
    <row r="59" spans="2:7" x14ac:dyDescent="0.2">
      <c r="C59" s="19">
        <v>43405</v>
      </c>
      <c r="D59" s="20">
        <v>-11535</v>
      </c>
      <c r="E59" s="20">
        <v>0</v>
      </c>
      <c r="F59" s="22"/>
    </row>
    <row r="60" spans="2:7" x14ac:dyDescent="0.2">
      <c r="C60" s="28">
        <v>43435</v>
      </c>
      <c r="D60" s="29">
        <v>-11535</v>
      </c>
      <c r="E60" s="29">
        <v>0</v>
      </c>
      <c r="F60" s="22"/>
    </row>
    <row r="61" spans="2:7" x14ac:dyDescent="0.2">
      <c r="C61" s="56" t="s">
        <v>58</v>
      </c>
      <c r="D61" s="44">
        <f>SUM(D55:D60)</f>
        <v>-57675</v>
      </c>
      <c r="E61" s="44">
        <f>SUM(E55:E60)</f>
        <v>0</v>
      </c>
      <c r="F61" s="22"/>
    </row>
  </sheetData>
  <mergeCells count="2">
    <mergeCell ref="B3:G4"/>
    <mergeCell ref="C11:G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>
      <selection activeCell="C39" sqref="C39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ht="14.25" customHeight="1" x14ac:dyDescent="0.2">
      <c r="B3" s="109" t="s">
        <v>82</v>
      </c>
      <c r="C3" s="110"/>
      <c r="D3" s="110"/>
      <c r="E3" s="110"/>
      <c r="F3" s="110"/>
      <c r="G3" s="111"/>
    </row>
    <row r="4" spans="2:7" x14ac:dyDescent="0.2">
      <c r="B4" s="112"/>
      <c r="C4" s="113"/>
      <c r="D4" s="113"/>
      <c r="E4" s="113"/>
      <c r="F4" s="113"/>
      <c r="G4" s="114"/>
    </row>
    <row r="6" spans="2:7" x14ac:dyDescent="0.2">
      <c r="B6" s="3"/>
      <c r="C6" s="3"/>
      <c r="D6" s="3"/>
      <c r="E6" s="4" t="s">
        <v>1</v>
      </c>
      <c r="F6" s="3"/>
      <c r="G6" s="3"/>
    </row>
    <row r="7" spans="2:7" x14ac:dyDescent="0.2">
      <c r="B7" s="5"/>
      <c r="C7" s="5"/>
      <c r="D7" s="6" t="s">
        <v>2</v>
      </c>
      <c r="E7" s="6" t="s">
        <v>3</v>
      </c>
      <c r="F7" s="5"/>
      <c r="G7" s="5"/>
    </row>
    <row r="8" spans="2:7" x14ac:dyDescent="0.2">
      <c r="B8" s="5"/>
      <c r="C8" s="5"/>
      <c r="D8" s="6" t="s">
        <v>4</v>
      </c>
      <c r="E8" s="6" t="s">
        <v>5</v>
      </c>
      <c r="F8" s="6" t="s">
        <v>6</v>
      </c>
      <c r="G8" s="6" t="s">
        <v>7</v>
      </c>
    </row>
    <row r="9" spans="2:7" x14ac:dyDescent="0.2">
      <c r="B9" s="7"/>
      <c r="C9" s="7"/>
      <c r="D9" s="7" t="s">
        <v>8</v>
      </c>
      <c r="E9" s="7" t="s">
        <v>8</v>
      </c>
      <c r="F9" s="7" t="s">
        <v>9</v>
      </c>
      <c r="G9" s="7" t="s">
        <v>9</v>
      </c>
    </row>
    <row r="10" spans="2:7" x14ac:dyDescent="0.2">
      <c r="B10" s="8" t="s">
        <v>10</v>
      </c>
      <c r="C10" s="8" t="s">
        <v>11</v>
      </c>
      <c r="D10" s="9" t="s">
        <v>12</v>
      </c>
      <c r="E10" s="9" t="s">
        <v>13</v>
      </c>
      <c r="F10" s="9" t="s">
        <v>14</v>
      </c>
      <c r="G10" s="9" t="s">
        <v>15</v>
      </c>
    </row>
    <row r="11" spans="2:7" x14ac:dyDescent="0.2">
      <c r="B11" s="4">
        <v>1</v>
      </c>
      <c r="C11" s="115" t="s">
        <v>16</v>
      </c>
      <c r="D11" s="116"/>
      <c r="E11" s="116"/>
      <c r="F11" s="116"/>
      <c r="G11" s="117"/>
    </row>
    <row r="12" spans="2:7" x14ac:dyDescent="0.2">
      <c r="B12" s="4" t="s">
        <v>17</v>
      </c>
      <c r="C12" s="10" t="s">
        <v>60</v>
      </c>
      <c r="D12" s="10"/>
      <c r="E12" s="10"/>
      <c r="F12" s="11"/>
      <c r="G12" s="12">
        <v>17455</v>
      </c>
    </row>
    <row r="13" spans="2:7" x14ac:dyDescent="0.2">
      <c r="B13" s="6" t="s">
        <v>19</v>
      </c>
      <c r="C13" s="10" t="s">
        <v>18</v>
      </c>
      <c r="D13" s="10"/>
      <c r="E13" s="10"/>
      <c r="F13" s="11"/>
      <c r="G13" s="12">
        <v>52158</v>
      </c>
    </row>
    <row r="14" spans="2:7" x14ac:dyDescent="0.2">
      <c r="B14" s="6" t="s">
        <v>21</v>
      </c>
      <c r="C14" s="10" t="s">
        <v>20</v>
      </c>
      <c r="D14" s="10"/>
      <c r="E14" s="10"/>
      <c r="F14" s="13"/>
      <c r="G14" s="16">
        <v>294493</v>
      </c>
    </row>
    <row r="15" spans="2:7" x14ac:dyDescent="0.2">
      <c r="B15" s="7" t="s">
        <v>61</v>
      </c>
      <c r="C15" s="10" t="s">
        <v>22</v>
      </c>
      <c r="D15" s="10"/>
      <c r="E15" s="10"/>
      <c r="F15" s="13"/>
      <c r="G15" s="14">
        <f>G12+G13+G14</f>
        <v>364106</v>
      </c>
    </row>
    <row r="16" spans="2:7" x14ac:dyDescent="0.2">
      <c r="B16" s="6">
        <v>2</v>
      </c>
      <c r="C16" s="15">
        <v>43282</v>
      </c>
      <c r="D16" s="16">
        <f>888991-1758-(850+22)</f>
        <v>886361</v>
      </c>
      <c r="E16" s="17">
        <f>780560.7+5170.43+184353.99+18779.32+536.37+17295.34</f>
        <v>1006696.1499999999</v>
      </c>
      <c r="F16" s="18">
        <f t="shared" ref="F16:F23" si="0">D16-E16</f>
        <v>-120335.14999999991</v>
      </c>
      <c r="G16" s="14">
        <f t="shared" ref="G16:G23" si="1">G15+F16</f>
        <v>243770.85000000009</v>
      </c>
    </row>
    <row r="17" spans="2:7" x14ac:dyDescent="0.2">
      <c r="B17" s="6">
        <v>3</v>
      </c>
      <c r="C17" s="19">
        <v>43313</v>
      </c>
      <c r="D17" s="20">
        <f>795679-1586-(773+20)</f>
        <v>793300</v>
      </c>
      <c r="E17" s="21">
        <f>689179.45+4728.11+179001.35+18010.35+560.94+16527.03</f>
        <v>908007.22999999986</v>
      </c>
      <c r="F17" s="22">
        <f t="shared" si="0"/>
        <v>-114707.22999999986</v>
      </c>
      <c r="G17" s="23">
        <f t="shared" si="1"/>
        <v>129063.62000000023</v>
      </c>
    </row>
    <row r="18" spans="2:7" x14ac:dyDescent="0.2">
      <c r="B18" s="6">
        <v>4</v>
      </c>
      <c r="C18" s="19">
        <v>43344</v>
      </c>
      <c r="D18" s="20">
        <f>782901-1699-(828+22)</f>
        <v>780352</v>
      </c>
      <c r="E18" s="21">
        <f>605682.83+4235.81+151910.58+7707.19+522.19+17988.93</f>
        <v>788047.52999999991</v>
      </c>
      <c r="F18" s="22">
        <f t="shared" si="0"/>
        <v>-7695.5299999999115</v>
      </c>
      <c r="G18" s="23">
        <f t="shared" si="1"/>
        <v>121368.09000000032</v>
      </c>
    </row>
    <row r="19" spans="2:7" x14ac:dyDescent="0.2">
      <c r="B19" s="6">
        <v>5</v>
      </c>
      <c r="C19" s="19">
        <v>43374</v>
      </c>
      <c r="D19" s="20">
        <f>729284-1725-(841+22)</f>
        <v>726696</v>
      </c>
      <c r="E19" s="21">
        <f>568221.26+4950.56+164675.87-6475.3+668.99+20119.32</f>
        <v>752160.7</v>
      </c>
      <c r="F19" s="22">
        <f t="shared" si="0"/>
        <v>-25464.699999999953</v>
      </c>
      <c r="G19" s="23">
        <f t="shared" si="1"/>
        <v>95903.390000000363</v>
      </c>
    </row>
    <row r="20" spans="2:7" x14ac:dyDescent="0.2">
      <c r="B20" s="6">
        <v>6</v>
      </c>
      <c r="C20" s="19">
        <v>43405</v>
      </c>
      <c r="D20" s="20">
        <f>845172-1800-(881+23)</f>
        <v>842468</v>
      </c>
      <c r="E20" s="21">
        <f>647425.53+5352.5+178119.02+11848.97+851.13+21297.18</f>
        <v>864894.33000000007</v>
      </c>
      <c r="F20" s="22">
        <f t="shared" si="0"/>
        <v>-22426.330000000075</v>
      </c>
      <c r="G20" s="23">
        <f t="shared" si="1"/>
        <v>73477.060000000289</v>
      </c>
    </row>
    <row r="21" spans="2:7" x14ac:dyDescent="0.2">
      <c r="B21" s="6">
        <v>7</v>
      </c>
      <c r="C21" s="19">
        <v>43435</v>
      </c>
      <c r="D21" s="20">
        <f>1037006-1876-(918+24)</f>
        <v>1034188</v>
      </c>
      <c r="E21" s="21">
        <f>738078.32+5169.06+157008.28-12832.02+790.95+20083.8</f>
        <v>908298.39</v>
      </c>
      <c r="F21" s="24">
        <f t="shared" si="0"/>
        <v>125889.60999999999</v>
      </c>
      <c r="G21" s="25">
        <f t="shared" si="1"/>
        <v>199366.67000000027</v>
      </c>
    </row>
    <row r="22" spans="2:7" x14ac:dyDescent="0.2">
      <c r="B22" s="26" t="s">
        <v>23</v>
      </c>
      <c r="C22" s="15">
        <v>43466</v>
      </c>
      <c r="D22" s="16">
        <f>976221-1634-(801+21)</f>
        <v>973765</v>
      </c>
      <c r="E22" s="17">
        <f>863877.22+5689.38+182257.11+45980.72+942.43+22868.48</f>
        <v>1121615.3399999999</v>
      </c>
      <c r="F22" s="18">
        <f t="shared" si="0"/>
        <v>-147850.33999999985</v>
      </c>
      <c r="G22" s="14">
        <f t="shared" si="1"/>
        <v>51516.330000000424</v>
      </c>
    </row>
    <row r="23" spans="2:7" x14ac:dyDescent="0.2">
      <c r="B23" s="27" t="s">
        <v>24</v>
      </c>
      <c r="C23" s="28">
        <v>43497</v>
      </c>
      <c r="D23" s="29">
        <f>650526-1353-(663+18)</f>
        <v>648492</v>
      </c>
      <c r="E23" s="30">
        <f>646842.65+3669.2+131285.42+41161.98+553.07+18114.72</f>
        <v>841627.03999999992</v>
      </c>
      <c r="F23" s="24">
        <f t="shared" si="0"/>
        <v>-193135.03999999992</v>
      </c>
      <c r="G23" s="25">
        <f t="shared" si="1"/>
        <v>-141618.7099999995</v>
      </c>
    </row>
    <row r="24" spans="2:7" x14ac:dyDescent="0.2">
      <c r="B24" s="7"/>
      <c r="C24" s="31" t="s">
        <v>25</v>
      </c>
      <c r="D24" s="32"/>
      <c r="E24" s="32"/>
      <c r="F24" s="32"/>
      <c r="G24" s="33"/>
    </row>
    <row r="25" spans="2:7" x14ac:dyDescent="0.2">
      <c r="B25" s="4"/>
      <c r="C25" s="3"/>
      <c r="D25" s="3"/>
      <c r="E25" s="3"/>
      <c r="F25" s="3"/>
      <c r="G25" s="14"/>
    </row>
    <row r="26" spans="2:7" x14ac:dyDescent="0.2">
      <c r="B26" s="6"/>
      <c r="C26" s="5"/>
      <c r="D26" s="6" t="s">
        <v>26</v>
      </c>
      <c r="E26" s="6" t="s">
        <v>27</v>
      </c>
      <c r="F26" s="5"/>
      <c r="G26" s="23"/>
    </row>
    <row r="27" spans="2:7" x14ac:dyDescent="0.2">
      <c r="B27" s="6">
        <v>8</v>
      </c>
      <c r="C27" s="5"/>
      <c r="D27" s="6" t="s">
        <v>28</v>
      </c>
      <c r="E27" s="6" t="s">
        <v>29</v>
      </c>
      <c r="F27" s="5"/>
      <c r="G27" s="34" t="s">
        <v>26</v>
      </c>
    </row>
    <row r="28" spans="2:7" x14ac:dyDescent="0.2">
      <c r="B28" s="6"/>
      <c r="C28" s="5"/>
      <c r="D28" s="6" t="s">
        <v>30</v>
      </c>
      <c r="E28" s="6" t="s">
        <v>31</v>
      </c>
      <c r="F28" s="5"/>
      <c r="G28" s="34" t="s">
        <v>32</v>
      </c>
    </row>
    <row r="29" spans="2:7" x14ac:dyDescent="0.2">
      <c r="B29" s="6"/>
      <c r="C29" s="5"/>
      <c r="D29" s="6" t="s">
        <v>33</v>
      </c>
      <c r="E29" s="6" t="s">
        <v>34</v>
      </c>
      <c r="F29" s="5"/>
      <c r="G29" s="34" t="s">
        <v>35</v>
      </c>
    </row>
    <row r="30" spans="2:7" x14ac:dyDescent="0.2">
      <c r="B30" s="7"/>
      <c r="C30" s="5"/>
      <c r="D30" s="6" t="s">
        <v>36</v>
      </c>
      <c r="E30" s="6" t="s">
        <v>37</v>
      </c>
      <c r="F30" s="5"/>
      <c r="G30" s="34" t="s">
        <v>38</v>
      </c>
    </row>
    <row r="31" spans="2:7" x14ac:dyDescent="0.2">
      <c r="B31" s="26" t="s">
        <v>39</v>
      </c>
      <c r="C31" s="3" t="s">
        <v>62</v>
      </c>
      <c r="D31" s="14">
        <f>-G12</f>
        <v>-17455</v>
      </c>
      <c r="E31" s="14">
        <f>D63</f>
        <v>17455</v>
      </c>
      <c r="F31" s="3"/>
      <c r="G31" s="14">
        <f>D31+E31</f>
        <v>0</v>
      </c>
    </row>
    <row r="32" spans="2:7" x14ac:dyDescent="0.2">
      <c r="B32" s="37" t="s">
        <v>41</v>
      </c>
      <c r="C32" s="5" t="s">
        <v>40</v>
      </c>
      <c r="D32" s="23">
        <f>-G13</f>
        <v>-52158</v>
      </c>
      <c r="E32" s="23">
        <f>E63</f>
        <v>34772</v>
      </c>
      <c r="F32" s="5"/>
      <c r="G32" s="23">
        <f>D32+E32</f>
        <v>-17386</v>
      </c>
    </row>
    <row r="33" spans="2:7" x14ac:dyDescent="0.2">
      <c r="B33" s="37" t="s">
        <v>43</v>
      </c>
      <c r="C33" s="35" t="s">
        <v>42</v>
      </c>
      <c r="D33" s="25">
        <f>-G14</f>
        <v>-294493</v>
      </c>
      <c r="E33" s="25">
        <f>G63</f>
        <v>0</v>
      </c>
      <c r="F33" s="35"/>
      <c r="G33" s="25">
        <f>D33+E33</f>
        <v>-294493</v>
      </c>
    </row>
    <row r="34" spans="2:7" x14ac:dyDescent="0.2">
      <c r="B34" s="7" t="s">
        <v>63</v>
      </c>
      <c r="C34" s="38"/>
      <c r="D34" s="39"/>
      <c r="E34" s="39"/>
      <c r="F34" s="40" t="s">
        <v>44</v>
      </c>
      <c r="G34" s="25">
        <f>G31+G32+G33</f>
        <v>-311879</v>
      </c>
    </row>
    <row r="35" spans="2:7" x14ac:dyDescent="0.2">
      <c r="B35" s="41"/>
      <c r="G35" s="42"/>
    </row>
    <row r="36" spans="2:7" x14ac:dyDescent="0.2">
      <c r="B36" s="8">
        <v>9</v>
      </c>
      <c r="C36" s="45" t="s">
        <v>64</v>
      </c>
      <c r="D36" s="10"/>
      <c r="E36" s="10"/>
      <c r="F36" s="11"/>
      <c r="G36" s="44">
        <f>G21+G34</f>
        <v>-112512.32999999973</v>
      </c>
    </row>
    <row r="37" spans="2:7" x14ac:dyDescent="0.2">
      <c r="B37" s="41"/>
      <c r="G37" s="42"/>
    </row>
    <row r="38" spans="2:7" x14ac:dyDescent="0.2">
      <c r="B38" s="8">
        <v>10</v>
      </c>
      <c r="C38" s="45" t="s">
        <v>46</v>
      </c>
      <c r="D38" s="10"/>
      <c r="E38" s="10"/>
      <c r="F38" s="11"/>
      <c r="G38" s="44">
        <f>G36/6</f>
        <v>-18752.054999999953</v>
      </c>
    </row>
    <row r="40" spans="2:7" x14ac:dyDescent="0.2">
      <c r="B40" s="3"/>
      <c r="C40" s="46" t="s">
        <v>47</v>
      </c>
      <c r="D40" s="47"/>
      <c r="E40" s="47"/>
      <c r="F40" s="47"/>
      <c r="G40" s="48"/>
    </row>
    <row r="41" spans="2:7" x14ac:dyDescent="0.2">
      <c r="B41" s="3"/>
      <c r="C41" s="49"/>
      <c r="D41" s="49"/>
      <c r="E41" s="49"/>
      <c r="F41" s="49"/>
      <c r="G41" s="13"/>
    </row>
    <row r="42" spans="2:7" x14ac:dyDescent="0.2">
      <c r="B42" s="6">
        <v>11</v>
      </c>
      <c r="C42" s="50" t="s">
        <v>48</v>
      </c>
      <c r="D42" s="50"/>
      <c r="E42" s="50"/>
      <c r="F42" s="50"/>
      <c r="G42" s="51">
        <f>G15</f>
        <v>364106</v>
      </c>
    </row>
    <row r="43" spans="2:7" x14ac:dyDescent="0.2">
      <c r="B43" s="6">
        <v>12</v>
      </c>
      <c r="C43" s="50" t="s">
        <v>49</v>
      </c>
      <c r="D43" s="50"/>
      <c r="E43" s="50"/>
      <c r="F43" s="50"/>
      <c r="G43" s="52">
        <f>G34</f>
        <v>-311879</v>
      </c>
    </row>
    <row r="44" spans="2:7" x14ac:dyDescent="0.2">
      <c r="B44" s="6"/>
      <c r="C44" s="50"/>
      <c r="D44" s="50"/>
      <c r="E44" s="50"/>
      <c r="F44" s="50"/>
      <c r="G44" s="51"/>
    </row>
    <row r="45" spans="2:7" ht="15" thickBot="1" x14ac:dyDescent="0.25">
      <c r="B45" s="6">
        <v>13</v>
      </c>
      <c r="C45" s="50" t="s">
        <v>50</v>
      </c>
      <c r="D45" s="50"/>
      <c r="E45" s="50"/>
      <c r="F45" s="50"/>
      <c r="G45" s="53">
        <f>G42+G43</f>
        <v>52227</v>
      </c>
    </row>
    <row r="46" spans="2:7" ht="15" thickTop="1" x14ac:dyDescent="0.2">
      <c r="B46" s="6"/>
      <c r="C46" s="50"/>
      <c r="D46" s="50"/>
      <c r="E46" s="50"/>
      <c r="F46" s="50"/>
      <c r="G46" s="51"/>
    </row>
    <row r="47" spans="2:7" x14ac:dyDescent="0.2">
      <c r="B47" s="6">
        <v>14</v>
      </c>
      <c r="C47" s="50" t="s">
        <v>51</v>
      </c>
      <c r="D47" s="50"/>
      <c r="E47" s="50"/>
      <c r="F47" s="50"/>
      <c r="G47" s="51">
        <f>G36</f>
        <v>-112512.32999999973</v>
      </c>
    </row>
    <row r="48" spans="2:7" x14ac:dyDescent="0.2">
      <c r="B48" s="6"/>
      <c r="C48" s="50"/>
      <c r="D48" s="50"/>
      <c r="E48" s="50"/>
      <c r="F48" s="50"/>
      <c r="G48" s="51"/>
    </row>
    <row r="49" spans="2:7" x14ac:dyDescent="0.2">
      <c r="B49" s="6">
        <v>15</v>
      </c>
      <c r="C49" s="50" t="s">
        <v>52</v>
      </c>
      <c r="D49" s="50"/>
      <c r="E49" s="50"/>
      <c r="F49" s="50"/>
      <c r="G49" s="52">
        <f>SUM(F16:F21)</f>
        <v>-164739.32999999973</v>
      </c>
    </row>
    <row r="50" spans="2:7" x14ac:dyDescent="0.2">
      <c r="B50" s="6"/>
      <c r="C50" s="50"/>
      <c r="D50" s="50"/>
      <c r="E50" s="50"/>
      <c r="F50" s="50"/>
      <c r="G50" s="51"/>
    </row>
    <row r="51" spans="2:7" ht="15" thickBot="1" x14ac:dyDescent="0.25">
      <c r="B51" s="6">
        <v>16</v>
      </c>
      <c r="C51" s="50" t="s">
        <v>53</v>
      </c>
      <c r="D51" s="50"/>
      <c r="E51" s="50"/>
      <c r="F51" s="50"/>
      <c r="G51" s="53">
        <f>G47-G49</f>
        <v>52227</v>
      </c>
    </row>
    <row r="52" spans="2:7" ht="15" thickTop="1" x14ac:dyDescent="0.2">
      <c r="B52" s="35"/>
      <c r="C52" s="54"/>
      <c r="D52" s="54"/>
      <c r="E52" s="54"/>
      <c r="F52" s="54"/>
      <c r="G52" s="55"/>
    </row>
    <row r="54" spans="2:7" x14ac:dyDescent="0.2">
      <c r="B54" t="s">
        <v>54</v>
      </c>
    </row>
    <row r="55" spans="2:7" x14ac:dyDescent="0.2">
      <c r="B55" s="41"/>
      <c r="C55" s="3"/>
      <c r="D55" s="4" t="s">
        <v>55</v>
      </c>
      <c r="E55" s="4" t="s">
        <v>55</v>
      </c>
      <c r="F55" s="4" t="s">
        <v>55</v>
      </c>
      <c r="G55" s="37"/>
    </row>
    <row r="56" spans="2:7" x14ac:dyDescent="0.2">
      <c r="B56" s="41"/>
      <c r="C56" s="7" t="s">
        <v>11</v>
      </c>
      <c r="D56" s="7" t="s">
        <v>65</v>
      </c>
      <c r="E56" s="7" t="s">
        <v>56</v>
      </c>
      <c r="F56" s="7" t="s">
        <v>57</v>
      </c>
      <c r="G56" s="37"/>
    </row>
    <row r="57" spans="2:7" x14ac:dyDescent="0.2">
      <c r="C57" s="15">
        <v>43282</v>
      </c>
      <c r="D57" s="16">
        <v>17455</v>
      </c>
      <c r="E57" s="16">
        <v>0</v>
      </c>
      <c r="F57" s="14">
        <v>0</v>
      </c>
      <c r="G57" s="22"/>
    </row>
    <row r="58" spans="2:7" x14ac:dyDescent="0.2">
      <c r="C58" s="19">
        <v>43313</v>
      </c>
      <c r="D58" s="20">
        <v>0</v>
      </c>
      <c r="E58" s="20">
        <v>0</v>
      </c>
      <c r="F58" s="23">
        <v>0</v>
      </c>
      <c r="G58" s="22"/>
    </row>
    <row r="59" spans="2:7" x14ac:dyDescent="0.2">
      <c r="C59" s="19">
        <v>43344</v>
      </c>
      <c r="D59" s="20">
        <v>0</v>
      </c>
      <c r="E59" s="20">
        <v>8693</v>
      </c>
      <c r="F59" s="23">
        <v>0</v>
      </c>
      <c r="G59" s="22"/>
    </row>
    <row r="60" spans="2:7" x14ac:dyDescent="0.2">
      <c r="C60" s="19">
        <v>43374</v>
      </c>
      <c r="D60" s="20">
        <v>0</v>
      </c>
      <c r="E60" s="20">
        <v>8693</v>
      </c>
      <c r="F60" s="23">
        <v>0</v>
      </c>
      <c r="G60" s="22"/>
    </row>
    <row r="61" spans="2:7" x14ac:dyDescent="0.2">
      <c r="C61" s="19">
        <v>43405</v>
      </c>
      <c r="D61" s="20">
        <v>0</v>
      </c>
      <c r="E61" s="20">
        <v>8693</v>
      </c>
      <c r="F61" s="23">
        <v>0</v>
      </c>
      <c r="G61" s="22"/>
    </row>
    <row r="62" spans="2:7" x14ac:dyDescent="0.2">
      <c r="C62" s="28">
        <v>43435</v>
      </c>
      <c r="D62" s="20">
        <v>0</v>
      </c>
      <c r="E62" s="29">
        <v>8693</v>
      </c>
      <c r="F62" s="25">
        <v>0</v>
      </c>
      <c r="G62" s="22"/>
    </row>
    <row r="63" spans="2:7" x14ac:dyDescent="0.2">
      <c r="C63" s="56" t="s">
        <v>58</v>
      </c>
      <c r="D63" s="44">
        <f>SUM(D57:D62)</f>
        <v>17455</v>
      </c>
      <c r="E63" s="44">
        <f>SUM(E57:E62)</f>
        <v>34772</v>
      </c>
      <c r="F63" s="44">
        <f>SUM(F57:F62)</f>
        <v>0</v>
      </c>
      <c r="G63" s="22"/>
    </row>
  </sheetData>
  <mergeCells count="2">
    <mergeCell ref="B3:G4"/>
    <mergeCell ref="C11:G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C2" sqref="C2"/>
    </sheetView>
  </sheetViews>
  <sheetFormatPr defaultColWidth="12.625" defaultRowHeight="14.25" x14ac:dyDescent="0.2"/>
  <cols>
    <col min="2" max="6" width="17.625" customWidth="1"/>
  </cols>
  <sheetData>
    <row r="1" spans="1:7" ht="15" x14ac:dyDescent="0.2">
      <c r="A1" s="1"/>
      <c r="B1" s="1"/>
      <c r="C1" s="1"/>
      <c r="D1" s="1"/>
      <c r="E1" s="1"/>
      <c r="F1" s="1"/>
      <c r="G1" s="1"/>
    </row>
    <row r="2" spans="1:7" ht="15" x14ac:dyDescent="0.2">
      <c r="A2" s="1"/>
      <c r="B2" s="1"/>
      <c r="C2" s="1"/>
      <c r="D2" s="1"/>
      <c r="E2" s="1"/>
      <c r="F2" s="1"/>
      <c r="G2" s="1"/>
    </row>
    <row r="3" spans="1:7" ht="15" customHeight="1" x14ac:dyDescent="0.2">
      <c r="A3" s="1"/>
      <c r="B3" s="118" t="s">
        <v>83</v>
      </c>
      <c r="C3" s="119"/>
      <c r="D3" s="119"/>
      <c r="E3" s="119"/>
      <c r="F3" s="120"/>
      <c r="G3" s="1"/>
    </row>
    <row r="4" spans="1:7" ht="15" customHeight="1" x14ac:dyDescent="0.2">
      <c r="A4" s="1"/>
      <c r="B4" s="121"/>
      <c r="C4" s="122"/>
      <c r="D4" s="122"/>
      <c r="E4" s="122"/>
      <c r="F4" s="123"/>
      <c r="G4" s="1"/>
    </row>
    <row r="5" spans="1:7" ht="15" x14ac:dyDescent="0.2">
      <c r="A5" s="1"/>
      <c r="B5" s="1"/>
      <c r="C5" s="1"/>
      <c r="D5" s="1"/>
      <c r="E5" s="1"/>
      <c r="F5" s="1"/>
      <c r="G5" s="1"/>
    </row>
    <row r="6" spans="1:7" ht="15.75" x14ac:dyDescent="0.25">
      <c r="A6" s="1"/>
      <c r="B6" s="58" t="s">
        <v>84</v>
      </c>
      <c r="C6" s="1"/>
      <c r="D6" s="1"/>
      <c r="E6" s="1"/>
      <c r="F6" s="1"/>
      <c r="G6" s="1"/>
    </row>
    <row r="7" spans="1:7" ht="15" x14ac:dyDescent="0.2">
      <c r="A7" s="1"/>
      <c r="B7" s="1"/>
      <c r="C7" s="1"/>
      <c r="D7" s="1"/>
      <c r="E7" s="1"/>
      <c r="F7" s="1"/>
      <c r="G7" s="1"/>
    </row>
    <row r="8" spans="1:7" ht="15" x14ac:dyDescent="0.2">
      <c r="A8" s="1"/>
      <c r="B8" s="85"/>
      <c r="C8" s="85"/>
      <c r="D8" s="86" t="s">
        <v>1</v>
      </c>
      <c r="E8" s="85"/>
      <c r="F8" s="85"/>
      <c r="G8" s="1"/>
    </row>
    <row r="9" spans="1:7" ht="15" x14ac:dyDescent="0.2">
      <c r="A9" s="1"/>
      <c r="B9" s="87"/>
      <c r="C9" s="88" t="s">
        <v>2</v>
      </c>
      <c r="D9" s="88" t="s">
        <v>3</v>
      </c>
      <c r="E9" s="87"/>
      <c r="F9" s="87"/>
      <c r="G9" s="1"/>
    </row>
    <row r="10" spans="1:7" ht="15" x14ac:dyDescent="0.2">
      <c r="A10" s="1"/>
      <c r="B10" s="87"/>
      <c r="C10" s="88" t="s">
        <v>4</v>
      </c>
      <c r="D10" s="88" t="s">
        <v>5</v>
      </c>
      <c r="E10" s="88" t="s">
        <v>6</v>
      </c>
      <c r="F10" s="88" t="s">
        <v>7</v>
      </c>
      <c r="G10" s="1"/>
    </row>
    <row r="11" spans="1:7" ht="15" x14ac:dyDescent="0.2">
      <c r="A11" s="1"/>
      <c r="B11" s="89"/>
      <c r="C11" s="89" t="s">
        <v>8</v>
      </c>
      <c r="D11" s="89" t="s">
        <v>8</v>
      </c>
      <c r="E11" s="89" t="s">
        <v>9</v>
      </c>
      <c r="F11" s="89" t="s">
        <v>9</v>
      </c>
      <c r="G11" s="1"/>
    </row>
    <row r="12" spans="1:7" ht="15" x14ac:dyDescent="0.2">
      <c r="A12" s="1"/>
      <c r="B12" s="90" t="s">
        <v>11</v>
      </c>
      <c r="C12" s="91" t="s">
        <v>74</v>
      </c>
      <c r="D12" s="91" t="s">
        <v>12</v>
      </c>
      <c r="E12" s="91" t="s">
        <v>13</v>
      </c>
      <c r="F12" s="91" t="s">
        <v>14</v>
      </c>
      <c r="G12" s="1"/>
    </row>
    <row r="13" spans="1:7" ht="15" x14ac:dyDescent="0.2">
      <c r="A13" s="1"/>
      <c r="B13" s="92">
        <v>43282</v>
      </c>
      <c r="C13" s="93">
        <v>462793</v>
      </c>
      <c r="D13" s="93">
        <v>462793</v>
      </c>
      <c r="E13" s="94">
        <f t="shared" ref="E13:E20" si="0">C13-D13</f>
        <v>0</v>
      </c>
      <c r="F13" s="94">
        <f>E13</f>
        <v>0</v>
      </c>
      <c r="G13" s="1"/>
    </row>
    <row r="14" spans="1:7" ht="15" x14ac:dyDescent="0.2">
      <c r="A14" s="1"/>
      <c r="B14" s="95">
        <v>43313</v>
      </c>
      <c r="C14" s="96">
        <v>430932</v>
      </c>
      <c r="D14" s="96">
        <v>430932</v>
      </c>
      <c r="E14" s="97">
        <f t="shared" si="0"/>
        <v>0</v>
      </c>
      <c r="F14" s="97">
        <f>F13+E14</f>
        <v>0</v>
      </c>
      <c r="G14" s="1"/>
    </row>
    <row r="15" spans="1:7" ht="15" x14ac:dyDescent="0.2">
      <c r="A15" s="1"/>
      <c r="B15" s="95">
        <v>43344</v>
      </c>
      <c r="C15" s="96">
        <v>366150</v>
      </c>
      <c r="D15" s="96">
        <v>366150</v>
      </c>
      <c r="E15" s="97">
        <f t="shared" si="0"/>
        <v>0</v>
      </c>
      <c r="F15" s="97">
        <f t="shared" ref="F15:F18" si="1">F14+E15</f>
        <v>0</v>
      </c>
      <c r="G15" s="1"/>
    </row>
    <row r="16" spans="1:7" ht="15" x14ac:dyDescent="0.2">
      <c r="A16" s="1"/>
      <c r="B16" s="95">
        <v>43374</v>
      </c>
      <c r="C16" s="96">
        <v>483512</v>
      </c>
      <c r="D16" s="96">
        <v>483512</v>
      </c>
      <c r="E16" s="97">
        <f t="shared" si="0"/>
        <v>0</v>
      </c>
      <c r="F16" s="97">
        <f t="shared" si="1"/>
        <v>0</v>
      </c>
      <c r="G16" s="1"/>
    </row>
    <row r="17" spans="1:7" ht="15" x14ac:dyDescent="0.2">
      <c r="A17" s="1"/>
      <c r="B17" s="95">
        <v>43405</v>
      </c>
      <c r="C17" s="96">
        <v>470722</v>
      </c>
      <c r="D17" s="96">
        <v>470722</v>
      </c>
      <c r="E17" s="97">
        <f t="shared" si="0"/>
        <v>0</v>
      </c>
      <c r="F17" s="97">
        <f t="shared" si="1"/>
        <v>0</v>
      </c>
      <c r="G17" s="1"/>
    </row>
    <row r="18" spans="1:7" ht="15" x14ac:dyDescent="0.2">
      <c r="A18" s="1"/>
      <c r="B18" s="98">
        <v>43435</v>
      </c>
      <c r="C18" s="99">
        <v>597641</v>
      </c>
      <c r="D18" s="99">
        <v>597641</v>
      </c>
      <c r="E18" s="100">
        <f t="shared" si="0"/>
        <v>0</v>
      </c>
      <c r="F18" s="100">
        <f t="shared" si="1"/>
        <v>0</v>
      </c>
      <c r="G18" s="1"/>
    </row>
    <row r="19" spans="1:7" ht="15" x14ac:dyDescent="0.2">
      <c r="A19" s="1"/>
      <c r="B19" s="95">
        <v>43466</v>
      </c>
      <c r="C19" s="93">
        <v>434024</v>
      </c>
      <c r="D19" s="93">
        <v>434024</v>
      </c>
      <c r="E19" s="97">
        <f t="shared" si="0"/>
        <v>0</v>
      </c>
      <c r="F19" s="97">
        <f>F18+E19</f>
        <v>0</v>
      </c>
      <c r="G19" s="1"/>
    </row>
    <row r="20" spans="1:7" ht="15" x14ac:dyDescent="0.2">
      <c r="A20" s="1"/>
      <c r="B20" s="98">
        <v>43497</v>
      </c>
      <c r="C20" s="99">
        <v>368974</v>
      </c>
      <c r="D20" s="99">
        <v>368974</v>
      </c>
      <c r="E20" s="100">
        <f t="shared" si="0"/>
        <v>0</v>
      </c>
      <c r="F20" s="100">
        <f>F19+E20</f>
        <v>0</v>
      </c>
      <c r="G20" s="1"/>
    </row>
    <row r="21" spans="1:7" ht="15" x14ac:dyDescent="0.2">
      <c r="A21" s="1"/>
      <c r="B21" s="1"/>
      <c r="C21" s="1"/>
      <c r="D21" s="1"/>
      <c r="E21" s="1"/>
      <c r="F21" s="1"/>
      <c r="G21" s="1"/>
    </row>
    <row r="22" spans="1:7" ht="15" x14ac:dyDescent="0.2">
      <c r="A22" s="1"/>
      <c r="B22" s="101" t="s">
        <v>75</v>
      </c>
      <c r="C22" s="102"/>
      <c r="D22" s="102"/>
      <c r="E22" s="103"/>
      <c r="F22" s="104">
        <f>F18</f>
        <v>0</v>
      </c>
      <c r="G22" s="1"/>
    </row>
    <row r="23" spans="1:7" ht="15" x14ac:dyDescent="0.2">
      <c r="A23" s="1"/>
      <c r="B23" s="1"/>
      <c r="C23" s="1"/>
      <c r="D23" s="1"/>
      <c r="E23" s="1"/>
      <c r="F23" s="105"/>
      <c r="G23" s="1"/>
    </row>
    <row r="24" spans="1:7" ht="15" x14ac:dyDescent="0.2">
      <c r="A24" s="1"/>
      <c r="B24" s="101" t="s">
        <v>76</v>
      </c>
      <c r="C24" s="102"/>
      <c r="D24" s="102"/>
      <c r="E24" s="103"/>
      <c r="F24" s="104">
        <f>F22/6</f>
        <v>0</v>
      </c>
      <c r="G24" s="1"/>
    </row>
    <row r="25" spans="1:7" ht="15" x14ac:dyDescent="0.2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58" t="s">
        <v>85</v>
      </c>
      <c r="C26" s="1"/>
      <c r="D26" s="1"/>
      <c r="E26" s="1"/>
      <c r="F26" s="1"/>
      <c r="G26" s="1"/>
    </row>
    <row r="27" spans="1:7" ht="15" x14ac:dyDescent="0.2">
      <c r="A27" s="1"/>
      <c r="B27" s="1"/>
      <c r="C27" s="1"/>
      <c r="D27" s="1"/>
      <c r="E27" s="1"/>
      <c r="F27" s="1"/>
      <c r="G27" s="1"/>
    </row>
    <row r="28" spans="1:7" ht="15" x14ac:dyDescent="0.2">
      <c r="A28" s="1"/>
      <c r="B28" s="85"/>
      <c r="C28" s="85"/>
      <c r="D28" s="86" t="s">
        <v>1</v>
      </c>
      <c r="E28" s="85"/>
      <c r="F28" s="85"/>
      <c r="G28" s="1"/>
    </row>
    <row r="29" spans="1:7" ht="15" x14ac:dyDescent="0.2">
      <c r="A29" s="1"/>
      <c r="B29" s="87"/>
      <c r="C29" s="88" t="s">
        <v>2</v>
      </c>
      <c r="D29" s="88" t="s">
        <v>3</v>
      </c>
      <c r="E29" s="87"/>
      <c r="F29" s="87"/>
      <c r="G29" s="1"/>
    </row>
    <row r="30" spans="1:7" ht="15" x14ac:dyDescent="0.2">
      <c r="A30" s="1"/>
      <c r="B30" s="87"/>
      <c r="C30" s="88" t="s">
        <v>4</v>
      </c>
      <c r="D30" s="88" t="s">
        <v>5</v>
      </c>
      <c r="E30" s="88" t="s">
        <v>6</v>
      </c>
      <c r="F30" s="88" t="s">
        <v>7</v>
      </c>
      <c r="G30" s="1"/>
    </row>
    <row r="31" spans="1:7" ht="15" x14ac:dyDescent="0.2">
      <c r="A31" s="1"/>
      <c r="B31" s="89"/>
      <c r="C31" s="89" t="s">
        <v>8</v>
      </c>
      <c r="D31" s="89" t="s">
        <v>8</v>
      </c>
      <c r="E31" s="89" t="s">
        <v>9</v>
      </c>
      <c r="F31" s="89" t="s">
        <v>9</v>
      </c>
      <c r="G31" s="1"/>
    </row>
    <row r="32" spans="1:7" ht="15" x14ac:dyDescent="0.2">
      <c r="A32" s="1"/>
      <c r="B32" s="90" t="s">
        <v>11</v>
      </c>
      <c r="C32" s="91" t="s">
        <v>74</v>
      </c>
      <c r="D32" s="91" t="s">
        <v>12</v>
      </c>
      <c r="E32" s="91" t="s">
        <v>13</v>
      </c>
      <c r="F32" s="91" t="s">
        <v>14</v>
      </c>
      <c r="G32" s="1"/>
    </row>
    <row r="33" spans="1:7" ht="15" x14ac:dyDescent="0.2">
      <c r="A33" s="1"/>
      <c r="B33" s="92">
        <v>43282</v>
      </c>
      <c r="C33" s="106">
        <f>167337+(850+22)</f>
        <v>168209</v>
      </c>
      <c r="D33" s="93">
        <v>168209</v>
      </c>
      <c r="E33" s="94">
        <f t="shared" ref="E33:E40" si="2">C33-D33</f>
        <v>0</v>
      </c>
      <c r="F33" s="94">
        <f>+E33</f>
        <v>0</v>
      </c>
      <c r="G33" s="1"/>
    </row>
    <row r="34" spans="1:7" ht="15" x14ac:dyDescent="0.2">
      <c r="A34" s="1"/>
      <c r="B34" s="95">
        <v>43313</v>
      </c>
      <c r="C34" s="106">
        <f>159645+(773+20)</f>
        <v>160438</v>
      </c>
      <c r="D34" s="96">
        <v>160438</v>
      </c>
      <c r="E34" s="97">
        <f t="shared" si="2"/>
        <v>0</v>
      </c>
      <c r="F34" s="97">
        <f>F33+E34</f>
        <v>0</v>
      </c>
      <c r="G34" s="1"/>
    </row>
    <row r="35" spans="1:7" ht="15" x14ac:dyDescent="0.2">
      <c r="A35" s="1"/>
      <c r="B35" s="95">
        <v>43344</v>
      </c>
      <c r="C35" s="106">
        <f>160109+(828+22)</f>
        <v>160959</v>
      </c>
      <c r="D35" s="96">
        <v>160959</v>
      </c>
      <c r="E35" s="97">
        <f t="shared" si="2"/>
        <v>0</v>
      </c>
      <c r="F35" s="97">
        <f t="shared" ref="F35:F38" si="3">F34+E35</f>
        <v>0</v>
      </c>
      <c r="G35" s="1"/>
    </row>
    <row r="36" spans="1:7" ht="15" x14ac:dyDescent="0.2">
      <c r="A36" s="1"/>
      <c r="B36" s="95">
        <v>43374</v>
      </c>
      <c r="C36" s="106">
        <f>177370+(841+22)</f>
        <v>178233</v>
      </c>
      <c r="D36" s="96">
        <v>178233</v>
      </c>
      <c r="E36" s="97">
        <f t="shared" si="2"/>
        <v>0</v>
      </c>
      <c r="F36" s="97">
        <f t="shared" si="3"/>
        <v>0</v>
      </c>
      <c r="G36" s="1"/>
    </row>
    <row r="37" spans="1:7" ht="15" x14ac:dyDescent="0.2">
      <c r="A37" s="1"/>
      <c r="B37" s="95">
        <v>43405</v>
      </c>
      <c r="C37" s="106">
        <f>181384+(881+23)</f>
        <v>182288</v>
      </c>
      <c r="D37" s="96">
        <v>182288</v>
      </c>
      <c r="E37" s="97">
        <f t="shared" si="2"/>
        <v>0</v>
      </c>
      <c r="F37" s="97">
        <f t="shared" si="3"/>
        <v>0</v>
      </c>
      <c r="G37" s="1"/>
    </row>
    <row r="38" spans="1:7" ht="15" x14ac:dyDescent="0.2">
      <c r="A38" s="1"/>
      <c r="B38" s="98">
        <v>43435</v>
      </c>
      <c r="C38" s="99">
        <f>207856+(918+24)</f>
        <v>208798</v>
      </c>
      <c r="D38" s="99">
        <v>208798</v>
      </c>
      <c r="E38" s="100">
        <f t="shared" si="2"/>
        <v>0</v>
      </c>
      <c r="F38" s="100">
        <f t="shared" si="3"/>
        <v>0</v>
      </c>
      <c r="G38" s="1"/>
    </row>
    <row r="39" spans="1:7" ht="15" x14ac:dyDescent="0.2">
      <c r="A39" s="1"/>
      <c r="B39" s="95">
        <v>43466</v>
      </c>
      <c r="C39" s="93">
        <f>172060+(801+21)</f>
        <v>172882</v>
      </c>
      <c r="D39" s="93">
        <v>172882</v>
      </c>
      <c r="E39" s="97">
        <f t="shared" si="2"/>
        <v>0</v>
      </c>
      <c r="F39" s="97">
        <f>F38+E39</f>
        <v>0</v>
      </c>
      <c r="G39" s="1"/>
    </row>
    <row r="40" spans="1:7" ht="15" x14ac:dyDescent="0.2">
      <c r="A40" s="1"/>
      <c r="B40" s="98">
        <v>43497</v>
      </c>
      <c r="C40" s="99">
        <f>138081+(663+18)</f>
        <v>138762</v>
      </c>
      <c r="D40" s="99">
        <v>138762</v>
      </c>
      <c r="E40" s="100">
        <f t="shared" si="2"/>
        <v>0</v>
      </c>
      <c r="F40" s="100">
        <f>F39+E40</f>
        <v>0</v>
      </c>
      <c r="G40" s="1"/>
    </row>
    <row r="41" spans="1:7" ht="15" x14ac:dyDescent="0.2">
      <c r="A41" s="1"/>
      <c r="B41" s="1"/>
      <c r="C41" s="1"/>
      <c r="D41" s="1"/>
      <c r="E41" s="1"/>
      <c r="F41" s="1"/>
      <c r="G41" s="1"/>
    </row>
    <row r="42" spans="1:7" ht="15" x14ac:dyDescent="0.2">
      <c r="A42" s="1"/>
      <c r="B42" s="101" t="s">
        <v>75</v>
      </c>
      <c r="C42" s="102"/>
      <c r="D42" s="102"/>
      <c r="E42" s="103"/>
      <c r="F42" s="104">
        <f>F38</f>
        <v>0</v>
      </c>
      <c r="G42" s="1"/>
    </row>
    <row r="43" spans="1:7" ht="15" x14ac:dyDescent="0.2">
      <c r="A43" s="1"/>
      <c r="B43" s="1"/>
      <c r="C43" s="1"/>
      <c r="D43" s="1"/>
      <c r="E43" s="1"/>
      <c r="F43" s="105"/>
      <c r="G43" s="1"/>
    </row>
    <row r="44" spans="1:7" ht="15" x14ac:dyDescent="0.2">
      <c r="A44" s="1"/>
      <c r="B44" s="101" t="s">
        <v>76</v>
      </c>
      <c r="C44" s="102"/>
      <c r="D44" s="102"/>
      <c r="E44" s="103"/>
      <c r="F44" s="104">
        <f>F42/6</f>
        <v>0</v>
      </c>
      <c r="G44" s="1"/>
    </row>
    <row r="45" spans="1:7" ht="15" x14ac:dyDescent="0.2">
      <c r="A45" s="1"/>
      <c r="B45" s="1"/>
      <c r="C45" s="1"/>
      <c r="D45" s="1"/>
      <c r="E45" s="1"/>
      <c r="F45" s="1"/>
      <c r="G45" s="1"/>
    </row>
    <row r="46" spans="1:7" ht="15" x14ac:dyDescent="0.2">
      <c r="A46" s="1"/>
      <c r="B46" s="1"/>
      <c r="C46" s="1"/>
      <c r="D46" s="1"/>
      <c r="E46" s="1"/>
      <c r="F46" s="1"/>
      <c r="G46" s="1"/>
    </row>
  </sheetData>
  <mergeCells count="1">
    <mergeCell ref="B3:F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>
      <selection activeCell="C39" sqref="C39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ht="14.25" customHeight="1" x14ac:dyDescent="0.2">
      <c r="B3" s="109" t="s">
        <v>86</v>
      </c>
      <c r="C3" s="110"/>
      <c r="D3" s="110"/>
      <c r="E3" s="110"/>
      <c r="F3" s="110"/>
      <c r="G3" s="111"/>
    </row>
    <row r="4" spans="2:7" x14ac:dyDescent="0.2">
      <c r="B4" s="112"/>
      <c r="C4" s="113"/>
      <c r="D4" s="113"/>
      <c r="E4" s="113"/>
      <c r="F4" s="113"/>
      <c r="G4" s="114"/>
    </row>
    <row r="6" spans="2:7" x14ac:dyDescent="0.2">
      <c r="B6" s="3"/>
      <c r="C6" s="3"/>
      <c r="D6" s="3"/>
      <c r="E6" s="4" t="s">
        <v>1</v>
      </c>
      <c r="F6" s="3"/>
      <c r="G6" s="3"/>
    </row>
    <row r="7" spans="2:7" x14ac:dyDescent="0.2">
      <c r="B7" s="5"/>
      <c r="C7" s="5"/>
      <c r="D7" s="6" t="s">
        <v>2</v>
      </c>
      <c r="E7" s="6" t="s">
        <v>3</v>
      </c>
      <c r="F7" s="5"/>
      <c r="G7" s="5"/>
    </row>
    <row r="8" spans="2:7" x14ac:dyDescent="0.2">
      <c r="B8" s="5"/>
      <c r="C8" s="5"/>
      <c r="D8" s="6" t="s">
        <v>4</v>
      </c>
      <c r="E8" s="6" t="s">
        <v>5</v>
      </c>
      <c r="F8" s="6" t="s">
        <v>6</v>
      </c>
      <c r="G8" s="6" t="s">
        <v>7</v>
      </c>
    </row>
    <row r="9" spans="2:7" x14ac:dyDescent="0.2">
      <c r="B9" s="7"/>
      <c r="C9" s="7"/>
      <c r="D9" s="7" t="s">
        <v>8</v>
      </c>
      <c r="E9" s="7" t="s">
        <v>8</v>
      </c>
      <c r="F9" s="7" t="s">
        <v>9</v>
      </c>
      <c r="G9" s="7" t="s">
        <v>9</v>
      </c>
    </row>
    <row r="10" spans="2:7" x14ac:dyDescent="0.2">
      <c r="B10" s="8" t="s">
        <v>10</v>
      </c>
      <c r="C10" s="8" t="s">
        <v>11</v>
      </c>
      <c r="D10" s="9" t="s">
        <v>12</v>
      </c>
      <c r="E10" s="9" t="s">
        <v>13</v>
      </c>
      <c r="F10" s="9" t="s">
        <v>14</v>
      </c>
      <c r="G10" s="9" t="s">
        <v>15</v>
      </c>
    </row>
    <row r="11" spans="2:7" x14ac:dyDescent="0.2">
      <c r="B11" s="4">
        <v>1</v>
      </c>
      <c r="C11" s="115" t="s">
        <v>16</v>
      </c>
      <c r="D11" s="116"/>
      <c r="E11" s="116"/>
      <c r="F11" s="116"/>
      <c r="G11" s="117"/>
    </row>
    <row r="12" spans="2:7" x14ac:dyDescent="0.2">
      <c r="B12" s="4" t="s">
        <v>17</v>
      </c>
      <c r="C12" s="10" t="s">
        <v>60</v>
      </c>
      <c r="D12" s="10"/>
      <c r="E12" s="10"/>
      <c r="F12" s="11"/>
      <c r="G12" s="12">
        <v>-5442</v>
      </c>
    </row>
    <row r="13" spans="2:7" x14ac:dyDescent="0.2">
      <c r="B13" s="6" t="s">
        <v>19</v>
      </c>
      <c r="C13" s="10" t="s">
        <v>18</v>
      </c>
      <c r="D13" s="10"/>
      <c r="E13" s="10"/>
      <c r="F13" s="11"/>
      <c r="G13" s="12">
        <v>-164563</v>
      </c>
    </row>
    <row r="14" spans="2:7" x14ac:dyDescent="0.2">
      <c r="B14" s="6" t="s">
        <v>21</v>
      </c>
      <c r="C14" s="10" t="s">
        <v>20</v>
      </c>
      <c r="D14" s="10"/>
      <c r="E14" s="10"/>
      <c r="F14" s="11"/>
      <c r="G14" s="12">
        <v>-143471</v>
      </c>
    </row>
    <row r="15" spans="2:7" x14ac:dyDescent="0.2">
      <c r="B15" s="7" t="s">
        <v>61</v>
      </c>
      <c r="C15" s="10" t="s">
        <v>22</v>
      </c>
      <c r="D15" s="10"/>
      <c r="E15" s="10"/>
      <c r="F15" s="13"/>
      <c r="G15" s="14">
        <f>G12+G13+G14</f>
        <v>-313476</v>
      </c>
    </row>
    <row r="16" spans="2:7" x14ac:dyDescent="0.2">
      <c r="B16" s="6">
        <v>2</v>
      </c>
      <c r="C16" s="15">
        <v>43282</v>
      </c>
      <c r="D16" s="16">
        <f>998142-1102-7091</f>
        <v>989949</v>
      </c>
      <c r="E16" s="17">
        <v>1069314.74</v>
      </c>
      <c r="F16" s="18">
        <f t="shared" ref="F16:F23" si="0">D16-E16</f>
        <v>-79365.739999999991</v>
      </c>
      <c r="G16" s="14">
        <f t="shared" ref="G16:G23" si="1">G15+F16</f>
        <v>-392841.74</v>
      </c>
    </row>
    <row r="17" spans="2:7" x14ac:dyDescent="0.2">
      <c r="B17" s="6">
        <v>3</v>
      </c>
      <c r="C17" s="19">
        <v>43313</v>
      </c>
      <c r="D17" s="20">
        <f>896687-987-5933</f>
        <v>889767</v>
      </c>
      <c r="E17" s="21">
        <v>1073017.71</v>
      </c>
      <c r="F17" s="22">
        <f t="shared" si="0"/>
        <v>-183250.70999999996</v>
      </c>
      <c r="G17" s="23">
        <f t="shared" si="1"/>
        <v>-576092.44999999995</v>
      </c>
    </row>
    <row r="18" spans="2:7" x14ac:dyDescent="0.2">
      <c r="B18" s="6">
        <v>4</v>
      </c>
      <c r="C18" s="19">
        <v>43344</v>
      </c>
      <c r="D18" s="20">
        <f>883067-1053-6176</f>
        <v>875838</v>
      </c>
      <c r="E18" s="21">
        <v>782301.25</v>
      </c>
      <c r="F18" s="22">
        <f t="shared" si="0"/>
        <v>93536.75</v>
      </c>
      <c r="G18" s="23">
        <f t="shared" si="1"/>
        <v>-482555.69999999995</v>
      </c>
    </row>
    <row r="19" spans="2:7" x14ac:dyDescent="0.2">
      <c r="B19" s="6">
        <v>5</v>
      </c>
      <c r="C19" s="19">
        <v>43374</v>
      </c>
      <c r="D19" s="20">
        <f>822869-1064-8816</f>
        <v>812989</v>
      </c>
      <c r="E19" s="21">
        <v>742240.09</v>
      </c>
      <c r="F19" s="22">
        <f t="shared" si="0"/>
        <v>70748.910000000033</v>
      </c>
      <c r="G19" s="23">
        <f t="shared" si="1"/>
        <v>-411806.78999999992</v>
      </c>
    </row>
    <row r="20" spans="2:7" x14ac:dyDescent="0.2">
      <c r="B20" s="6">
        <v>6</v>
      </c>
      <c r="C20" s="19">
        <v>43405</v>
      </c>
      <c r="D20" s="20">
        <f>954616-1113-7666</f>
        <v>945837</v>
      </c>
      <c r="E20" s="21">
        <v>840897.56</v>
      </c>
      <c r="F20" s="22">
        <f t="shared" si="0"/>
        <v>104939.43999999994</v>
      </c>
      <c r="G20" s="23">
        <f t="shared" si="1"/>
        <v>-306867.34999999998</v>
      </c>
    </row>
    <row r="21" spans="2:7" x14ac:dyDescent="0.2">
      <c r="B21" s="6">
        <v>7</v>
      </c>
      <c r="C21" s="19">
        <v>43435</v>
      </c>
      <c r="D21" s="20">
        <f>1152031-1148-7019</f>
        <v>1143864</v>
      </c>
      <c r="E21" s="21">
        <v>983416.85</v>
      </c>
      <c r="F21" s="24">
        <f t="shared" si="0"/>
        <v>160447.15000000002</v>
      </c>
      <c r="G21" s="25">
        <f t="shared" si="1"/>
        <v>-146420.19999999995</v>
      </c>
    </row>
    <row r="22" spans="2:7" x14ac:dyDescent="0.2">
      <c r="B22" s="26" t="s">
        <v>23</v>
      </c>
      <c r="C22" s="15">
        <v>43466</v>
      </c>
      <c r="D22" s="16">
        <f>1038528-996-5005</f>
        <v>1032527</v>
      </c>
      <c r="E22" s="17">
        <v>1155592.05</v>
      </c>
      <c r="F22" s="18">
        <f t="shared" si="0"/>
        <v>-123065.05000000005</v>
      </c>
      <c r="G22" s="14">
        <f t="shared" si="1"/>
        <v>-269485.25</v>
      </c>
    </row>
    <row r="23" spans="2:7" x14ac:dyDescent="0.2">
      <c r="B23" s="27" t="s">
        <v>24</v>
      </c>
      <c r="C23" s="28">
        <v>43497</v>
      </c>
      <c r="D23" s="29">
        <f>716316-824-1976</f>
        <v>713516</v>
      </c>
      <c r="E23" s="30">
        <v>982909.28</v>
      </c>
      <c r="F23" s="24">
        <f t="shared" si="0"/>
        <v>-269393.28000000003</v>
      </c>
      <c r="G23" s="25">
        <f t="shared" si="1"/>
        <v>-538878.53</v>
      </c>
    </row>
    <row r="24" spans="2:7" x14ac:dyDescent="0.2">
      <c r="B24" s="7"/>
      <c r="C24" s="31" t="s">
        <v>25</v>
      </c>
      <c r="D24" s="32"/>
      <c r="E24" s="32"/>
      <c r="F24" s="32"/>
      <c r="G24" s="33"/>
    </row>
    <row r="25" spans="2:7" x14ac:dyDescent="0.2">
      <c r="B25" s="4"/>
      <c r="C25" s="3"/>
      <c r="D25" s="3"/>
      <c r="E25" s="3"/>
      <c r="F25" s="3"/>
      <c r="G25" s="14"/>
    </row>
    <row r="26" spans="2:7" x14ac:dyDescent="0.2">
      <c r="B26" s="6"/>
      <c r="C26" s="5"/>
      <c r="D26" s="6" t="s">
        <v>26</v>
      </c>
      <c r="E26" s="6" t="s">
        <v>27</v>
      </c>
      <c r="F26" s="5"/>
      <c r="G26" s="23"/>
    </row>
    <row r="27" spans="2:7" x14ac:dyDescent="0.2">
      <c r="B27" s="6">
        <v>8</v>
      </c>
      <c r="C27" s="5"/>
      <c r="D27" s="6" t="s">
        <v>28</v>
      </c>
      <c r="E27" s="6" t="s">
        <v>29</v>
      </c>
      <c r="F27" s="5"/>
      <c r="G27" s="34" t="s">
        <v>26</v>
      </c>
    </row>
    <row r="28" spans="2:7" x14ac:dyDescent="0.2">
      <c r="B28" s="6"/>
      <c r="C28" s="5"/>
      <c r="D28" s="6" t="s">
        <v>30</v>
      </c>
      <c r="E28" s="6" t="s">
        <v>31</v>
      </c>
      <c r="F28" s="5"/>
      <c r="G28" s="34" t="s">
        <v>32</v>
      </c>
    </row>
    <row r="29" spans="2:7" x14ac:dyDescent="0.2">
      <c r="B29" s="6"/>
      <c r="C29" s="5"/>
      <c r="D29" s="6" t="s">
        <v>33</v>
      </c>
      <c r="E29" s="6" t="s">
        <v>34</v>
      </c>
      <c r="F29" s="5"/>
      <c r="G29" s="34" t="s">
        <v>35</v>
      </c>
    </row>
    <row r="30" spans="2:7" x14ac:dyDescent="0.2">
      <c r="B30" s="7"/>
      <c r="C30" s="5"/>
      <c r="D30" s="6" t="s">
        <v>36</v>
      </c>
      <c r="E30" s="6" t="s">
        <v>37</v>
      </c>
      <c r="F30" s="5"/>
      <c r="G30" s="34" t="s">
        <v>38</v>
      </c>
    </row>
    <row r="31" spans="2:7" x14ac:dyDescent="0.2">
      <c r="B31" s="26" t="s">
        <v>39</v>
      </c>
      <c r="C31" s="3" t="s">
        <v>62</v>
      </c>
      <c r="D31" s="14">
        <f>-G12</f>
        <v>5442</v>
      </c>
      <c r="E31" s="14">
        <f>D63</f>
        <v>-5442</v>
      </c>
      <c r="F31" s="3"/>
      <c r="G31" s="14">
        <f>D31+E31</f>
        <v>0</v>
      </c>
    </row>
    <row r="32" spans="2:7" x14ac:dyDescent="0.2">
      <c r="B32" s="37" t="s">
        <v>41</v>
      </c>
      <c r="C32" s="5" t="s">
        <v>40</v>
      </c>
      <c r="D32" s="23">
        <f>-G13</f>
        <v>164563</v>
      </c>
      <c r="E32" s="23">
        <f>E63</f>
        <v>-109708</v>
      </c>
      <c r="F32" s="5"/>
      <c r="G32" s="23">
        <f>D32+E32</f>
        <v>54855</v>
      </c>
    </row>
    <row r="33" spans="2:7" x14ac:dyDescent="0.2">
      <c r="B33" s="37" t="s">
        <v>43</v>
      </c>
      <c r="C33" s="35" t="s">
        <v>42</v>
      </c>
      <c r="D33" s="25">
        <f>-G14</f>
        <v>143471</v>
      </c>
      <c r="E33" s="25">
        <f>F63</f>
        <v>0</v>
      </c>
      <c r="F33" s="35"/>
      <c r="G33" s="25">
        <f>D33+E33</f>
        <v>143471</v>
      </c>
    </row>
    <row r="34" spans="2:7" x14ac:dyDescent="0.2">
      <c r="B34" s="7" t="s">
        <v>63</v>
      </c>
      <c r="C34" s="38"/>
      <c r="D34" s="39"/>
      <c r="E34" s="39"/>
      <c r="F34" s="40" t="s">
        <v>44</v>
      </c>
      <c r="G34" s="25">
        <f>G31+G32+G33</f>
        <v>198326</v>
      </c>
    </row>
    <row r="35" spans="2:7" x14ac:dyDescent="0.2">
      <c r="B35" s="41"/>
      <c r="G35" s="42"/>
    </row>
    <row r="36" spans="2:7" x14ac:dyDescent="0.2">
      <c r="B36" s="8">
        <v>9</v>
      </c>
      <c r="C36" s="45" t="s">
        <v>64</v>
      </c>
      <c r="D36" s="10"/>
      <c r="E36" s="10"/>
      <c r="F36" s="11"/>
      <c r="G36" s="44">
        <f>G21+G34</f>
        <v>51905.800000000047</v>
      </c>
    </row>
    <row r="37" spans="2:7" x14ac:dyDescent="0.2">
      <c r="B37" s="41"/>
      <c r="G37" s="42"/>
    </row>
    <row r="38" spans="2:7" x14ac:dyDescent="0.2">
      <c r="B38" s="8">
        <v>10</v>
      </c>
      <c r="C38" s="45" t="s">
        <v>46</v>
      </c>
      <c r="D38" s="10"/>
      <c r="E38" s="10"/>
      <c r="F38" s="11"/>
      <c r="G38" s="44">
        <f>G36/6</f>
        <v>8650.9666666666744</v>
      </c>
    </row>
    <row r="40" spans="2:7" x14ac:dyDescent="0.2">
      <c r="B40" s="3"/>
      <c r="C40" s="46" t="s">
        <v>47</v>
      </c>
      <c r="D40" s="47"/>
      <c r="E40" s="47"/>
      <c r="F40" s="47"/>
      <c r="G40" s="48"/>
    </row>
    <row r="41" spans="2:7" x14ac:dyDescent="0.2">
      <c r="B41" s="3"/>
      <c r="C41" s="49"/>
      <c r="D41" s="49"/>
      <c r="E41" s="49"/>
      <c r="F41" s="49"/>
      <c r="G41" s="13"/>
    </row>
    <row r="42" spans="2:7" x14ac:dyDescent="0.2">
      <c r="B42" s="6">
        <v>11</v>
      </c>
      <c r="C42" s="50" t="s">
        <v>48</v>
      </c>
      <c r="D42" s="50"/>
      <c r="E42" s="50"/>
      <c r="F42" s="50"/>
      <c r="G42" s="51">
        <f>G15</f>
        <v>-313476</v>
      </c>
    </row>
    <row r="43" spans="2:7" x14ac:dyDescent="0.2">
      <c r="B43" s="6">
        <v>12</v>
      </c>
      <c r="C43" s="50" t="s">
        <v>49</v>
      </c>
      <c r="D43" s="50"/>
      <c r="E43" s="50"/>
      <c r="F43" s="50"/>
      <c r="G43" s="52">
        <f>G34</f>
        <v>198326</v>
      </c>
    </row>
    <row r="44" spans="2:7" x14ac:dyDescent="0.2">
      <c r="B44" s="6"/>
      <c r="C44" s="50"/>
      <c r="D44" s="50"/>
      <c r="E44" s="50"/>
      <c r="F44" s="50"/>
      <c r="G44" s="51"/>
    </row>
    <row r="45" spans="2:7" ht="15" thickBot="1" x14ac:dyDescent="0.25">
      <c r="B45" s="6">
        <v>13</v>
      </c>
      <c r="C45" s="50" t="s">
        <v>50</v>
      </c>
      <c r="D45" s="50"/>
      <c r="E45" s="50"/>
      <c r="F45" s="50"/>
      <c r="G45" s="53">
        <f>G42+G43</f>
        <v>-115150</v>
      </c>
    </row>
    <row r="46" spans="2:7" ht="15" thickTop="1" x14ac:dyDescent="0.2">
      <c r="B46" s="6"/>
      <c r="C46" s="50"/>
      <c r="D46" s="50"/>
      <c r="E46" s="50"/>
      <c r="F46" s="50"/>
      <c r="G46" s="51"/>
    </row>
    <row r="47" spans="2:7" x14ac:dyDescent="0.2">
      <c r="B47" s="6">
        <v>14</v>
      </c>
      <c r="C47" s="50" t="s">
        <v>51</v>
      </c>
      <c r="D47" s="50"/>
      <c r="E47" s="50"/>
      <c r="F47" s="50"/>
      <c r="G47" s="51">
        <f>G36</f>
        <v>51905.800000000047</v>
      </c>
    </row>
    <row r="48" spans="2:7" x14ac:dyDescent="0.2">
      <c r="B48" s="6"/>
      <c r="C48" s="50"/>
      <c r="D48" s="50"/>
      <c r="E48" s="50"/>
      <c r="F48" s="50"/>
      <c r="G48" s="51"/>
    </row>
    <row r="49" spans="2:7" x14ac:dyDescent="0.2">
      <c r="B49" s="6">
        <v>15</v>
      </c>
      <c r="C49" s="50" t="s">
        <v>52</v>
      </c>
      <c r="D49" s="50"/>
      <c r="E49" s="50"/>
      <c r="F49" s="50"/>
      <c r="G49" s="52">
        <f>SUM(F16:F21)</f>
        <v>167055.80000000005</v>
      </c>
    </row>
    <row r="50" spans="2:7" x14ac:dyDescent="0.2">
      <c r="B50" s="6"/>
      <c r="C50" s="50"/>
      <c r="D50" s="50"/>
      <c r="E50" s="50"/>
      <c r="F50" s="50"/>
      <c r="G50" s="51"/>
    </row>
    <row r="51" spans="2:7" ht="15" thickBot="1" x14ac:dyDescent="0.25">
      <c r="B51" s="6">
        <v>16</v>
      </c>
      <c r="C51" s="50" t="s">
        <v>53</v>
      </c>
      <c r="D51" s="50"/>
      <c r="E51" s="50"/>
      <c r="F51" s="50"/>
      <c r="G51" s="53">
        <f>G47-G49</f>
        <v>-115150</v>
      </c>
    </row>
    <row r="52" spans="2:7" ht="15" thickTop="1" x14ac:dyDescent="0.2">
      <c r="B52" s="35"/>
      <c r="C52" s="54"/>
      <c r="D52" s="54"/>
      <c r="E52" s="54"/>
      <c r="F52" s="54"/>
      <c r="G52" s="55"/>
    </row>
    <row r="54" spans="2:7" x14ac:dyDescent="0.2">
      <c r="B54" t="s">
        <v>54</v>
      </c>
    </row>
    <row r="55" spans="2:7" x14ac:dyDescent="0.2">
      <c r="B55" s="41"/>
      <c r="C55" s="3"/>
      <c r="D55" s="4" t="s">
        <v>55</v>
      </c>
      <c r="E55" s="4" t="s">
        <v>55</v>
      </c>
      <c r="F55" s="4" t="s">
        <v>55</v>
      </c>
    </row>
    <row r="56" spans="2:7" x14ac:dyDescent="0.2">
      <c r="B56" s="41"/>
      <c r="C56" s="7" t="s">
        <v>11</v>
      </c>
      <c r="D56" s="7" t="s">
        <v>65</v>
      </c>
      <c r="E56" s="7" t="s">
        <v>56</v>
      </c>
      <c r="F56" s="7" t="s">
        <v>57</v>
      </c>
    </row>
    <row r="57" spans="2:7" x14ac:dyDescent="0.2">
      <c r="C57" s="15">
        <v>43282</v>
      </c>
      <c r="D57" s="16">
        <v>-5442</v>
      </c>
      <c r="E57" s="16">
        <v>0</v>
      </c>
      <c r="F57" s="14">
        <v>0</v>
      </c>
    </row>
    <row r="58" spans="2:7" x14ac:dyDescent="0.2">
      <c r="C58" s="19">
        <v>43313</v>
      </c>
      <c r="D58" s="20">
        <v>0</v>
      </c>
      <c r="E58" s="20">
        <v>0</v>
      </c>
      <c r="F58" s="23">
        <v>0</v>
      </c>
    </row>
    <row r="59" spans="2:7" x14ac:dyDescent="0.2">
      <c r="C59" s="19">
        <v>43344</v>
      </c>
      <c r="D59" s="20">
        <v>0</v>
      </c>
      <c r="E59" s="20">
        <v>-27427</v>
      </c>
      <c r="F59" s="23">
        <v>0</v>
      </c>
    </row>
    <row r="60" spans="2:7" x14ac:dyDescent="0.2">
      <c r="C60" s="19">
        <v>43374</v>
      </c>
      <c r="D60" s="20">
        <v>0</v>
      </c>
      <c r="E60" s="20">
        <v>-27427</v>
      </c>
      <c r="F60" s="23">
        <v>0</v>
      </c>
    </row>
    <row r="61" spans="2:7" x14ac:dyDescent="0.2">
      <c r="C61" s="19">
        <v>43405</v>
      </c>
      <c r="D61" s="20">
        <v>0</v>
      </c>
      <c r="E61" s="20">
        <v>-27427</v>
      </c>
      <c r="F61" s="23">
        <v>0</v>
      </c>
    </row>
    <row r="62" spans="2:7" x14ac:dyDescent="0.2">
      <c r="C62" s="28">
        <v>43435</v>
      </c>
      <c r="D62" s="29">
        <v>0</v>
      </c>
      <c r="E62" s="29">
        <v>-27427</v>
      </c>
      <c r="F62" s="25">
        <v>0</v>
      </c>
    </row>
    <row r="63" spans="2:7" x14ac:dyDescent="0.2">
      <c r="C63" s="56" t="s">
        <v>58</v>
      </c>
      <c r="D63" s="44">
        <f>SUM(D57:D62)</f>
        <v>-5442</v>
      </c>
      <c r="E63" s="44">
        <f>SUM(E57:E62)</f>
        <v>-109708</v>
      </c>
      <c r="F63" s="44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workbookViewId="0">
      <selection activeCell="C37" sqref="C37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ht="14.25" customHeight="1" x14ac:dyDescent="0.2">
      <c r="B3" s="109" t="s">
        <v>87</v>
      </c>
      <c r="C3" s="110"/>
      <c r="D3" s="110"/>
      <c r="E3" s="110"/>
      <c r="F3" s="110"/>
      <c r="G3" s="111"/>
    </row>
    <row r="4" spans="2:7" x14ac:dyDescent="0.2">
      <c r="B4" s="112"/>
      <c r="C4" s="113"/>
      <c r="D4" s="113"/>
      <c r="E4" s="113"/>
      <c r="F4" s="113"/>
      <c r="G4" s="114"/>
    </row>
    <row r="6" spans="2:7" x14ac:dyDescent="0.2">
      <c r="B6" s="3"/>
      <c r="C6" s="3"/>
      <c r="D6" s="3"/>
      <c r="E6" s="4" t="s">
        <v>1</v>
      </c>
      <c r="F6" s="3"/>
      <c r="G6" s="3"/>
    </row>
    <row r="7" spans="2:7" x14ac:dyDescent="0.2">
      <c r="B7" s="5"/>
      <c r="C7" s="5"/>
      <c r="D7" s="6" t="s">
        <v>2</v>
      </c>
      <c r="E7" s="6" t="s">
        <v>3</v>
      </c>
      <c r="F7" s="5"/>
      <c r="G7" s="5"/>
    </row>
    <row r="8" spans="2:7" x14ac:dyDescent="0.2">
      <c r="B8" s="5"/>
      <c r="C8" s="5"/>
      <c r="D8" s="6" t="s">
        <v>4</v>
      </c>
      <c r="E8" s="6" t="s">
        <v>5</v>
      </c>
      <c r="F8" s="6" t="s">
        <v>6</v>
      </c>
      <c r="G8" s="6" t="s">
        <v>7</v>
      </c>
    </row>
    <row r="9" spans="2:7" x14ac:dyDescent="0.2">
      <c r="B9" s="7"/>
      <c r="C9" s="7"/>
      <c r="D9" s="7" t="s">
        <v>8</v>
      </c>
      <c r="E9" s="7" t="s">
        <v>8</v>
      </c>
      <c r="F9" s="7" t="s">
        <v>9</v>
      </c>
      <c r="G9" s="7" t="s">
        <v>9</v>
      </c>
    </row>
    <row r="10" spans="2:7" x14ac:dyDescent="0.2">
      <c r="B10" s="8" t="s">
        <v>10</v>
      </c>
      <c r="C10" s="8" t="s">
        <v>11</v>
      </c>
      <c r="D10" s="9" t="s">
        <v>12</v>
      </c>
      <c r="E10" s="9" t="s">
        <v>13</v>
      </c>
      <c r="F10" s="9" t="s">
        <v>14</v>
      </c>
      <c r="G10" s="9" t="s">
        <v>15</v>
      </c>
    </row>
    <row r="11" spans="2:7" x14ac:dyDescent="0.2">
      <c r="B11" s="4">
        <v>1</v>
      </c>
      <c r="C11" s="115" t="s">
        <v>16</v>
      </c>
      <c r="D11" s="116"/>
      <c r="E11" s="116"/>
      <c r="F11" s="116"/>
      <c r="G11" s="117"/>
    </row>
    <row r="12" spans="2:7" x14ac:dyDescent="0.2">
      <c r="B12" s="4" t="s">
        <v>17</v>
      </c>
      <c r="C12" s="10" t="s">
        <v>18</v>
      </c>
      <c r="D12" s="10"/>
      <c r="E12" s="10"/>
      <c r="F12" s="11"/>
      <c r="G12" s="12">
        <v>-141806</v>
      </c>
    </row>
    <row r="13" spans="2:7" x14ac:dyDescent="0.2">
      <c r="B13" s="6" t="s">
        <v>19</v>
      </c>
      <c r="C13" s="10" t="s">
        <v>20</v>
      </c>
      <c r="D13" s="10"/>
      <c r="E13" s="10"/>
      <c r="F13" s="11"/>
      <c r="G13" s="12">
        <v>-157333</v>
      </c>
    </row>
    <row r="14" spans="2:7" x14ac:dyDescent="0.2">
      <c r="B14" s="7" t="s">
        <v>21</v>
      </c>
      <c r="C14" s="10" t="s">
        <v>22</v>
      </c>
      <c r="D14" s="10"/>
      <c r="E14" s="10"/>
      <c r="F14" s="13"/>
      <c r="G14" s="14">
        <f>G12+G13</f>
        <v>-299139</v>
      </c>
    </row>
    <row r="15" spans="2:7" x14ac:dyDescent="0.2">
      <c r="B15" s="6">
        <v>2</v>
      </c>
      <c r="C15" s="15">
        <v>43282</v>
      </c>
      <c r="D15" s="16">
        <f>364012-574</f>
        <v>363438</v>
      </c>
      <c r="E15" s="17">
        <v>408197.44</v>
      </c>
      <c r="F15" s="18">
        <f t="shared" ref="F15:F22" si="0">D15-E15</f>
        <v>-44759.44</v>
      </c>
      <c r="G15" s="14">
        <f t="shared" ref="G15:G22" si="1">G14+F15</f>
        <v>-343898.44</v>
      </c>
    </row>
    <row r="16" spans="2:7" x14ac:dyDescent="0.2">
      <c r="B16" s="6">
        <v>3</v>
      </c>
      <c r="C16" s="19">
        <v>43313</v>
      </c>
      <c r="D16" s="20">
        <f>338543-520</f>
        <v>338023</v>
      </c>
      <c r="E16" s="21">
        <v>408629.84</v>
      </c>
      <c r="F16" s="22">
        <f t="shared" si="0"/>
        <v>-70606.840000000026</v>
      </c>
      <c r="G16" s="23">
        <f t="shared" si="1"/>
        <v>-414505.28</v>
      </c>
    </row>
    <row r="17" spans="2:7" x14ac:dyDescent="0.2">
      <c r="B17" s="6">
        <v>4</v>
      </c>
      <c r="C17" s="19">
        <v>43344</v>
      </c>
      <c r="D17" s="20">
        <f>337333-553</f>
        <v>336780</v>
      </c>
      <c r="E17" s="21">
        <v>297460.33</v>
      </c>
      <c r="F17" s="22">
        <f t="shared" si="0"/>
        <v>39319.669999999984</v>
      </c>
      <c r="G17" s="23">
        <f t="shared" si="1"/>
        <v>-375185.61000000004</v>
      </c>
    </row>
    <row r="18" spans="2:7" x14ac:dyDescent="0.2">
      <c r="B18" s="6">
        <v>5</v>
      </c>
      <c r="C18" s="19">
        <v>43374</v>
      </c>
      <c r="D18" s="20">
        <f>331629-556</f>
        <v>331073</v>
      </c>
      <c r="E18" s="21">
        <v>300762.55</v>
      </c>
      <c r="F18" s="22">
        <f t="shared" si="0"/>
        <v>30310.450000000012</v>
      </c>
      <c r="G18" s="23">
        <f t="shared" si="1"/>
        <v>-344875.16000000003</v>
      </c>
    </row>
    <row r="19" spans="2:7" x14ac:dyDescent="0.2">
      <c r="B19" s="6">
        <v>6</v>
      </c>
      <c r="C19" s="19">
        <v>43405</v>
      </c>
      <c r="D19" s="20">
        <f>387404-581</f>
        <v>386823</v>
      </c>
      <c r="E19" s="21">
        <v>339275.05</v>
      </c>
      <c r="F19" s="22">
        <f t="shared" si="0"/>
        <v>47547.950000000012</v>
      </c>
      <c r="G19" s="23">
        <f t="shared" si="1"/>
        <v>-297327.21000000002</v>
      </c>
    </row>
    <row r="20" spans="2:7" x14ac:dyDescent="0.2">
      <c r="B20" s="6">
        <v>7</v>
      </c>
      <c r="C20" s="19">
        <v>43435</v>
      </c>
      <c r="D20" s="20">
        <f>458877-600</f>
        <v>458277</v>
      </c>
      <c r="E20" s="21">
        <v>386911.8</v>
      </c>
      <c r="F20" s="24">
        <f t="shared" si="0"/>
        <v>71365.200000000012</v>
      </c>
      <c r="G20" s="25">
        <f t="shared" si="1"/>
        <v>-225962.01</v>
      </c>
    </row>
    <row r="21" spans="2:7" x14ac:dyDescent="0.2">
      <c r="B21" s="26" t="s">
        <v>23</v>
      </c>
      <c r="C21" s="15">
        <v>43466</v>
      </c>
      <c r="D21" s="16">
        <f>420905-523</f>
        <v>420382</v>
      </c>
      <c r="E21" s="17">
        <v>450604.23</v>
      </c>
      <c r="F21" s="18">
        <f t="shared" si="0"/>
        <v>-30222.229999999981</v>
      </c>
      <c r="G21" s="14">
        <f t="shared" si="1"/>
        <v>-256184.24</v>
      </c>
    </row>
    <row r="22" spans="2:7" x14ac:dyDescent="0.2">
      <c r="B22" s="27" t="s">
        <v>24</v>
      </c>
      <c r="C22" s="28">
        <v>43497</v>
      </c>
      <c r="D22" s="29">
        <f>297273-432</f>
        <v>296841</v>
      </c>
      <c r="E22" s="30">
        <v>397083.58</v>
      </c>
      <c r="F22" s="24">
        <f t="shared" si="0"/>
        <v>-100242.58000000002</v>
      </c>
      <c r="G22" s="25">
        <f t="shared" si="1"/>
        <v>-356426.82</v>
      </c>
    </row>
    <row r="23" spans="2:7" x14ac:dyDescent="0.2">
      <c r="B23" s="7"/>
      <c r="C23" s="31" t="s">
        <v>25</v>
      </c>
      <c r="D23" s="32"/>
      <c r="E23" s="32"/>
      <c r="F23" s="32"/>
      <c r="G23" s="33"/>
    </row>
    <row r="24" spans="2:7" x14ac:dyDescent="0.2">
      <c r="B24" s="4"/>
      <c r="C24" s="3"/>
      <c r="D24" s="3"/>
      <c r="E24" s="3"/>
      <c r="F24" s="3"/>
      <c r="G24" s="14"/>
    </row>
    <row r="25" spans="2:7" x14ac:dyDescent="0.2">
      <c r="B25" s="6"/>
      <c r="C25" s="5"/>
      <c r="D25" s="6" t="s">
        <v>26</v>
      </c>
      <c r="E25" s="6" t="s">
        <v>27</v>
      </c>
      <c r="F25" s="5"/>
      <c r="G25" s="23"/>
    </row>
    <row r="26" spans="2:7" x14ac:dyDescent="0.2">
      <c r="B26" s="6">
        <v>8</v>
      </c>
      <c r="C26" s="5"/>
      <c r="D26" s="6" t="s">
        <v>28</v>
      </c>
      <c r="E26" s="6" t="s">
        <v>29</v>
      </c>
      <c r="F26" s="5"/>
      <c r="G26" s="34" t="s">
        <v>26</v>
      </c>
    </row>
    <row r="27" spans="2:7" x14ac:dyDescent="0.2">
      <c r="B27" s="6"/>
      <c r="C27" s="5"/>
      <c r="D27" s="6" t="s">
        <v>30</v>
      </c>
      <c r="E27" s="6" t="s">
        <v>31</v>
      </c>
      <c r="F27" s="5"/>
      <c r="G27" s="34" t="s">
        <v>32</v>
      </c>
    </row>
    <row r="28" spans="2:7" x14ac:dyDescent="0.2">
      <c r="B28" s="6"/>
      <c r="C28" s="5"/>
      <c r="D28" s="6" t="s">
        <v>33</v>
      </c>
      <c r="E28" s="6" t="s">
        <v>34</v>
      </c>
      <c r="F28" s="5"/>
      <c r="G28" s="34" t="s">
        <v>35</v>
      </c>
    </row>
    <row r="29" spans="2:7" x14ac:dyDescent="0.2">
      <c r="B29" s="7"/>
      <c r="C29" s="5"/>
      <c r="D29" s="6" t="s">
        <v>36</v>
      </c>
      <c r="E29" s="6" t="s">
        <v>37</v>
      </c>
      <c r="F29" s="5"/>
      <c r="G29" s="34" t="s">
        <v>38</v>
      </c>
    </row>
    <row r="30" spans="2:7" x14ac:dyDescent="0.2">
      <c r="B30" s="26" t="s">
        <v>39</v>
      </c>
      <c r="C30" s="3" t="s">
        <v>40</v>
      </c>
      <c r="D30" s="14">
        <f>-G12</f>
        <v>141806</v>
      </c>
      <c r="E30" s="14">
        <f>D61</f>
        <v>-118170</v>
      </c>
      <c r="F30" s="3"/>
      <c r="G30" s="14">
        <f>D30+E30</f>
        <v>23636</v>
      </c>
    </row>
    <row r="31" spans="2:7" x14ac:dyDescent="0.2">
      <c r="B31" s="37" t="s">
        <v>41</v>
      </c>
      <c r="C31" s="5" t="s">
        <v>42</v>
      </c>
      <c r="D31" s="23">
        <f>-G13</f>
        <v>157333</v>
      </c>
      <c r="E31" s="23">
        <f>E61</f>
        <v>0</v>
      </c>
      <c r="F31" s="5"/>
      <c r="G31" s="23">
        <f>D31+E31</f>
        <v>157333</v>
      </c>
    </row>
    <row r="32" spans="2:7" x14ac:dyDescent="0.2">
      <c r="B32" s="7" t="s">
        <v>43</v>
      </c>
      <c r="C32" s="82"/>
      <c r="D32" s="83"/>
      <c r="E32" s="83"/>
      <c r="F32" s="84" t="s">
        <v>44</v>
      </c>
      <c r="G32" s="44">
        <f>G30+G31</f>
        <v>180969</v>
      </c>
    </row>
    <row r="33" spans="2:7" x14ac:dyDescent="0.2">
      <c r="B33" s="41"/>
      <c r="G33" s="42"/>
    </row>
    <row r="34" spans="2:7" x14ac:dyDescent="0.2">
      <c r="B34" s="8">
        <v>9</v>
      </c>
      <c r="C34" s="45" t="s">
        <v>45</v>
      </c>
      <c r="D34" s="10"/>
      <c r="E34" s="10"/>
      <c r="F34" s="11"/>
      <c r="G34" s="44">
        <f>G20+G32</f>
        <v>-44993.010000000009</v>
      </c>
    </row>
    <row r="35" spans="2:7" x14ac:dyDescent="0.2">
      <c r="B35" s="41"/>
      <c r="G35" s="42"/>
    </row>
    <row r="36" spans="2:7" x14ac:dyDescent="0.2">
      <c r="B36" s="8">
        <v>10</v>
      </c>
      <c r="C36" s="45" t="s">
        <v>46</v>
      </c>
      <c r="D36" s="10"/>
      <c r="E36" s="10"/>
      <c r="F36" s="11"/>
      <c r="G36" s="44">
        <f>G34/6</f>
        <v>-7498.8350000000019</v>
      </c>
    </row>
    <row r="38" spans="2:7" x14ac:dyDescent="0.2">
      <c r="B38" s="3"/>
      <c r="C38" s="46" t="s">
        <v>47</v>
      </c>
      <c r="D38" s="47"/>
      <c r="E38" s="47"/>
      <c r="F38" s="47"/>
      <c r="G38" s="48"/>
    </row>
    <row r="39" spans="2:7" x14ac:dyDescent="0.2">
      <c r="B39" s="3"/>
      <c r="C39" s="49"/>
      <c r="D39" s="49"/>
      <c r="E39" s="49"/>
      <c r="F39" s="49"/>
      <c r="G39" s="13"/>
    </row>
    <row r="40" spans="2:7" x14ac:dyDescent="0.2">
      <c r="B40" s="6">
        <v>11</v>
      </c>
      <c r="C40" s="50" t="s">
        <v>48</v>
      </c>
      <c r="D40" s="50"/>
      <c r="E40" s="50"/>
      <c r="F40" s="50"/>
      <c r="G40" s="51">
        <f>G14</f>
        <v>-299139</v>
      </c>
    </row>
    <row r="41" spans="2:7" x14ac:dyDescent="0.2">
      <c r="B41" s="6">
        <v>12</v>
      </c>
      <c r="C41" s="50" t="s">
        <v>49</v>
      </c>
      <c r="D41" s="50"/>
      <c r="E41" s="50"/>
      <c r="F41" s="50"/>
      <c r="G41" s="52">
        <f>G32</f>
        <v>180969</v>
      </c>
    </row>
    <row r="42" spans="2:7" x14ac:dyDescent="0.2">
      <c r="B42" s="6"/>
      <c r="C42" s="50"/>
      <c r="D42" s="50"/>
      <c r="E42" s="50"/>
      <c r="F42" s="50"/>
      <c r="G42" s="51"/>
    </row>
    <row r="43" spans="2:7" ht="15" thickBot="1" x14ac:dyDescent="0.25">
      <c r="B43" s="6">
        <v>13</v>
      </c>
      <c r="C43" s="50" t="s">
        <v>50</v>
      </c>
      <c r="D43" s="50"/>
      <c r="E43" s="50"/>
      <c r="F43" s="50"/>
      <c r="G43" s="53">
        <f>G40+G41</f>
        <v>-118170</v>
      </c>
    </row>
    <row r="44" spans="2:7" ht="15" thickTop="1" x14ac:dyDescent="0.2">
      <c r="B44" s="6"/>
      <c r="C44" s="50"/>
      <c r="D44" s="50"/>
      <c r="E44" s="50"/>
      <c r="F44" s="50"/>
      <c r="G44" s="51"/>
    </row>
    <row r="45" spans="2:7" x14ac:dyDescent="0.2">
      <c r="B45" s="6">
        <v>14</v>
      </c>
      <c r="C45" s="50" t="s">
        <v>51</v>
      </c>
      <c r="D45" s="50"/>
      <c r="E45" s="50"/>
      <c r="F45" s="50"/>
      <c r="G45" s="51">
        <f>G34</f>
        <v>-44993.010000000009</v>
      </c>
    </row>
    <row r="46" spans="2:7" x14ac:dyDescent="0.2">
      <c r="B46" s="6"/>
      <c r="C46" s="50"/>
      <c r="D46" s="50"/>
      <c r="E46" s="50"/>
      <c r="F46" s="50"/>
      <c r="G46" s="51"/>
    </row>
    <row r="47" spans="2:7" x14ac:dyDescent="0.2">
      <c r="B47" s="6">
        <v>15</v>
      </c>
      <c r="C47" s="50" t="s">
        <v>52</v>
      </c>
      <c r="D47" s="50"/>
      <c r="E47" s="50"/>
      <c r="F47" s="50"/>
      <c r="G47" s="52">
        <f>SUM(F15:F20)</f>
        <v>73176.989999999991</v>
      </c>
    </row>
    <row r="48" spans="2:7" x14ac:dyDescent="0.2">
      <c r="B48" s="6"/>
      <c r="C48" s="50"/>
      <c r="D48" s="50"/>
      <c r="E48" s="50"/>
      <c r="F48" s="50"/>
      <c r="G48" s="51"/>
    </row>
    <row r="49" spans="2:7" ht="15" thickBot="1" x14ac:dyDescent="0.25">
      <c r="B49" s="6">
        <v>16</v>
      </c>
      <c r="C49" s="50" t="s">
        <v>53</v>
      </c>
      <c r="D49" s="50"/>
      <c r="E49" s="50"/>
      <c r="F49" s="50"/>
      <c r="G49" s="53">
        <f>G45-G47</f>
        <v>-118170</v>
      </c>
    </row>
    <row r="50" spans="2:7" ht="15" thickTop="1" x14ac:dyDescent="0.2">
      <c r="B50" s="35"/>
      <c r="C50" s="54"/>
      <c r="D50" s="54"/>
      <c r="E50" s="54"/>
      <c r="F50" s="54"/>
      <c r="G50" s="55"/>
    </row>
    <row r="52" spans="2:7" x14ac:dyDescent="0.2">
      <c r="B52" t="s">
        <v>54</v>
      </c>
    </row>
    <row r="53" spans="2:7" x14ac:dyDescent="0.2">
      <c r="B53" s="41"/>
      <c r="C53" s="3"/>
      <c r="D53" s="4" t="s">
        <v>55</v>
      </c>
      <c r="E53" s="4" t="s">
        <v>55</v>
      </c>
      <c r="F53" s="37"/>
    </row>
    <row r="54" spans="2:7" x14ac:dyDescent="0.2">
      <c r="B54" s="41"/>
      <c r="C54" s="7" t="s">
        <v>11</v>
      </c>
      <c r="D54" s="7" t="s">
        <v>56</v>
      </c>
      <c r="E54" s="7" t="s">
        <v>57</v>
      </c>
      <c r="F54" s="37"/>
    </row>
    <row r="55" spans="2:7" x14ac:dyDescent="0.2">
      <c r="C55" s="15">
        <v>43282</v>
      </c>
      <c r="D55" s="16">
        <v>0</v>
      </c>
      <c r="E55" s="16">
        <v>0</v>
      </c>
      <c r="F55" s="22"/>
    </row>
    <row r="56" spans="2:7" x14ac:dyDescent="0.2">
      <c r="C56" s="19">
        <v>43313</v>
      </c>
      <c r="D56" s="20">
        <v>-23634</v>
      </c>
      <c r="E56" s="20">
        <v>0</v>
      </c>
      <c r="F56" s="22"/>
    </row>
    <row r="57" spans="2:7" x14ac:dyDescent="0.2">
      <c r="C57" s="19">
        <v>43344</v>
      </c>
      <c r="D57" s="20">
        <v>-23634</v>
      </c>
      <c r="E57" s="20">
        <v>0</v>
      </c>
      <c r="F57" s="22"/>
    </row>
    <row r="58" spans="2:7" x14ac:dyDescent="0.2">
      <c r="C58" s="19">
        <v>43374</v>
      </c>
      <c r="D58" s="20">
        <v>-23634</v>
      </c>
      <c r="E58" s="20">
        <v>0</v>
      </c>
      <c r="F58" s="22"/>
    </row>
    <row r="59" spans="2:7" x14ac:dyDescent="0.2">
      <c r="C59" s="19">
        <v>43405</v>
      </c>
      <c r="D59" s="20">
        <v>-23634</v>
      </c>
      <c r="E59" s="20">
        <v>0</v>
      </c>
      <c r="F59" s="22"/>
    </row>
    <row r="60" spans="2:7" x14ac:dyDescent="0.2">
      <c r="C60" s="28">
        <v>43435</v>
      </c>
      <c r="D60" s="29">
        <v>-23634</v>
      </c>
      <c r="E60" s="29">
        <v>0</v>
      </c>
      <c r="F60" s="22"/>
    </row>
    <row r="61" spans="2:7" x14ac:dyDescent="0.2">
      <c r="C61" s="56" t="s">
        <v>58</v>
      </c>
      <c r="D61" s="44">
        <f>SUM(D55:D60)</f>
        <v>-118170</v>
      </c>
      <c r="E61" s="44">
        <f>SUM(E55:E60)</f>
        <v>0</v>
      </c>
      <c r="F61" s="22"/>
    </row>
  </sheetData>
  <mergeCells count="2">
    <mergeCell ref="B3:G4"/>
    <mergeCell ref="C11:G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>
      <selection activeCell="C38" sqref="C38"/>
    </sheetView>
  </sheetViews>
  <sheetFormatPr defaultColWidth="12.625" defaultRowHeight="14.25" x14ac:dyDescent="0.2"/>
  <cols>
    <col min="2" max="2" width="8.625" customWidth="1"/>
    <col min="3" max="3" width="30.875" customWidth="1"/>
    <col min="4" max="5" width="17.625" customWidth="1"/>
    <col min="6" max="6" width="19.625" customWidth="1"/>
    <col min="7" max="7" width="17.625" customWidth="1"/>
  </cols>
  <sheetData>
    <row r="3" spans="2:7" ht="14.25" customHeight="1" x14ac:dyDescent="0.2">
      <c r="B3" s="109" t="s">
        <v>88</v>
      </c>
      <c r="C3" s="110"/>
      <c r="D3" s="110"/>
      <c r="E3" s="110"/>
      <c r="F3" s="110"/>
      <c r="G3" s="111"/>
    </row>
    <row r="4" spans="2:7" x14ac:dyDescent="0.2">
      <c r="B4" s="112"/>
      <c r="C4" s="113"/>
      <c r="D4" s="113"/>
      <c r="E4" s="113"/>
      <c r="F4" s="113"/>
      <c r="G4" s="114"/>
    </row>
    <row r="6" spans="2:7" x14ac:dyDescent="0.2">
      <c r="B6" s="3"/>
      <c r="C6" s="3"/>
      <c r="D6" s="3"/>
      <c r="E6" s="4" t="s">
        <v>1</v>
      </c>
      <c r="F6" s="3"/>
      <c r="G6" s="3"/>
    </row>
    <row r="7" spans="2:7" x14ac:dyDescent="0.2">
      <c r="B7" s="5"/>
      <c r="C7" s="5"/>
      <c r="D7" s="6" t="s">
        <v>2</v>
      </c>
      <c r="E7" s="6" t="s">
        <v>3</v>
      </c>
      <c r="F7" s="5"/>
      <c r="G7" s="5"/>
    </row>
    <row r="8" spans="2:7" x14ac:dyDescent="0.2">
      <c r="B8" s="5"/>
      <c r="C8" s="5"/>
      <c r="D8" s="6" t="s">
        <v>4</v>
      </c>
      <c r="E8" s="6" t="s">
        <v>5</v>
      </c>
      <c r="F8" s="6" t="s">
        <v>6</v>
      </c>
      <c r="G8" s="6" t="s">
        <v>7</v>
      </c>
    </row>
    <row r="9" spans="2:7" x14ac:dyDescent="0.2">
      <c r="B9" s="7"/>
      <c r="C9" s="7"/>
      <c r="D9" s="7" t="s">
        <v>8</v>
      </c>
      <c r="E9" s="7" t="s">
        <v>8</v>
      </c>
      <c r="F9" s="7" t="s">
        <v>9</v>
      </c>
      <c r="G9" s="7" t="s">
        <v>9</v>
      </c>
    </row>
    <row r="10" spans="2:7" x14ac:dyDescent="0.2">
      <c r="B10" s="8" t="s">
        <v>10</v>
      </c>
      <c r="C10" s="8" t="s">
        <v>11</v>
      </c>
      <c r="D10" s="9" t="s">
        <v>12</v>
      </c>
      <c r="E10" s="9" t="s">
        <v>13</v>
      </c>
      <c r="F10" s="9" t="s">
        <v>14</v>
      </c>
      <c r="G10" s="9" t="s">
        <v>15</v>
      </c>
    </row>
    <row r="11" spans="2:7" x14ac:dyDescent="0.2">
      <c r="B11" s="4">
        <v>1</v>
      </c>
      <c r="C11" s="115" t="s">
        <v>16</v>
      </c>
      <c r="D11" s="116"/>
      <c r="E11" s="116"/>
      <c r="F11" s="116"/>
      <c r="G11" s="117"/>
    </row>
    <row r="12" spans="2:7" x14ac:dyDescent="0.2">
      <c r="B12" s="4" t="s">
        <v>17</v>
      </c>
      <c r="C12" s="10" t="s">
        <v>60</v>
      </c>
      <c r="D12" s="10"/>
      <c r="E12" s="10"/>
      <c r="F12" s="11"/>
      <c r="G12" s="12">
        <v>-34288</v>
      </c>
    </row>
    <row r="13" spans="2:7" x14ac:dyDescent="0.2">
      <c r="B13" s="6" t="s">
        <v>19</v>
      </c>
      <c r="C13" s="10" t="s">
        <v>18</v>
      </c>
      <c r="D13" s="10"/>
      <c r="E13" s="10"/>
      <c r="F13" s="11"/>
      <c r="G13" s="12">
        <v>178319</v>
      </c>
    </row>
    <row r="14" spans="2:7" x14ac:dyDescent="0.2">
      <c r="B14" s="6" t="s">
        <v>21</v>
      </c>
      <c r="C14" s="10" t="s">
        <v>20</v>
      </c>
      <c r="D14" s="10"/>
      <c r="E14" s="10"/>
      <c r="F14" s="11"/>
      <c r="G14" s="12">
        <v>-435336</v>
      </c>
    </row>
    <row r="15" spans="2:7" x14ac:dyDescent="0.2">
      <c r="B15" s="7" t="s">
        <v>61</v>
      </c>
      <c r="C15" s="10" t="s">
        <v>22</v>
      </c>
      <c r="D15" s="10"/>
      <c r="E15" s="10"/>
      <c r="F15" s="13"/>
      <c r="G15" s="14">
        <f>G12+G13+G14</f>
        <v>-291305</v>
      </c>
    </row>
    <row r="16" spans="2:7" x14ac:dyDescent="0.2">
      <c r="B16" s="6">
        <v>2</v>
      </c>
      <c r="C16" s="15">
        <v>43282</v>
      </c>
      <c r="D16" s="16">
        <f>993609-1740</f>
        <v>991869</v>
      </c>
      <c r="E16" s="17">
        <v>1055960.1299999999</v>
      </c>
      <c r="F16" s="18">
        <f t="shared" ref="F16:F23" si="0">D16-E16</f>
        <v>-64091.129999999888</v>
      </c>
      <c r="G16" s="14">
        <f t="shared" ref="G16:G23" si="1">G15+F16</f>
        <v>-355396.12999999989</v>
      </c>
    </row>
    <row r="17" spans="2:7" x14ac:dyDescent="0.2">
      <c r="B17" s="6">
        <v>3</v>
      </c>
      <c r="C17" s="19">
        <v>43313</v>
      </c>
      <c r="D17" s="20">
        <f>864932-1576</f>
        <v>863356</v>
      </c>
      <c r="E17" s="21">
        <v>1077895.83</v>
      </c>
      <c r="F17" s="22">
        <f t="shared" si="0"/>
        <v>-214539.83000000007</v>
      </c>
      <c r="G17" s="23">
        <f t="shared" si="1"/>
        <v>-569935.96</v>
      </c>
    </row>
    <row r="18" spans="2:7" x14ac:dyDescent="0.2">
      <c r="B18" s="6">
        <v>4</v>
      </c>
      <c r="C18" s="19">
        <v>43344</v>
      </c>
      <c r="D18" s="20">
        <f>860888-1683</f>
        <v>859205</v>
      </c>
      <c r="E18" s="21">
        <v>926295.34</v>
      </c>
      <c r="F18" s="22">
        <f t="shared" si="0"/>
        <v>-67090.339999999967</v>
      </c>
      <c r="G18" s="23">
        <f t="shared" si="1"/>
        <v>-637026.29999999993</v>
      </c>
    </row>
    <row r="19" spans="2:7" x14ac:dyDescent="0.2">
      <c r="B19" s="6">
        <v>5</v>
      </c>
      <c r="C19" s="19">
        <v>43374</v>
      </c>
      <c r="D19" s="20">
        <f>829776-1700</f>
        <v>828076</v>
      </c>
      <c r="E19" s="21">
        <v>864876.11</v>
      </c>
      <c r="F19" s="22">
        <f t="shared" si="0"/>
        <v>-36800.109999999986</v>
      </c>
      <c r="G19" s="23">
        <f t="shared" si="1"/>
        <v>-673826.40999999992</v>
      </c>
    </row>
    <row r="20" spans="2:7" x14ac:dyDescent="0.2">
      <c r="B20" s="6">
        <v>6</v>
      </c>
      <c r="C20" s="19">
        <v>43405</v>
      </c>
      <c r="D20" s="20">
        <f>1107841-1775</f>
        <v>1106066</v>
      </c>
      <c r="E20" s="21">
        <v>962464.71</v>
      </c>
      <c r="F20" s="22">
        <f t="shared" si="0"/>
        <v>143601.29000000004</v>
      </c>
      <c r="G20" s="23">
        <f t="shared" si="1"/>
        <v>-530225.11999999988</v>
      </c>
    </row>
    <row r="21" spans="2:7" x14ac:dyDescent="0.2">
      <c r="B21" s="6">
        <v>7</v>
      </c>
      <c r="C21" s="19">
        <v>43435</v>
      </c>
      <c r="D21" s="20">
        <f>1352038-1844</f>
        <v>1350194</v>
      </c>
      <c r="E21" s="21">
        <v>1211091.54</v>
      </c>
      <c r="F21" s="24">
        <f t="shared" si="0"/>
        <v>139102.45999999996</v>
      </c>
      <c r="G21" s="25">
        <f t="shared" si="1"/>
        <v>-391122.65999999992</v>
      </c>
    </row>
    <row r="22" spans="2:7" x14ac:dyDescent="0.2">
      <c r="B22" s="26" t="s">
        <v>23</v>
      </c>
      <c r="C22" s="15">
        <v>43466</v>
      </c>
      <c r="D22" s="16">
        <f>1223636-1607</f>
        <v>1222029</v>
      </c>
      <c r="E22" s="17">
        <v>1310216.1200000001</v>
      </c>
      <c r="F22" s="18">
        <f t="shared" si="0"/>
        <v>-88187.120000000112</v>
      </c>
      <c r="G22" s="14">
        <f t="shared" si="1"/>
        <v>-479309.78</v>
      </c>
    </row>
    <row r="23" spans="2:7" x14ac:dyDescent="0.2">
      <c r="B23" s="27" t="s">
        <v>24</v>
      </c>
      <c r="C23" s="28">
        <v>43497</v>
      </c>
      <c r="D23" s="29">
        <f>807216-1330</f>
        <v>805886</v>
      </c>
      <c r="E23" s="30">
        <v>1307642.6100000001</v>
      </c>
      <c r="F23" s="24">
        <f t="shared" si="0"/>
        <v>-501756.6100000001</v>
      </c>
      <c r="G23" s="25">
        <f t="shared" si="1"/>
        <v>-981066.39000000013</v>
      </c>
    </row>
    <row r="24" spans="2:7" x14ac:dyDescent="0.2">
      <c r="B24" s="7"/>
      <c r="C24" s="31" t="s">
        <v>25</v>
      </c>
      <c r="D24" s="32"/>
      <c r="E24" s="32"/>
      <c r="F24" s="32"/>
      <c r="G24" s="33"/>
    </row>
    <row r="25" spans="2:7" x14ac:dyDescent="0.2">
      <c r="B25" s="4"/>
      <c r="C25" s="3"/>
      <c r="D25" s="3"/>
      <c r="E25" s="3"/>
      <c r="F25" s="3"/>
      <c r="G25" s="14"/>
    </row>
    <row r="26" spans="2:7" x14ac:dyDescent="0.2">
      <c r="B26" s="6"/>
      <c r="C26" s="5"/>
      <c r="D26" s="6" t="s">
        <v>26</v>
      </c>
      <c r="E26" s="6" t="s">
        <v>27</v>
      </c>
      <c r="F26" s="5"/>
      <c r="G26" s="23"/>
    </row>
    <row r="27" spans="2:7" x14ac:dyDescent="0.2">
      <c r="B27" s="6">
        <v>8</v>
      </c>
      <c r="C27" s="5"/>
      <c r="D27" s="6" t="s">
        <v>28</v>
      </c>
      <c r="E27" s="6" t="s">
        <v>29</v>
      </c>
      <c r="F27" s="5"/>
      <c r="G27" s="34" t="s">
        <v>26</v>
      </c>
    </row>
    <row r="28" spans="2:7" x14ac:dyDescent="0.2">
      <c r="B28" s="6"/>
      <c r="C28" s="5"/>
      <c r="D28" s="6" t="s">
        <v>30</v>
      </c>
      <c r="E28" s="6" t="s">
        <v>31</v>
      </c>
      <c r="F28" s="5"/>
      <c r="G28" s="34" t="s">
        <v>32</v>
      </c>
    </row>
    <row r="29" spans="2:7" x14ac:dyDescent="0.2">
      <c r="B29" s="6"/>
      <c r="C29" s="5"/>
      <c r="D29" s="6" t="s">
        <v>33</v>
      </c>
      <c r="E29" s="6" t="s">
        <v>34</v>
      </c>
      <c r="F29" s="5"/>
      <c r="G29" s="34" t="s">
        <v>35</v>
      </c>
    </row>
    <row r="30" spans="2:7" x14ac:dyDescent="0.2">
      <c r="B30" s="7"/>
      <c r="C30" s="5"/>
      <c r="D30" s="6" t="s">
        <v>36</v>
      </c>
      <c r="E30" s="6" t="s">
        <v>37</v>
      </c>
      <c r="F30" s="5"/>
      <c r="G30" s="34" t="s">
        <v>38</v>
      </c>
    </row>
    <row r="31" spans="2:7" x14ac:dyDescent="0.2">
      <c r="B31" s="26" t="s">
        <v>39</v>
      </c>
      <c r="C31" s="3" t="s">
        <v>62</v>
      </c>
      <c r="D31" s="14">
        <f>-G12</f>
        <v>34288</v>
      </c>
      <c r="E31" s="14">
        <f>D63</f>
        <v>-34288</v>
      </c>
      <c r="F31" s="3"/>
      <c r="G31" s="14">
        <f>D31+E31</f>
        <v>0</v>
      </c>
    </row>
    <row r="32" spans="2:7" x14ac:dyDescent="0.2">
      <c r="B32" s="37" t="s">
        <v>41</v>
      </c>
      <c r="C32" s="5" t="s">
        <v>40</v>
      </c>
      <c r="D32" s="23">
        <f>-G13</f>
        <v>-178319</v>
      </c>
      <c r="E32" s="23">
        <f>E63</f>
        <v>118880</v>
      </c>
      <c r="F32" s="5"/>
      <c r="G32" s="23">
        <f>D32+E32</f>
        <v>-59439</v>
      </c>
    </row>
    <row r="33" spans="2:7" x14ac:dyDescent="0.2">
      <c r="B33" s="37" t="s">
        <v>43</v>
      </c>
      <c r="C33" s="35" t="s">
        <v>42</v>
      </c>
      <c r="D33" s="25">
        <f>-G14</f>
        <v>435336</v>
      </c>
      <c r="E33" s="25">
        <f>F63</f>
        <v>0</v>
      </c>
      <c r="F33" s="35"/>
      <c r="G33" s="25">
        <f>D33+E33</f>
        <v>435336</v>
      </c>
    </row>
    <row r="34" spans="2:7" x14ac:dyDescent="0.2">
      <c r="B34" s="7" t="s">
        <v>63</v>
      </c>
      <c r="C34" s="38"/>
      <c r="D34" s="39"/>
      <c r="E34" s="39"/>
      <c r="F34" s="40" t="s">
        <v>44</v>
      </c>
      <c r="G34" s="25">
        <f>G31+G32+G33</f>
        <v>375897</v>
      </c>
    </row>
    <row r="35" spans="2:7" x14ac:dyDescent="0.2">
      <c r="B35" s="41"/>
      <c r="G35" s="42"/>
    </row>
    <row r="36" spans="2:7" x14ac:dyDescent="0.2">
      <c r="B36" s="8">
        <v>9</v>
      </c>
      <c r="C36" s="45" t="s">
        <v>64</v>
      </c>
      <c r="D36" s="10"/>
      <c r="E36" s="10"/>
      <c r="F36" s="11"/>
      <c r="G36" s="44">
        <f>G21+G34</f>
        <v>-15225.659999999916</v>
      </c>
    </row>
    <row r="37" spans="2:7" x14ac:dyDescent="0.2">
      <c r="B37" s="41"/>
      <c r="G37" s="42"/>
    </row>
    <row r="38" spans="2:7" x14ac:dyDescent="0.2">
      <c r="B38" s="8">
        <v>10</v>
      </c>
      <c r="C38" s="45" t="s">
        <v>46</v>
      </c>
      <c r="D38" s="10"/>
      <c r="E38" s="10"/>
      <c r="F38" s="11"/>
      <c r="G38" s="44">
        <f>G36/6</f>
        <v>-2537.609999999986</v>
      </c>
    </row>
    <row r="40" spans="2:7" x14ac:dyDescent="0.2">
      <c r="B40" s="3"/>
      <c r="C40" s="46" t="s">
        <v>47</v>
      </c>
      <c r="D40" s="47"/>
      <c r="E40" s="47"/>
      <c r="F40" s="47"/>
      <c r="G40" s="48"/>
    </row>
    <row r="41" spans="2:7" x14ac:dyDescent="0.2">
      <c r="B41" s="3"/>
      <c r="C41" s="49"/>
      <c r="D41" s="49"/>
      <c r="E41" s="49"/>
      <c r="F41" s="49"/>
      <c r="G41" s="13"/>
    </row>
    <row r="42" spans="2:7" x14ac:dyDescent="0.2">
      <c r="B42" s="6">
        <v>11</v>
      </c>
      <c r="C42" s="50" t="s">
        <v>48</v>
      </c>
      <c r="D42" s="50"/>
      <c r="E42" s="50"/>
      <c r="F42" s="50"/>
      <c r="G42" s="51">
        <f>G15</f>
        <v>-291305</v>
      </c>
    </row>
    <row r="43" spans="2:7" x14ac:dyDescent="0.2">
      <c r="B43" s="6">
        <v>12</v>
      </c>
      <c r="C43" s="50" t="s">
        <v>49</v>
      </c>
      <c r="D43" s="50"/>
      <c r="E43" s="50"/>
      <c r="F43" s="50"/>
      <c r="G43" s="52">
        <f>G34</f>
        <v>375897</v>
      </c>
    </row>
    <row r="44" spans="2:7" x14ac:dyDescent="0.2">
      <c r="B44" s="6"/>
      <c r="C44" s="50"/>
      <c r="D44" s="50"/>
      <c r="E44" s="50"/>
      <c r="F44" s="50"/>
      <c r="G44" s="51"/>
    </row>
    <row r="45" spans="2:7" ht="15" thickBot="1" x14ac:dyDescent="0.25">
      <c r="B45" s="6">
        <v>13</v>
      </c>
      <c r="C45" s="50" t="s">
        <v>50</v>
      </c>
      <c r="D45" s="50"/>
      <c r="E45" s="50"/>
      <c r="F45" s="50"/>
      <c r="G45" s="107">
        <f>G42+G43</f>
        <v>84592</v>
      </c>
    </row>
    <row r="46" spans="2:7" ht="15" thickTop="1" x14ac:dyDescent="0.2">
      <c r="B46" s="6"/>
      <c r="C46" s="50"/>
      <c r="D46" s="50"/>
      <c r="E46" s="50"/>
      <c r="F46" s="50"/>
      <c r="G46" s="51"/>
    </row>
    <row r="47" spans="2:7" x14ac:dyDescent="0.2">
      <c r="B47" s="6">
        <v>14</v>
      </c>
      <c r="C47" s="50" t="s">
        <v>51</v>
      </c>
      <c r="D47" s="50"/>
      <c r="E47" s="50"/>
      <c r="F47" s="50"/>
      <c r="G47" s="51">
        <f>G36</f>
        <v>-15225.659999999916</v>
      </c>
    </row>
    <row r="48" spans="2:7" x14ac:dyDescent="0.2">
      <c r="B48" s="6"/>
      <c r="C48" s="50"/>
      <c r="D48" s="50"/>
      <c r="E48" s="50"/>
      <c r="F48" s="50"/>
      <c r="G48" s="51"/>
    </row>
    <row r="49" spans="2:7" x14ac:dyDescent="0.2">
      <c r="B49" s="6">
        <v>15</v>
      </c>
      <c r="C49" s="50" t="s">
        <v>52</v>
      </c>
      <c r="D49" s="50"/>
      <c r="E49" s="50"/>
      <c r="F49" s="50"/>
      <c r="G49" s="108">
        <f>SUM(F16:F21)</f>
        <v>-99817.659999999916</v>
      </c>
    </row>
    <row r="50" spans="2:7" x14ac:dyDescent="0.2">
      <c r="B50" s="6"/>
      <c r="C50" s="50"/>
      <c r="D50" s="50"/>
      <c r="E50" s="50"/>
      <c r="F50" s="50"/>
      <c r="G50" s="51"/>
    </row>
    <row r="51" spans="2:7" ht="15" thickBot="1" x14ac:dyDescent="0.25">
      <c r="B51" s="6">
        <v>16</v>
      </c>
      <c r="C51" s="50" t="s">
        <v>89</v>
      </c>
      <c r="D51" s="50"/>
      <c r="E51" s="50"/>
      <c r="F51" s="50"/>
      <c r="G51" s="107">
        <f>G47-G49</f>
        <v>84592</v>
      </c>
    </row>
    <row r="52" spans="2:7" ht="15" thickTop="1" x14ac:dyDescent="0.2">
      <c r="B52" s="35"/>
      <c r="C52" s="54"/>
      <c r="D52" s="54"/>
      <c r="E52" s="54"/>
      <c r="F52" s="54"/>
      <c r="G52" s="55"/>
    </row>
    <row r="54" spans="2:7" x14ac:dyDescent="0.2">
      <c r="B54" t="s">
        <v>54</v>
      </c>
    </row>
    <row r="55" spans="2:7" x14ac:dyDescent="0.2">
      <c r="B55" s="41"/>
      <c r="C55" s="3"/>
      <c r="D55" s="4" t="s">
        <v>55</v>
      </c>
      <c r="E55" s="4" t="s">
        <v>55</v>
      </c>
      <c r="F55" s="4" t="s">
        <v>55</v>
      </c>
    </row>
    <row r="56" spans="2:7" x14ac:dyDescent="0.2">
      <c r="B56" s="41"/>
      <c r="C56" s="7" t="s">
        <v>11</v>
      </c>
      <c r="D56" s="7" t="s">
        <v>65</v>
      </c>
      <c r="E56" s="7" t="s">
        <v>56</v>
      </c>
      <c r="F56" s="7" t="s">
        <v>57</v>
      </c>
    </row>
    <row r="57" spans="2:7" x14ac:dyDescent="0.2">
      <c r="C57" s="15">
        <v>43282</v>
      </c>
      <c r="D57" s="16">
        <v>-34288</v>
      </c>
      <c r="E57" s="16">
        <v>0</v>
      </c>
      <c r="F57" s="14">
        <v>0</v>
      </c>
    </row>
    <row r="58" spans="2:7" x14ac:dyDescent="0.2">
      <c r="C58" s="19">
        <v>43313</v>
      </c>
      <c r="D58" s="20">
        <v>0</v>
      </c>
      <c r="E58" s="20">
        <v>0</v>
      </c>
      <c r="F58" s="23">
        <v>0</v>
      </c>
    </row>
    <row r="59" spans="2:7" x14ac:dyDescent="0.2">
      <c r="C59" s="19">
        <v>43344</v>
      </c>
      <c r="D59" s="20">
        <v>0</v>
      </c>
      <c r="E59" s="20">
        <v>29720</v>
      </c>
      <c r="F59" s="23">
        <v>0</v>
      </c>
    </row>
    <row r="60" spans="2:7" x14ac:dyDescent="0.2">
      <c r="C60" s="19">
        <v>43374</v>
      </c>
      <c r="D60" s="20">
        <v>0</v>
      </c>
      <c r="E60" s="20">
        <v>29720</v>
      </c>
      <c r="F60" s="23">
        <v>0</v>
      </c>
    </row>
    <row r="61" spans="2:7" x14ac:dyDescent="0.2">
      <c r="C61" s="19">
        <v>43405</v>
      </c>
      <c r="D61" s="20">
        <v>0</v>
      </c>
      <c r="E61" s="20">
        <v>29720</v>
      </c>
      <c r="F61" s="23">
        <v>0</v>
      </c>
    </row>
    <row r="62" spans="2:7" x14ac:dyDescent="0.2">
      <c r="C62" s="28">
        <v>43435</v>
      </c>
      <c r="D62" s="29">
        <v>0</v>
      </c>
      <c r="E62" s="29">
        <v>29720</v>
      </c>
      <c r="F62" s="25">
        <v>0</v>
      </c>
    </row>
    <row r="63" spans="2:7" x14ac:dyDescent="0.2">
      <c r="C63" s="56" t="s">
        <v>58</v>
      </c>
      <c r="D63" s="44">
        <f>SUM(D57:D62)</f>
        <v>-34288</v>
      </c>
      <c r="E63" s="44">
        <f>SUM(E57:E62)</f>
        <v>118880</v>
      </c>
      <c r="F63" s="44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workbookViewId="0">
      <selection activeCell="C37" sqref="C37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ht="14.25" customHeight="1" x14ac:dyDescent="0.2">
      <c r="B3" s="109" t="s">
        <v>90</v>
      </c>
      <c r="C3" s="110"/>
      <c r="D3" s="110"/>
      <c r="E3" s="110"/>
      <c r="F3" s="110"/>
      <c r="G3" s="111"/>
    </row>
    <row r="4" spans="2:7" x14ac:dyDescent="0.2">
      <c r="B4" s="112"/>
      <c r="C4" s="113"/>
      <c r="D4" s="113"/>
      <c r="E4" s="113"/>
      <c r="F4" s="113"/>
      <c r="G4" s="114"/>
    </row>
    <row r="6" spans="2:7" x14ac:dyDescent="0.2">
      <c r="B6" s="3"/>
      <c r="C6" s="3"/>
      <c r="D6" s="3"/>
      <c r="E6" s="4" t="s">
        <v>1</v>
      </c>
      <c r="F6" s="3"/>
      <c r="G6" s="3"/>
    </row>
    <row r="7" spans="2:7" x14ac:dyDescent="0.2">
      <c r="B7" s="5"/>
      <c r="C7" s="5"/>
      <c r="D7" s="6" t="s">
        <v>2</v>
      </c>
      <c r="E7" s="6" t="s">
        <v>3</v>
      </c>
      <c r="F7" s="5"/>
      <c r="G7" s="5"/>
    </row>
    <row r="8" spans="2:7" x14ac:dyDescent="0.2">
      <c r="B8" s="5"/>
      <c r="C8" s="5"/>
      <c r="D8" s="6" t="s">
        <v>4</v>
      </c>
      <c r="E8" s="6" t="s">
        <v>5</v>
      </c>
      <c r="F8" s="6" t="s">
        <v>6</v>
      </c>
      <c r="G8" s="6" t="s">
        <v>7</v>
      </c>
    </row>
    <row r="9" spans="2:7" x14ac:dyDescent="0.2">
      <c r="B9" s="7"/>
      <c r="C9" s="7"/>
      <c r="D9" s="7" t="s">
        <v>8</v>
      </c>
      <c r="E9" s="7" t="s">
        <v>8</v>
      </c>
      <c r="F9" s="7" t="s">
        <v>9</v>
      </c>
      <c r="G9" s="7" t="s">
        <v>9</v>
      </c>
    </row>
    <row r="10" spans="2:7" x14ac:dyDescent="0.2">
      <c r="B10" s="8" t="s">
        <v>10</v>
      </c>
      <c r="C10" s="8" t="s">
        <v>11</v>
      </c>
      <c r="D10" s="9" t="s">
        <v>12</v>
      </c>
      <c r="E10" s="9" t="s">
        <v>13</v>
      </c>
      <c r="F10" s="9" t="s">
        <v>14</v>
      </c>
      <c r="G10" s="9" t="s">
        <v>15</v>
      </c>
    </row>
    <row r="11" spans="2:7" x14ac:dyDescent="0.2">
      <c r="B11" s="4">
        <v>1</v>
      </c>
      <c r="C11" s="115" t="s">
        <v>16</v>
      </c>
      <c r="D11" s="116"/>
      <c r="E11" s="116"/>
      <c r="F11" s="116"/>
      <c r="G11" s="117"/>
    </row>
    <row r="12" spans="2:7" x14ac:dyDescent="0.2">
      <c r="B12" s="4" t="s">
        <v>17</v>
      </c>
      <c r="C12" s="10" t="s">
        <v>18</v>
      </c>
      <c r="D12" s="10"/>
      <c r="E12" s="10"/>
      <c r="F12" s="11"/>
      <c r="G12" s="12">
        <v>-9341</v>
      </c>
    </row>
    <row r="13" spans="2:7" x14ac:dyDescent="0.2">
      <c r="B13" s="6" t="s">
        <v>19</v>
      </c>
      <c r="C13" s="10" t="s">
        <v>20</v>
      </c>
      <c r="D13" s="10"/>
      <c r="E13" s="10"/>
      <c r="F13" s="11"/>
      <c r="G13" s="12">
        <v>-4885</v>
      </c>
    </row>
    <row r="14" spans="2:7" x14ac:dyDescent="0.2">
      <c r="B14" s="7" t="s">
        <v>21</v>
      </c>
      <c r="C14" s="10" t="s">
        <v>22</v>
      </c>
      <c r="D14" s="10"/>
      <c r="E14" s="10"/>
      <c r="F14" s="13"/>
      <c r="G14" s="14">
        <f>G12+G13</f>
        <v>-14226</v>
      </c>
    </row>
    <row r="15" spans="2:7" x14ac:dyDescent="0.2">
      <c r="B15" s="6">
        <v>2</v>
      </c>
      <c r="C15" s="15">
        <v>43282</v>
      </c>
      <c r="D15" s="16">
        <f>412146-203</f>
        <v>411943</v>
      </c>
      <c r="E15" s="17">
        <v>417578</v>
      </c>
      <c r="F15" s="18">
        <f t="shared" ref="F15:F22" si="0">D15-E15</f>
        <v>-5635</v>
      </c>
      <c r="G15" s="14">
        <f t="shared" ref="G15:G22" si="1">G14+F15</f>
        <v>-19861</v>
      </c>
    </row>
    <row r="16" spans="2:7" x14ac:dyDescent="0.2">
      <c r="B16" s="6">
        <v>3</v>
      </c>
      <c r="C16" s="19">
        <v>43313</v>
      </c>
      <c r="D16" s="20">
        <f>400353-200</f>
        <v>400153</v>
      </c>
      <c r="E16" s="21">
        <v>447899</v>
      </c>
      <c r="F16" s="22">
        <f t="shared" si="0"/>
        <v>-47746</v>
      </c>
      <c r="G16" s="23">
        <f t="shared" si="1"/>
        <v>-67607</v>
      </c>
    </row>
    <row r="17" spans="2:7" x14ac:dyDescent="0.2">
      <c r="B17" s="6">
        <v>4</v>
      </c>
      <c r="C17" s="19">
        <v>43344</v>
      </c>
      <c r="D17" s="20">
        <f>348733-182</f>
        <v>348551</v>
      </c>
      <c r="E17" s="21">
        <v>355990</v>
      </c>
      <c r="F17" s="22">
        <f t="shared" si="0"/>
        <v>-7439</v>
      </c>
      <c r="G17" s="23">
        <f t="shared" si="1"/>
        <v>-75046</v>
      </c>
    </row>
    <row r="18" spans="2:7" x14ac:dyDescent="0.2">
      <c r="B18" s="6">
        <v>5</v>
      </c>
      <c r="C18" s="19">
        <v>43374</v>
      </c>
      <c r="D18" s="20">
        <f>346845-195</f>
        <v>346650</v>
      </c>
      <c r="E18" s="21">
        <v>352116</v>
      </c>
      <c r="F18" s="22">
        <f t="shared" si="0"/>
        <v>-5466</v>
      </c>
      <c r="G18" s="23">
        <f t="shared" si="1"/>
        <v>-80512</v>
      </c>
    </row>
    <row r="19" spans="2:7" x14ac:dyDescent="0.2">
      <c r="B19" s="6">
        <v>6</v>
      </c>
      <c r="C19" s="19">
        <v>43405</v>
      </c>
      <c r="D19" s="20">
        <f>329800-198</f>
        <v>329602</v>
      </c>
      <c r="E19" s="21">
        <v>338650</v>
      </c>
      <c r="F19" s="22">
        <f t="shared" si="0"/>
        <v>-9048</v>
      </c>
      <c r="G19" s="23">
        <f t="shared" si="1"/>
        <v>-89560</v>
      </c>
    </row>
    <row r="20" spans="2:7" x14ac:dyDescent="0.2">
      <c r="B20" s="6">
        <v>7</v>
      </c>
      <c r="C20" s="19">
        <v>43435</v>
      </c>
      <c r="D20" s="20">
        <f>422923-207</f>
        <v>422716</v>
      </c>
      <c r="E20" s="21">
        <v>424429</v>
      </c>
      <c r="F20" s="24">
        <f t="shared" si="0"/>
        <v>-1713</v>
      </c>
      <c r="G20" s="25">
        <f t="shared" si="1"/>
        <v>-91273</v>
      </c>
    </row>
    <row r="21" spans="2:7" x14ac:dyDescent="0.2">
      <c r="B21" s="26" t="s">
        <v>23</v>
      </c>
      <c r="C21" s="15">
        <v>43466</v>
      </c>
      <c r="D21" s="16">
        <f>511662-216</f>
        <v>511446</v>
      </c>
      <c r="E21" s="17">
        <v>485951</v>
      </c>
      <c r="F21" s="18">
        <f t="shared" si="0"/>
        <v>25495</v>
      </c>
      <c r="G21" s="14">
        <f t="shared" si="1"/>
        <v>-65778</v>
      </c>
    </row>
    <row r="22" spans="2:7" x14ac:dyDescent="0.2">
      <c r="B22" s="27" t="s">
        <v>24</v>
      </c>
      <c r="C22" s="28">
        <v>43497</v>
      </c>
      <c r="D22" s="29">
        <f>461280-188</f>
        <v>461092</v>
      </c>
      <c r="E22" s="30">
        <v>485050</v>
      </c>
      <c r="F22" s="24">
        <f t="shared" si="0"/>
        <v>-23958</v>
      </c>
      <c r="G22" s="25">
        <f t="shared" si="1"/>
        <v>-89736</v>
      </c>
    </row>
    <row r="23" spans="2:7" x14ac:dyDescent="0.2">
      <c r="B23" s="7"/>
      <c r="C23" s="31" t="s">
        <v>25</v>
      </c>
      <c r="D23" s="32"/>
      <c r="E23" s="32"/>
      <c r="F23" s="32"/>
      <c r="G23" s="33"/>
    </row>
    <row r="24" spans="2:7" x14ac:dyDescent="0.2">
      <c r="B24" s="4"/>
      <c r="C24" s="3"/>
      <c r="D24" s="3"/>
      <c r="E24" s="3"/>
      <c r="F24" s="3"/>
      <c r="G24" s="14"/>
    </row>
    <row r="25" spans="2:7" x14ac:dyDescent="0.2">
      <c r="B25" s="6"/>
      <c r="C25" s="5"/>
      <c r="D25" s="6" t="s">
        <v>26</v>
      </c>
      <c r="E25" s="6" t="s">
        <v>27</v>
      </c>
      <c r="F25" s="5"/>
      <c r="G25" s="23"/>
    </row>
    <row r="26" spans="2:7" x14ac:dyDescent="0.2">
      <c r="B26" s="6">
        <v>8</v>
      </c>
      <c r="C26" s="5"/>
      <c r="D26" s="6" t="s">
        <v>28</v>
      </c>
      <c r="E26" s="6" t="s">
        <v>29</v>
      </c>
      <c r="F26" s="5"/>
      <c r="G26" s="34" t="s">
        <v>26</v>
      </c>
    </row>
    <row r="27" spans="2:7" x14ac:dyDescent="0.2">
      <c r="B27" s="6"/>
      <c r="C27" s="5"/>
      <c r="D27" s="6" t="s">
        <v>30</v>
      </c>
      <c r="E27" s="6" t="s">
        <v>31</v>
      </c>
      <c r="F27" s="5"/>
      <c r="G27" s="34" t="s">
        <v>32</v>
      </c>
    </row>
    <row r="28" spans="2:7" x14ac:dyDescent="0.2">
      <c r="B28" s="6"/>
      <c r="C28" s="5"/>
      <c r="D28" s="6" t="s">
        <v>33</v>
      </c>
      <c r="E28" s="6" t="s">
        <v>34</v>
      </c>
      <c r="F28" s="5"/>
      <c r="G28" s="34" t="s">
        <v>35</v>
      </c>
    </row>
    <row r="29" spans="2:7" x14ac:dyDescent="0.2">
      <c r="B29" s="7"/>
      <c r="C29" s="5"/>
      <c r="D29" s="6" t="s">
        <v>36</v>
      </c>
      <c r="E29" s="6" t="s">
        <v>37</v>
      </c>
      <c r="F29" s="5"/>
      <c r="G29" s="34" t="s">
        <v>38</v>
      </c>
    </row>
    <row r="30" spans="2:7" x14ac:dyDescent="0.2">
      <c r="B30" s="26" t="s">
        <v>39</v>
      </c>
      <c r="C30" s="3" t="s">
        <v>40</v>
      </c>
      <c r="D30" s="14">
        <f>-G12</f>
        <v>9341</v>
      </c>
      <c r="E30" s="14">
        <f>D61</f>
        <v>-7785</v>
      </c>
      <c r="F30" s="3"/>
      <c r="G30" s="14">
        <f>D30+E30</f>
        <v>1556</v>
      </c>
    </row>
    <row r="31" spans="2:7" x14ac:dyDescent="0.2">
      <c r="B31" s="37" t="s">
        <v>41</v>
      </c>
      <c r="C31" s="5" t="s">
        <v>42</v>
      </c>
      <c r="D31" s="23">
        <f>-G13</f>
        <v>4885</v>
      </c>
      <c r="E31" s="23">
        <f>E61</f>
        <v>0</v>
      </c>
      <c r="F31" s="5"/>
      <c r="G31" s="23">
        <f>D31+E31</f>
        <v>4885</v>
      </c>
    </row>
    <row r="32" spans="2:7" x14ac:dyDescent="0.2">
      <c r="B32" s="7" t="s">
        <v>43</v>
      </c>
      <c r="C32" s="82"/>
      <c r="D32" s="83"/>
      <c r="E32" s="83"/>
      <c r="F32" s="84" t="s">
        <v>44</v>
      </c>
      <c r="G32" s="44">
        <f>G30+G31</f>
        <v>6441</v>
      </c>
    </row>
    <row r="33" spans="2:7" x14ac:dyDescent="0.2">
      <c r="B33" s="41"/>
      <c r="G33" s="42"/>
    </row>
    <row r="34" spans="2:7" x14ac:dyDescent="0.2">
      <c r="B34" s="8">
        <v>9</v>
      </c>
      <c r="C34" s="45" t="s">
        <v>45</v>
      </c>
      <c r="D34" s="10"/>
      <c r="E34" s="10"/>
      <c r="F34" s="11"/>
      <c r="G34" s="44">
        <f>G20+G32</f>
        <v>-84832</v>
      </c>
    </row>
    <row r="35" spans="2:7" x14ac:dyDescent="0.2">
      <c r="B35" s="41"/>
      <c r="G35" s="42"/>
    </row>
    <row r="36" spans="2:7" x14ac:dyDescent="0.2">
      <c r="B36" s="8">
        <v>10</v>
      </c>
      <c r="C36" s="45" t="s">
        <v>46</v>
      </c>
      <c r="D36" s="10"/>
      <c r="E36" s="10"/>
      <c r="F36" s="11"/>
      <c r="G36" s="44">
        <f>G34/6</f>
        <v>-14138.666666666666</v>
      </c>
    </row>
    <row r="38" spans="2:7" x14ac:dyDescent="0.2">
      <c r="B38" s="3"/>
      <c r="C38" s="46" t="s">
        <v>47</v>
      </c>
      <c r="D38" s="47"/>
      <c r="E38" s="47"/>
      <c r="F38" s="47"/>
      <c r="G38" s="48"/>
    </row>
    <row r="39" spans="2:7" x14ac:dyDescent="0.2">
      <c r="B39" s="3"/>
      <c r="C39" s="49"/>
      <c r="D39" s="49"/>
      <c r="E39" s="49"/>
      <c r="F39" s="49"/>
      <c r="G39" s="13"/>
    </row>
    <row r="40" spans="2:7" x14ac:dyDescent="0.2">
      <c r="B40" s="6">
        <v>11</v>
      </c>
      <c r="C40" s="50" t="s">
        <v>48</v>
      </c>
      <c r="D40" s="50"/>
      <c r="E40" s="50"/>
      <c r="F40" s="50"/>
      <c r="G40" s="51">
        <f>G14</f>
        <v>-14226</v>
      </c>
    </row>
    <row r="41" spans="2:7" x14ac:dyDescent="0.2">
      <c r="B41" s="6">
        <v>12</v>
      </c>
      <c r="C41" s="50" t="s">
        <v>49</v>
      </c>
      <c r="D41" s="50"/>
      <c r="E41" s="50"/>
      <c r="F41" s="50"/>
      <c r="G41" s="52">
        <f>G32</f>
        <v>6441</v>
      </c>
    </row>
    <row r="42" spans="2:7" x14ac:dyDescent="0.2">
      <c r="B42" s="6"/>
      <c r="C42" s="50"/>
      <c r="D42" s="50"/>
      <c r="E42" s="50"/>
      <c r="F42" s="50"/>
      <c r="G42" s="51"/>
    </row>
    <row r="43" spans="2:7" ht="15" thickBot="1" x14ac:dyDescent="0.25">
      <c r="B43" s="6">
        <v>13</v>
      </c>
      <c r="C43" s="50" t="s">
        <v>50</v>
      </c>
      <c r="D43" s="50"/>
      <c r="E43" s="50"/>
      <c r="F43" s="50"/>
      <c r="G43" s="53">
        <f>G40+G41</f>
        <v>-7785</v>
      </c>
    </row>
    <row r="44" spans="2:7" ht="15" thickTop="1" x14ac:dyDescent="0.2">
      <c r="B44" s="6"/>
      <c r="C44" s="50"/>
      <c r="D44" s="50"/>
      <c r="E44" s="50"/>
      <c r="F44" s="50"/>
      <c r="G44" s="51"/>
    </row>
    <row r="45" spans="2:7" x14ac:dyDescent="0.2">
      <c r="B45" s="6">
        <v>14</v>
      </c>
      <c r="C45" s="50" t="s">
        <v>51</v>
      </c>
      <c r="D45" s="50"/>
      <c r="E45" s="50"/>
      <c r="F45" s="50"/>
      <c r="G45" s="51">
        <f>G34</f>
        <v>-84832</v>
      </c>
    </row>
    <row r="46" spans="2:7" x14ac:dyDescent="0.2">
      <c r="B46" s="6"/>
      <c r="C46" s="50"/>
      <c r="D46" s="50"/>
      <c r="E46" s="50"/>
      <c r="F46" s="50"/>
      <c r="G46" s="51"/>
    </row>
    <row r="47" spans="2:7" x14ac:dyDescent="0.2">
      <c r="B47" s="6">
        <v>15</v>
      </c>
      <c r="C47" s="50" t="s">
        <v>52</v>
      </c>
      <c r="D47" s="50"/>
      <c r="E47" s="50"/>
      <c r="F47" s="50"/>
      <c r="G47" s="52">
        <f>SUM(F15:F20)</f>
        <v>-77047</v>
      </c>
    </row>
    <row r="48" spans="2:7" x14ac:dyDescent="0.2">
      <c r="B48" s="6"/>
      <c r="C48" s="50"/>
      <c r="D48" s="50"/>
      <c r="E48" s="50"/>
      <c r="F48" s="50"/>
      <c r="G48" s="51"/>
    </row>
    <row r="49" spans="2:7" ht="15" thickBot="1" x14ac:dyDescent="0.25">
      <c r="B49" s="6">
        <v>16</v>
      </c>
      <c r="C49" s="50" t="s">
        <v>53</v>
      </c>
      <c r="D49" s="50"/>
      <c r="E49" s="50"/>
      <c r="F49" s="50"/>
      <c r="G49" s="53">
        <f>G45-G47</f>
        <v>-7785</v>
      </c>
    </row>
    <row r="50" spans="2:7" ht="15" thickTop="1" x14ac:dyDescent="0.2">
      <c r="B50" s="35"/>
      <c r="C50" s="54"/>
      <c r="D50" s="54"/>
      <c r="E50" s="54"/>
      <c r="F50" s="54"/>
      <c r="G50" s="55"/>
    </row>
    <row r="52" spans="2:7" x14ac:dyDescent="0.2">
      <c r="B52" t="s">
        <v>54</v>
      </c>
    </row>
    <row r="53" spans="2:7" x14ac:dyDescent="0.2">
      <c r="B53" s="41"/>
      <c r="C53" s="3"/>
      <c r="D53" s="4" t="s">
        <v>55</v>
      </c>
      <c r="E53" s="4" t="s">
        <v>55</v>
      </c>
      <c r="F53" s="37"/>
    </row>
    <row r="54" spans="2:7" x14ac:dyDescent="0.2">
      <c r="B54" s="41"/>
      <c r="C54" s="7" t="s">
        <v>11</v>
      </c>
      <c r="D54" s="7" t="s">
        <v>56</v>
      </c>
      <c r="E54" s="7" t="s">
        <v>57</v>
      </c>
      <c r="F54" s="37"/>
    </row>
    <row r="55" spans="2:7" x14ac:dyDescent="0.2">
      <c r="C55" s="15">
        <v>43282</v>
      </c>
      <c r="D55" s="16">
        <v>0</v>
      </c>
      <c r="E55" s="16">
        <v>0</v>
      </c>
      <c r="F55" s="22"/>
    </row>
    <row r="56" spans="2:7" x14ac:dyDescent="0.2">
      <c r="C56" s="19">
        <v>43313</v>
      </c>
      <c r="D56" s="20">
        <v>-1557</v>
      </c>
      <c r="E56" s="20">
        <v>0</v>
      </c>
      <c r="F56" s="22"/>
    </row>
    <row r="57" spans="2:7" x14ac:dyDescent="0.2">
      <c r="C57" s="19">
        <v>43344</v>
      </c>
      <c r="D57" s="20">
        <v>-1557</v>
      </c>
      <c r="E57" s="20">
        <v>0</v>
      </c>
      <c r="F57" s="22"/>
    </row>
    <row r="58" spans="2:7" x14ac:dyDescent="0.2">
      <c r="C58" s="19">
        <v>43374</v>
      </c>
      <c r="D58" s="20">
        <v>-1557</v>
      </c>
      <c r="E58" s="20">
        <v>0</v>
      </c>
      <c r="F58" s="22"/>
    </row>
    <row r="59" spans="2:7" x14ac:dyDescent="0.2">
      <c r="C59" s="19">
        <v>43405</v>
      </c>
      <c r="D59" s="20">
        <v>-1557</v>
      </c>
      <c r="E59" s="20">
        <v>0</v>
      </c>
      <c r="F59" s="22"/>
    </row>
    <row r="60" spans="2:7" x14ac:dyDescent="0.2">
      <c r="C60" s="28">
        <v>43435</v>
      </c>
      <c r="D60" s="20">
        <v>-1557</v>
      </c>
      <c r="E60" s="29">
        <v>0</v>
      </c>
      <c r="F60" s="22"/>
    </row>
    <row r="61" spans="2:7" x14ac:dyDescent="0.2">
      <c r="C61" s="56" t="s">
        <v>58</v>
      </c>
      <c r="D61" s="44">
        <f>SUM(D55:D60)</f>
        <v>-7785</v>
      </c>
      <c r="E61" s="44">
        <f>SUM(E55:E60)</f>
        <v>0</v>
      </c>
      <c r="F61" s="22"/>
    </row>
  </sheetData>
  <mergeCells count="2">
    <mergeCell ref="B3:G4"/>
    <mergeCell ref="C11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>
      <selection activeCell="C39" sqref="C39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ht="14.25" customHeight="1" x14ac:dyDescent="0.2">
      <c r="B3" s="109" t="s">
        <v>59</v>
      </c>
      <c r="C3" s="110"/>
      <c r="D3" s="110"/>
      <c r="E3" s="110"/>
      <c r="F3" s="110"/>
      <c r="G3" s="111"/>
    </row>
    <row r="4" spans="2:7" x14ac:dyDescent="0.2">
      <c r="B4" s="112"/>
      <c r="C4" s="113"/>
      <c r="D4" s="113"/>
      <c r="E4" s="113"/>
      <c r="F4" s="113"/>
      <c r="G4" s="114"/>
    </row>
    <row r="6" spans="2:7" x14ac:dyDescent="0.2">
      <c r="B6" s="3"/>
      <c r="C6" s="3"/>
      <c r="D6" s="3"/>
      <c r="E6" s="4" t="s">
        <v>1</v>
      </c>
      <c r="F6" s="3"/>
      <c r="G6" s="3"/>
    </row>
    <row r="7" spans="2:7" x14ac:dyDescent="0.2">
      <c r="B7" s="5"/>
      <c r="C7" s="5"/>
      <c r="D7" s="6" t="s">
        <v>2</v>
      </c>
      <c r="E7" s="6" t="s">
        <v>3</v>
      </c>
      <c r="F7" s="5"/>
      <c r="G7" s="5"/>
    </row>
    <row r="8" spans="2:7" x14ac:dyDescent="0.2">
      <c r="B8" s="5"/>
      <c r="C8" s="5"/>
      <c r="D8" s="6" t="s">
        <v>4</v>
      </c>
      <c r="E8" s="6" t="s">
        <v>5</v>
      </c>
      <c r="F8" s="6" t="s">
        <v>6</v>
      </c>
      <c r="G8" s="6" t="s">
        <v>7</v>
      </c>
    </row>
    <row r="9" spans="2:7" x14ac:dyDescent="0.2">
      <c r="B9" s="7"/>
      <c r="C9" s="7"/>
      <c r="D9" s="7" t="s">
        <v>8</v>
      </c>
      <c r="E9" s="7" t="s">
        <v>8</v>
      </c>
      <c r="F9" s="7" t="s">
        <v>9</v>
      </c>
      <c r="G9" s="7" t="s">
        <v>9</v>
      </c>
    </row>
    <row r="10" spans="2:7" x14ac:dyDescent="0.2">
      <c r="B10" s="8" t="s">
        <v>10</v>
      </c>
      <c r="C10" s="8" t="s">
        <v>11</v>
      </c>
      <c r="D10" s="9" t="s">
        <v>12</v>
      </c>
      <c r="E10" s="9" t="s">
        <v>13</v>
      </c>
      <c r="F10" s="9" t="s">
        <v>14</v>
      </c>
      <c r="G10" s="9" t="s">
        <v>15</v>
      </c>
    </row>
    <row r="11" spans="2:7" x14ac:dyDescent="0.2">
      <c r="B11" s="4">
        <v>1</v>
      </c>
      <c r="C11" s="115" t="s">
        <v>16</v>
      </c>
      <c r="D11" s="116"/>
      <c r="E11" s="116"/>
      <c r="F11" s="116"/>
      <c r="G11" s="117"/>
    </row>
    <row r="12" spans="2:7" x14ac:dyDescent="0.2">
      <c r="B12" s="4" t="s">
        <v>17</v>
      </c>
      <c r="C12" s="10" t="s">
        <v>60</v>
      </c>
      <c r="D12" s="10"/>
      <c r="E12" s="10"/>
      <c r="F12" s="11"/>
      <c r="G12" s="12">
        <v>-31476</v>
      </c>
    </row>
    <row r="13" spans="2:7" x14ac:dyDescent="0.2">
      <c r="B13" s="6" t="s">
        <v>19</v>
      </c>
      <c r="C13" s="10" t="s">
        <v>18</v>
      </c>
      <c r="D13" s="10"/>
      <c r="E13" s="10"/>
      <c r="F13" s="11"/>
      <c r="G13" s="12">
        <v>120527</v>
      </c>
    </row>
    <row r="14" spans="2:7" x14ac:dyDescent="0.2">
      <c r="B14" s="6" t="s">
        <v>21</v>
      </c>
      <c r="C14" s="10" t="s">
        <v>20</v>
      </c>
      <c r="D14" s="10"/>
      <c r="E14" s="10"/>
      <c r="F14" s="11"/>
      <c r="G14" s="12">
        <v>-373637</v>
      </c>
    </row>
    <row r="15" spans="2:7" x14ac:dyDescent="0.2">
      <c r="B15" s="7" t="s">
        <v>61</v>
      </c>
      <c r="C15" s="10" t="s">
        <v>22</v>
      </c>
      <c r="D15" s="10"/>
      <c r="E15" s="10"/>
      <c r="F15" s="13"/>
      <c r="G15" s="14">
        <f>G12+G13+G14</f>
        <v>-284586</v>
      </c>
    </row>
    <row r="16" spans="2:7" x14ac:dyDescent="0.2">
      <c r="B16" s="6">
        <v>2</v>
      </c>
      <c r="C16" s="15">
        <v>43282</v>
      </c>
      <c r="D16" s="16">
        <f>1017484-3339</f>
        <v>1014145</v>
      </c>
      <c r="E16" s="17">
        <v>1003409.14</v>
      </c>
      <c r="F16" s="18">
        <f t="shared" ref="F16:F23" si="0">D16-E16</f>
        <v>10735.859999999986</v>
      </c>
      <c r="G16" s="14">
        <f t="shared" ref="G16:G23" si="1">G15+F16</f>
        <v>-273850.14</v>
      </c>
    </row>
    <row r="17" spans="2:7" x14ac:dyDescent="0.2">
      <c r="B17" s="6">
        <v>3</v>
      </c>
      <c r="C17" s="19">
        <v>43313</v>
      </c>
      <c r="D17" s="20">
        <f>925100-3033</f>
        <v>922067</v>
      </c>
      <c r="E17" s="21">
        <v>1099764.2</v>
      </c>
      <c r="F17" s="22">
        <f t="shared" si="0"/>
        <v>-177697.19999999995</v>
      </c>
      <c r="G17" s="23">
        <f t="shared" si="1"/>
        <v>-451547.33999999997</v>
      </c>
    </row>
    <row r="18" spans="2:7" x14ac:dyDescent="0.2">
      <c r="B18" s="6">
        <v>4</v>
      </c>
      <c r="C18" s="19">
        <v>43344</v>
      </c>
      <c r="D18" s="20">
        <f>923400-3252</f>
        <v>920148</v>
      </c>
      <c r="E18" s="21">
        <v>950618.36</v>
      </c>
      <c r="F18" s="22">
        <f t="shared" si="0"/>
        <v>-30470.359999999986</v>
      </c>
      <c r="G18" s="23">
        <f t="shared" si="1"/>
        <v>-482017.69999999995</v>
      </c>
    </row>
    <row r="19" spans="2:7" x14ac:dyDescent="0.2">
      <c r="B19" s="6">
        <v>5</v>
      </c>
      <c r="C19" s="19">
        <v>43374</v>
      </c>
      <c r="D19" s="20">
        <f>871863-3301</f>
        <v>868562</v>
      </c>
      <c r="E19" s="21">
        <v>900069.06</v>
      </c>
      <c r="F19" s="22">
        <f t="shared" si="0"/>
        <v>-31507.060000000056</v>
      </c>
      <c r="G19" s="23">
        <f t="shared" si="1"/>
        <v>-513524.76</v>
      </c>
    </row>
    <row r="20" spans="2:7" x14ac:dyDescent="0.2">
      <c r="B20" s="6">
        <v>6</v>
      </c>
      <c r="C20" s="19">
        <v>43405</v>
      </c>
      <c r="D20" s="20">
        <f>1101217-3458</f>
        <v>1097759</v>
      </c>
      <c r="E20" s="21">
        <v>955746.47</v>
      </c>
      <c r="F20" s="22">
        <f t="shared" si="0"/>
        <v>142012.53000000003</v>
      </c>
      <c r="G20" s="23">
        <f t="shared" si="1"/>
        <v>-371512.23</v>
      </c>
    </row>
    <row r="21" spans="2:7" x14ac:dyDescent="0.2">
      <c r="B21" s="6">
        <v>7</v>
      </c>
      <c r="C21" s="19">
        <v>43435</v>
      </c>
      <c r="D21" s="20">
        <f>1339005-3601</f>
        <v>1335404</v>
      </c>
      <c r="E21" s="21">
        <v>1201541.54</v>
      </c>
      <c r="F21" s="24">
        <f t="shared" si="0"/>
        <v>133862.45999999996</v>
      </c>
      <c r="G21" s="25">
        <f t="shared" si="1"/>
        <v>-237649.77000000002</v>
      </c>
    </row>
    <row r="22" spans="2:7" x14ac:dyDescent="0.2">
      <c r="B22" s="26" t="s">
        <v>23</v>
      </c>
      <c r="C22" s="15">
        <v>43466</v>
      </c>
      <c r="D22" s="16">
        <f>1247237-3138</f>
        <v>1244099</v>
      </c>
      <c r="E22" s="17">
        <v>1307697.07</v>
      </c>
      <c r="F22" s="18">
        <f t="shared" si="0"/>
        <v>-63598.070000000065</v>
      </c>
      <c r="G22" s="14">
        <f t="shared" si="1"/>
        <v>-301247.84000000008</v>
      </c>
    </row>
    <row r="23" spans="2:7" x14ac:dyDescent="0.2">
      <c r="B23" s="27" t="s">
        <v>24</v>
      </c>
      <c r="C23" s="28">
        <v>43497</v>
      </c>
      <c r="D23" s="29">
        <f>834646-2598</f>
        <v>832048</v>
      </c>
      <c r="E23" s="30">
        <v>1312355.1299999999</v>
      </c>
      <c r="F23" s="24">
        <f t="shared" si="0"/>
        <v>-480307.12999999989</v>
      </c>
      <c r="G23" s="25">
        <f t="shared" si="1"/>
        <v>-781554.97</v>
      </c>
    </row>
    <row r="24" spans="2:7" x14ac:dyDescent="0.2">
      <c r="B24" s="7"/>
      <c r="C24" s="31" t="s">
        <v>25</v>
      </c>
      <c r="D24" s="32"/>
      <c r="E24" s="32"/>
      <c r="F24" s="32"/>
      <c r="G24" s="33"/>
    </row>
    <row r="25" spans="2:7" x14ac:dyDescent="0.2">
      <c r="B25" s="4"/>
      <c r="C25" s="3"/>
      <c r="D25" s="3"/>
      <c r="E25" s="3"/>
      <c r="F25" s="3"/>
      <c r="G25" s="14"/>
    </row>
    <row r="26" spans="2:7" x14ac:dyDescent="0.2">
      <c r="B26" s="6"/>
      <c r="C26" s="5"/>
      <c r="D26" s="6" t="s">
        <v>26</v>
      </c>
      <c r="E26" s="6" t="s">
        <v>27</v>
      </c>
      <c r="F26" s="5"/>
      <c r="G26" s="23"/>
    </row>
    <row r="27" spans="2:7" x14ac:dyDescent="0.2">
      <c r="B27" s="6">
        <v>8</v>
      </c>
      <c r="C27" s="5"/>
      <c r="D27" s="6" t="s">
        <v>28</v>
      </c>
      <c r="E27" s="6" t="s">
        <v>29</v>
      </c>
      <c r="F27" s="5"/>
      <c r="G27" s="34" t="s">
        <v>26</v>
      </c>
    </row>
    <row r="28" spans="2:7" x14ac:dyDescent="0.2">
      <c r="B28" s="6"/>
      <c r="C28" s="5"/>
      <c r="D28" s="6" t="s">
        <v>30</v>
      </c>
      <c r="E28" s="6" t="s">
        <v>31</v>
      </c>
      <c r="F28" s="5"/>
      <c r="G28" s="34" t="s">
        <v>32</v>
      </c>
    </row>
    <row r="29" spans="2:7" x14ac:dyDescent="0.2">
      <c r="B29" s="6"/>
      <c r="C29" s="5"/>
      <c r="D29" s="6" t="s">
        <v>33</v>
      </c>
      <c r="E29" s="6" t="s">
        <v>34</v>
      </c>
      <c r="F29" s="5"/>
      <c r="G29" s="34" t="s">
        <v>35</v>
      </c>
    </row>
    <row r="30" spans="2:7" x14ac:dyDescent="0.2">
      <c r="B30" s="7"/>
      <c r="C30" s="5"/>
      <c r="D30" s="6" t="s">
        <v>36</v>
      </c>
      <c r="E30" s="6" t="s">
        <v>37</v>
      </c>
      <c r="F30" s="5"/>
      <c r="G30" s="34" t="s">
        <v>38</v>
      </c>
    </row>
    <row r="31" spans="2:7" x14ac:dyDescent="0.2">
      <c r="B31" s="26" t="s">
        <v>39</v>
      </c>
      <c r="C31" s="3" t="s">
        <v>62</v>
      </c>
      <c r="D31" s="14">
        <f>-G12</f>
        <v>31476</v>
      </c>
      <c r="E31" s="14">
        <f>D63</f>
        <v>-31476</v>
      </c>
      <c r="F31" s="3"/>
      <c r="G31" s="14">
        <f>D31+E31</f>
        <v>0</v>
      </c>
    </row>
    <row r="32" spans="2:7" x14ac:dyDescent="0.2">
      <c r="B32" s="37" t="s">
        <v>41</v>
      </c>
      <c r="C32" s="5" t="s">
        <v>40</v>
      </c>
      <c r="D32" s="23">
        <f>-G13</f>
        <v>-120527</v>
      </c>
      <c r="E32" s="23">
        <f>E63</f>
        <v>80352</v>
      </c>
      <c r="F32" s="5"/>
      <c r="G32" s="23">
        <f>D32+E32</f>
        <v>-40175</v>
      </c>
    </row>
    <row r="33" spans="2:7" x14ac:dyDescent="0.2">
      <c r="B33" s="37" t="s">
        <v>43</v>
      </c>
      <c r="C33" s="35" t="s">
        <v>42</v>
      </c>
      <c r="D33" s="25">
        <f>-G14</f>
        <v>373637</v>
      </c>
      <c r="E33" s="25">
        <f>F63</f>
        <v>0</v>
      </c>
      <c r="F33" s="35"/>
      <c r="G33" s="25">
        <f>D33+E33</f>
        <v>373637</v>
      </c>
    </row>
    <row r="34" spans="2:7" x14ac:dyDescent="0.2">
      <c r="B34" s="7" t="s">
        <v>63</v>
      </c>
      <c r="C34" s="38"/>
      <c r="D34" s="39"/>
      <c r="E34" s="39"/>
      <c r="F34" s="40" t="s">
        <v>44</v>
      </c>
      <c r="G34" s="25">
        <f>G31+G32+G33</f>
        <v>333462</v>
      </c>
    </row>
    <row r="35" spans="2:7" x14ac:dyDescent="0.2">
      <c r="B35" s="41"/>
      <c r="G35" s="42"/>
    </row>
    <row r="36" spans="2:7" x14ac:dyDescent="0.2">
      <c r="B36" s="8">
        <v>9</v>
      </c>
      <c r="C36" s="45" t="s">
        <v>64</v>
      </c>
      <c r="D36" s="10"/>
      <c r="E36" s="10"/>
      <c r="F36" s="11"/>
      <c r="G36" s="44">
        <f>G21+G34</f>
        <v>95812.229999999981</v>
      </c>
    </row>
    <row r="37" spans="2:7" x14ac:dyDescent="0.2">
      <c r="B37" s="41"/>
      <c r="G37" s="42"/>
    </row>
    <row r="38" spans="2:7" x14ac:dyDescent="0.2">
      <c r="B38" s="8">
        <v>10</v>
      </c>
      <c r="C38" s="45" t="s">
        <v>46</v>
      </c>
      <c r="D38" s="10"/>
      <c r="E38" s="10"/>
      <c r="F38" s="11"/>
      <c r="G38" s="44">
        <f>G36/6</f>
        <v>15968.704999999996</v>
      </c>
    </row>
    <row r="40" spans="2:7" x14ac:dyDescent="0.2">
      <c r="B40" s="3"/>
      <c r="C40" s="46" t="s">
        <v>47</v>
      </c>
      <c r="D40" s="47"/>
      <c r="E40" s="47"/>
      <c r="F40" s="47"/>
      <c r="G40" s="48"/>
    </row>
    <row r="41" spans="2:7" x14ac:dyDescent="0.2">
      <c r="B41" s="3"/>
      <c r="C41" s="49"/>
      <c r="D41" s="49"/>
      <c r="E41" s="49"/>
      <c r="F41" s="49"/>
      <c r="G41" s="13"/>
    </row>
    <row r="42" spans="2:7" x14ac:dyDescent="0.2">
      <c r="B42" s="6">
        <v>11</v>
      </c>
      <c r="C42" s="50" t="s">
        <v>48</v>
      </c>
      <c r="D42" s="50"/>
      <c r="E42" s="50"/>
      <c r="F42" s="50"/>
      <c r="G42" s="51">
        <f>G15</f>
        <v>-284586</v>
      </c>
    </row>
    <row r="43" spans="2:7" x14ac:dyDescent="0.2">
      <c r="B43" s="6">
        <v>12</v>
      </c>
      <c r="C43" s="50" t="s">
        <v>49</v>
      </c>
      <c r="D43" s="50"/>
      <c r="E43" s="50"/>
      <c r="F43" s="50"/>
      <c r="G43" s="52">
        <f>G34</f>
        <v>333462</v>
      </c>
    </row>
    <row r="44" spans="2:7" x14ac:dyDescent="0.2">
      <c r="B44" s="6"/>
      <c r="C44" s="50"/>
      <c r="D44" s="50"/>
      <c r="E44" s="50"/>
      <c r="F44" s="50"/>
      <c r="G44" s="51"/>
    </row>
    <row r="45" spans="2:7" ht="15" thickBot="1" x14ac:dyDescent="0.25">
      <c r="B45" s="6">
        <v>13</v>
      </c>
      <c r="C45" s="50" t="s">
        <v>50</v>
      </c>
      <c r="D45" s="50"/>
      <c r="E45" s="50"/>
      <c r="F45" s="50"/>
      <c r="G45" s="53">
        <f>G42+G43</f>
        <v>48876</v>
      </c>
    </row>
    <row r="46" spans="2:7" ht="15" thickTop="1" x14ac:dyDescent="0.2">
      <c r="B46" s="6"/>
      <c r="C46" s="50"/>
      <c r="D46" s="50"/>
      <c r="E46" s="50"/>
      <c r="F46" s="50"/>
      <c r="G46" s="51"/>
    </row>
    <row r="47" spans="2:7" x14ac:dyDescent="0.2">
      <c r="B47" s="6">
        <v>14</v>
      </c>
      <c r="C47" s="50" t="s">
        <v>51</v>
      </c>
      <c r="D47" s="50"/>
      <c r="E47" s="50"/>
      <c r="F47" s="50"/>
      <c r="G47" s="51">
        <f>G36</f>
        <v>95812.229999999981</v>
      </c>
    </row>
    <row r="48" spans="2:7" x14ac:dyDescent="0.2">
      <c r="B48" s="6"/>
      <c r="C48" s="50"/>
      <c r="D48" s="50"/>
      <c r="E48" s="50"/>
      <c r="F48" s="50"/>
      <c r="G48" s="51"/>
    </row>
    <row r="49" spans="2:7" x14ac:dyDescent="0.2">
      <c r="B49" s="6">
        <v>15</v>
      </c>
      <c r="C49" s="50" t="s">
        <v>52</v>
      </c>
      <c r="D49" s="50"/>
      <c r="E49" s="50"/>
      <c r="F49" s="50"/>
      <c r="G49" s="52">
        <f>SUM(F16:F21)</f>
        <v>46936.229999999981</v>
      </c>
    </row>
    <row r="50" spans="2:7" x14ac:dyDescent="0.2">
      <c r="B50" s="6"/>
      <c r="C50" s="50"/>
      <c r="D50" s="50"/>
      <c r="E50" s="50"/>
      <c r="F50" s="50"/>
      <c r="G50" s="51"/>
    </row>
    <row r="51" spans="2:7" ht="15" thickBot="1" x14ac:dyDescent="0.25">
      <c r="B51" s="6">
        <v>16</v>
      </c>
      <c r="C51" s="50" t="s">
        <v>53</v>
      </c>
      <c r="D51" s="50"/>
      <c r="E51" s="50"/>
      <c r="F51" s="50"/>
      <c r="G51" s="53">
        <f>G47-G49</f>
        <v>48876</v>
      </c>
    </row>
    <row r="52" spans="2:7" ht="15" thickTop="1" x14ac:dyDescent="0.2">
      <c r="B52" s="35"/>
      <c r="C52" s="54"/>
      <c r="D52" s="54"/>
      <c r="E52" s="54"/>
      <c r="F52" s="54"/>
      <c r="G52" s="55"/>
    </row>
    <row r="54" spans="2:7" x14ac:dyDescent="0.2">
      <c r="B54" t="s">
        <v>54</v>
      </c>
    </row>
    <row r="55" spans="2:7" x14ac:dyDescent="0.2">
      <c r="B55" s="41"/>
      <c r="C55" s="3"/>
      <c r="D55" s="4" t="s">
        <v>55</v>
      </c>
      <c r="E55" s="4" t="s">
        <v>55</v>
      </c>
      <c r="F55" s="4" t="s">
        <v>55</v>
      </c>
    </row>
    <row r="56" spans="2:7" x14ac:dyDescent="0.2">
      <c r="B56" s="41"/>
      <c r="C56" s="7" t="s">
        <v>11</v>
      </c>
      <c r="D56" s="7" t="s">
        <v>65</v>
      </c>
      <c r="E56" s="7" t="s">
        <v>56</v>
      </c>
      <c r="F56" s="7" t="s">
        <v>66</v>
      </c>
    </row>
    <row r="57" spans="2:7" x14ac:dyDescent="0.2">
      <c r="C57" s="15">
        <v>43282</v>
      </c>
      <c r="D57" s="16">
        <v>-31476</v>
      </c>
      <c r="E57" s="16">
        <v>0</v>
      </c>
      <c r="F57" s="14">
        <v>0</v>
      </c>
    </row>
    <row r="58" spans="2:7" x14ac:dyDescent="0.2">
      <c r="C58" s="19">
        <v>43313</v>
      </c>
      <c r="D58" s="20">
        <v>0</v>
      </c>
      <c r="E58" s="20">
        <v>0</v>
      </c>
      <c r="F58" s="23">
        <v>0</v>
      </c>
    </row>
    <row r="59" spans="2:7" x14ac:dyDescent="0.2">
      <c r="C59" s="19">
        <v>43344</v>
      </c>
      <c r="D59" s="20">
        <v>0</v>
      </c>
      <c r="E59" s="20">
        <v>20088</v>
      </c>
      <c r="F59" s="23">
        <v>0</v>
      </c>
    </row>
    <row r="60" spans="2:7" x14ac:dyDescent="0.2">
      <c r="C60" s="19">
        <v>43374</v>
      </c>
      <c r="D60" s="20">
        <v>0</v>
      </c>
      <c r="E60" s="20">
        <v>20088</v>
      </c>
      <c r="F60" s="23">
        <v>0</v>
      </c>
    </row>
    <row r="61" spans="2:7" x14ac:dyDescent="0.2">
      <c r="C61" s="19">
        <v>43405</v>
      </c>
      <c r="D61" s="20">
        <v>0</v>
      </c>
      <c r="E61" s="20">
        <v>20088</v>
      </c>
      <c r="F61" s="23">
        <v>0</v>
      </c>
    </row>
    <row r="62" spans="2:7" x14ac:dyDescent="0.2">
      <c r="C62" s="28">
        <v>43435</v>
      </c>
      <c r="D62" s="29">
        <v>0</v>
      </c>
      <c r="E62" s="29">
        <v>20088</v>
      </c>
      <c r="F62" s="25">
        <v>0</v>
      </c>
    </row>
    <row r="63" spans="2:7" x14ac:dyDescent="0.2">
      <c r="C63" s="56" t="s">
        <v>58</v>
      </c>
      <c r="D63" s="44">
        <f>SUM(D57:D62)</f>
        <v>-31476</v>
      </c>
      <c r="E63" s="44">
        <f>SUM(E57:E62)</f>
        <v>80352</v>
      </c>
      <c r="F63" s="44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>
      <selection activeCell="C39" sqref="C39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ht="14.25" customHeight="1" x14ac:dyDescent="0.2">
      <c r="B3" s="109" t="s">
        <v>67</v>
      </c>
      <c r="C3" s="110"/>
      <c r="D3" s="110"/>
      <c r="E3" s="110"/>
      <c r="F3" s="110"/>
      <c r="G3" s="111"/>
    </row>
    <row r="4" spans="2:7" x14ac:dyDescent="0.2">
      <c r="B4" s="112"/>
      <c r="C4" s="113"/>
      <c r="D4" s="113"/>
      <c r="E4" s="113"/>
      <c r="F4" s="113"/>
      <c r="G4" s="114"/>
    </row>
    <row r="6" spans="2:7" x14ac:dyDescent="0.2">
      <c r="B6" s="3"/>
      <c r="C6" s="3"/>
      <c r="D6" s="3"/>
      <c r="E6" s="4" t="s">
        <v>1</v>
      </c>
      <c r="F6" s="3"/>
      <c r="G6" s="3"/>
    </row>
    <row r="7" spans="2:7" x14ac:dyDescent="0.2">
      <c r="B7" s="5"/>
      <c r="C7" s="5"/>
      <c r="D7" s="6" t="s">
        <v>2</v>
      </c>
      <c r="E7" s="6" t="s">
        <v>3</v>
      </c>
      <c r="F7" s="5"/>
      <c r="G7" s="5"/>
    </row>
    <row r="8" spans="2:7" x14ac:dyDescent="0.2">
      <c r="B8" s="5"/>
      <c r="C8" s="5"/>
      <c r="D8" s="6" t="s">
        <v>4</v>
      </c>
      <c r="E8" s="6" t="s">
        <v>5</v>
      </c>
      <c r="F8" s="6" t="s">
        <v>6</v>
      </c>
      <c r="G8" s="6" t="s">
        <v>7</v>
      </c>
    </row>
    <row r="9" spans="2:7" x14ac:dyDescent="0.2">
      <c r="B9" s="7"/>
      <c r="C9" s="7"/>
      <c r="D9" s="7" t="s">
        <v>8</v>
      </c>
      <c r="E9" s="7" t="s">
        <v>8</v>
      </c>
      <c r="F9" s="7" t="s">
        <v>9</v>
      </c>
      <c r="G9" s="7" t="s">
        <v>9</v>
      </c>
    </row>
    <row r="10" spans="2:7" x14ac:dyDescent="0.2">
      <c r="B10" s="8" t="s">
        <v>10</v>
      </c>
      <c r="C10" s="8" t="s">
        <v>11</v>
      </c>
      <c r="D10" s="9" t="s">
        <v>12</v>
      </c>
      <c r="E10" s="9" t="s">
        <v>13</v>
      </c>
      <c r="F10" s="9" t="s">
        <v>14</v>
      </c>
      <c r="G10" s="9" t="s">
        <v>15</v>
      </c>
    </row>
    <row r="11" spans="2:7" x14ac:dyDescent="0.2">
      <c r="B11" s="4">
        <v>1</v>
      </c>
      <c r="C11" s="115" t="s">
        <v>16</v>
      </c>
      <c r="D11" s="116"/>
      <c r="E11" s="116"/>
      <c r="F11" s="116"/>
      <c r="G11" s="117"/>
    </row>
    <row r="12" spans="2:7" x14ac:dyDescent="0.2">
      <c r="B12" s="4" t="s">
        <v>17</v>
      </c>
      <c r="C12" s="10" t="s">
        <v>60</v>
      </c>
      <c r="D12" s="10"/>
      <c r="E12" s="10"/>
      <c r="F12" s="11"/>
      <c r="G12" s="12">
        <v>10220</v>
      </c>
    </row>
    <row r="13" spans="2:7" x14ac:dyDescent="0.2">
      <c r="B13" s="6" t="s">
        <v>19</v>
      </c>
      <c r="C13" s="10" t="s">
        <v>18</v>
      </c>
      <c r="D13" s="10"/>
      <c r="E13" s="10"/>
      <c r="F13" s="11"/>
      <c r="G13" s="12">
        <v>-53312</v>
      </c>
    </row>
    <row r="14" spans="2:7" x14ac:dyDescent="0.2">
      <c r="B14" s="6" t="s">
        <v>21</v>
      </c>
      <c r="C14" s="10" t="s">
        <v>20</v>
      </c>
      <c r="D14" s="10"/>
      <c r="E14" s="10"/>
      <c r="F14" s="11"/>
      <c r="G14" s="12">
        <v>26246</v>
      </c>
    </row>
    <row r="15" spans="2:7" x14ac:dyDescent="0.2">
      <c r="B15" s="7" t="s">
        <v>61</v>
      </c>
      <c r="C15" s="10" t="s">
        <v>22</v>
      </c>
      <c r="D15" s="10"/>
      <c r="E15" s="10"/>
      <c r="F15" s="13"/>
      <c r="G15" s="14">
        <f>G12+G13+G14</f>
        <v>-16846</v>
      </c>
    </row>
    <row r="16" spans="2:7" x14ac:dyDescent="0.2">
      <c r="B16" s="6">
        <v>2</v>
      </c>
      <c r="C16" s="15">
        <v>43282</v>
      </c>
      <c r="D16" s="16">
        <f>352713-267</f>
        <v>352446</v>
      </c>
      <c r="E16" s="17">
        <f>383057.05</f>
        <v>383057.05</v>
      </c>
      <c r="F16" s="18">
        <f t="shared" ref="F16:F23" si="0">D16-E16</f>
        <v>-30611.049999999988</v>
      </c>
      <c r="G16" s="14">
        <f t="shared" ref="G16:G23" si="1">G15+F16</f>
        <v>-47457.049999999988</v>
      </c>
    </row>
    <row r="17" spans="2:7" x14ac:dyDescent="0.2">
      <c r="B17" s="6">
        <v>3</v>
      </c>
      <c r="C17" s="19">
        <v>43313</v>
      </c>
      <c r="D17" s="20">
        <f>344806-262</f>
        <v>344544</v>
      </c>
      <c r="E17" s="21">
        <v>366063.89</v>
      </c>
      <c r="F17" s="22">
        <f t="shared" si="0"/>
        <v>-21519.890000000014</v>
      </c>
      <c r="G17" s="23">
        <f t="shared" si="1"/>
        <v>-68976.94</v>
      </c>
    </row>
    <row r="18" spans="2:7" x14ac:dyDescent="0.2">
      <c r="B18" s="6">
        <v>4</v>
      </c>
      <c r="C18" s="19">
        <v>43344</v>
      </c>
      <c r="D18" s="20">
        <f>302518-238</f>
        <v>302280</v>
      </c>
      <c r="E18" s="21">
        <v>312729.03999999998</v>
      </c>
      <c r="F18" s="22">
        <f t="shared" si="0"/>
        <v>-10449.039999999979</v>
      </c>
      <c r="G18" s="23">
        <f t="shared" si="1"/>
        <v>-79425.979999999981</v>
      </c>
    </row>
    <row r="19" spans="2:7" x14ac:dyDescent="0.2">
      <c r="B19" s="6">
        <v>5</v>
      </c>
      <c r="C19" s="19">
        <v>43374</v>
      </c>
      <c r="D19" s="20">
        <f>299005-255</f>
        <v>298750</v>
      </c>
      <c r="E19" s="21">
        <v>280478.03000000003</v>
      </c>
      <c r="F19" s="22">
        <f t="shared" si="0"/>
        <v>18271.969999999972</v>
      </c>
      <c r="G19" s="23">
        <f t="shared" si="1"/>
        <v>-61154.010000000009</v>
      </c>
    </row>
    <row r="20" spans="2:7" x14ac:dyDescent="0.2">
      <c r="B20" s="6">
        <v>6</v>
      </c>
      <c r="C20" s="19">
        <v>43405</v>
      </c>
      <c r="D20" s="20">
        <f>291159-259</f>
        <v>290900</v>
      </c>
      <c r="E20" s="21">
        <v>301797.26</v>
      </c>
      <c r="F20" s="22">
        <f t="shared" si="0"/>
        <v>-10897.260000000009</v>
      </c>
      <c r="G20" s="23">
        <f t="shared" si="1"/>
        <v>-72051.270000000019</v>
      </c>
    </row>
    <row r="21" spans="2:7" x14ac:dyDescent="0.2">
      <c r="B21" s="6">
        <v>7</v>
      </c>
      <c r="C21" s="19">
        <v>43435</v>
      </c>
      <c r="D21" s="20">
        <f>385726-272</f>
        <v>385454</v>
      </c>
      <c r="E21" s="21">
        <v>409133.88</v>
      </c>
      <c r="F21" s="24">
        <f t="shared" si="0"/>
        <v>-23679.880000000005</v>
      </c>
      <c r="G21" s="25">
        <f t="shared" si="1"/>
        <v>-95731.150000000023</v>
      </c>
    </row>
    <row r="22" spans="2:7" x14ac:dyDescent="0.2">
      <c r="B22" s="26" t="s">
        <v>23</v>
      </c>
      <c r="C22" s="15">
        <v>43466</v>
      </c>
      <c r="D22" s="16">
        <f>473094-283</f>
        <v>472811</v>
      </c>
      <c r="E22" s="17">
        <v>438804.67</v>
      </c>
      <c r="F22" s="18">
        <f t="shared" si="0"/>
        <v>34006.330000000016</v>
      </c>
      <c r="G22" s="14">
        <f t="shared" si="1"/>
        <v>-61724.820000000007</v>
      </c>
    </row>
    <row r="23" spans="2:7" x14ac:dyDescent="0.2">
      <c r="B23" s="27" t="s">
        <v>24</v>
      </c>
      <c r="C23" s="28">
        <v>43497</v>
      </c>
      <c r="D23" s="29">
        <f>443718-247</f>
        <v>443471</v>
      </c>
      <c r="E23" s="30">
        <v>460119.55</v>
      </c>
      <c r="F23" s="24">
        <f t="shared" si="0"/>
        <v>-16648.549999999988</v>
      </c>
      <c r="G23" s="25">
        <f t="shared" si="1"/>
        <v>-78373.37</v>
      </c>
    </row>
    <row r="24" spans="2:7" x14ac:dyDescent="0.2">
      <c r="B24" s="7"/>
      <c r="C24" s="31" t="s">
        <v>25</v>
      </c>
      <c r="D24" s="32"/>
      <c r="E24" s="32"/>
      <c r="F24" s="32"/>
      <c r="G24" s="33"/>
    </row>
    <row r="25" spans="2:7" x14ac:dyDescent="0.2">
      <c r="B25" s="4"/>
      <c r="C25" s="3"/>
      <c r="D25" s="3"/>
      <c r="E25" s="3"/>
      <c r="F25" s="3"/>
      <c r="G25" s="14"/>
    </row>
    <row r="26" spans="2:7" x14ac:dyDescent="0.2">
      <c r="B26" s="6"/>
      <c r="C26" s="5"/>
      <c r="D26" s="6" t="s">
        <v>26</v>
      </c>
      <c r="E26" s="6" t="s">
        <v>27</v>
      </c>
      <c r="F26" s="5"/>
      <c r="G26" s="23"/>
    </row>
    <row r="27" spans="2:7" x14ac:dyDescent="0.2">
      <c r="B27" s="6">
        <v>8</v>
      </c>
      <c r="C27" s="5"/>
      <c r="D27" s="6" t="s">
        <v>28</v>
      </c>
      <c r="E27" s="6" t="s">
        <v>29</v>
      </c>
      <c r="F27" s="5"/>
      <c r="G27" s="34" t="s">
        <v>26</v>
      </c>
    </row>
    <row r="28" spans="2:7" x14ac:dyDescent="0.2">
      <c r="B28" s="6"/>
      <c r="C28" s="5"/>
      <c r="D28" s="6" t="s">
        <v>30</v>
      </c>
      <c r="E28" s="6" t="s">
        <v>31</v>
      </c>
      <c r="F28" s="5"/>
      <c r="G28" s="34" t="s">
        <v>32</v>
      </c>
    </row>
    <row r="29" spans="2:7" x14ac:dyDescent="0.2">
      <c r="B29" s="6"/>
      <c r="C29" s="5"/>
      <c r="D29" s="6" t="s">
        <v>33</v>
      </c>
      <c r="E29" s="6" t="s">
        <v>34</v>
      </c>
      <c r="F29" s="5"/>
      <c r="G29" s="34" t="s">
        <v>35</v>
      </c>
    </row>
    <row r="30" spans="2:7" x14ac:dyDescent="0.2">
      <c r="B30" s="7"/>
      <c r="C30" s="5"/>
      <c r="D30" s="6" t="s">
        <v>36</v>
      </c>
      <c r="E30" s="6" t="s">
        <v>37</v>
      </c>
      <c r="F30" s="5"/>
      <c r="G30" s="34" t="s">
        <v>38</v>
      </c>
    </row>
    <row r="31" spans="2:7" x14ac:dyDescent="0.2">
      <c r="B31" s="26" t="s">
        <v>39</v>
      </c>
      <c r="C31" s="3" t="s">
        <v>62</v>
      </c>
      <c r="D31" s="14">
        <f>-G12</f>
        <v>-10220</v>
      </c>
      <c r="E31" s="14">
        <f>D63</f>
        <v>10220</v>
      </c>
      <c r="F31" s="3"/>
      <c r="G31" s="14">
        <f>D31+E31</f>
        <v>0</v>
      </c>
    </row>
    <row r="32" spans="2:7" x14ac:dyDescent="0.2">
      <c r="B32" s="37" t="s">
        <v>41</v>
      </c>
      <c r="C32" s="5" t="s">
        <v>40</v>
      </c>
      <c r="D32" s="23">
        <f>-G13</f>
        <v>53312</v>
      </c>
      <c r="E32" s="23">
        <f>E63</f>
        <v>-35540</v>
      </c>
      <c r="F32" s="5"/>
      <c r="G32" s="23">
        <f>D32+E32</f>
        <v>17772</v>
      </c>
    </row>
    <row r="33" spans="2:7" x14ac:dyDescent="0.2">
      <c r="B33" s="37" t="s">
        <v>43</v>
      </c>
      <c r="C33" s="35" t="s">
        <v>42</v>
      </c>
      <c r="D33" s="25">
        <f>-G14</f>
        <v>-26246</v>
      </c>
      <c r="E33" s="25">
        <f>F63</f>
        <v>0</v>
      </c>
      <c r="F33" s="35"/>
      <c r="G33" s="25">
        <f>D33+E33</f>
        <v>-26246</v>
      </c>
    </row>
    <row r="34" spans="2:7" x14ac:dyDescent="0.2">
      <c r="B34" s="7" t="s">
        <v>63</v>
      </c>
      <c r="C34" s="38"/>
      <c r="D34" s="39"/>
      <c r="E34" s="39"/>
      <c r="F34" s="40" t="s">
        <v>44</v>
      </c>
      <c r="G34" s="25">
        <f>G31+G32+G33</f>
        <v>-8474</v>
      </c>
    </row>
    <row r="35" spans="2:7" x14ac:dyDescent="0.2">
      <c r="B35" s="41"/>
      <c r="G35" s="42"/>
    </row>
    <row r="36" spans="2:7" x14ac:dyDescent="0.2">
      <c r="B36" s="8">
        <v>9</v>
      </c>
      <c r="C36" s="45" t="s">
        <v>64</v>
      </c>
      <c r="D36" s="10"/>
      <c r="E36" s="10"/>
      <c r="F36" s="11"/>
      <c r="G36" s="44">
        <f>G21+G34</f>
        <v>-104205.15000000002</v>
      </c>
    </row>
    <row r="37" spans="2:7" x14ac:dyDescent="0.2">
      <c r="B37" s="41"/>
      <c r="G37" s="42"/>
    </row>
    <row r="38" spans="2:7" x14ac:dyDescent="0.2">
      <c r="B38" s="8">
        <v>10</v>
      </c>
      <c r="C38" s="45" t="s">
        <v>46</v>
      </c>
      <c r="D38" s="10"/>
      <c r="E38" s="10"/>
      <c r="F38" s="11"/>
      <c r="G38" s="44">
        <f>G36/6</f>
        <v>-17367.525000000005</v>
      </c>
    </row>
    <row r="40" spans="2:7" x14ac:dyDescent="0.2">
      <c r="B40" s="3"/>
      <c r="C40" s="46" t="s">
        <v>47</v>
      </c>
      <c r="D40" s="47"/>
      <c r="E40" s="47"/>
      <c r="F40" s="47"/>
      <c r="G40" s="48"/>
    </row>
    <row r="41" spans="2:7" x14ac:dyDescent="0.2">
      <c r="B41" s="3"/>
      <c r="C41" s="49"/>
      <c r="D41" s="49"/>
      <c r="E41" s="49"/>
      <c r="F41" s="49"/>
      <c r="G41" s="13"/>
    </row>
    <row r="42" spans="2:7" x14ac:dyDescent="0.2">
      <c r="B42" s="6">
        <v>11</v>
      </c>
      <c r="C42" s="50" t="s">
        <v>48</v>
      </c>
      <c r="D42" s="50"/>
      <c r="E42" s="50"/>
      <c r="F42" s="50"/>
      <c r="G42" s="51">
        <f>G15</f>
        <v>-16846</v>
      </c>
    </row>
    <row r="43" spans="2:7" x14ac:dyDescent="0.2">
      <c r="B43" s="6">
        <v>12</v>
      </c>
      <c r="C43" s="50" t="s">
        <v>49</v>
      </c>
      <c r="D43" s="50"/>
      <c r="E43" s="50"/>
      <c r="F43" s="50"/>
      <c r="G43" s="52">
        <f>G34</f>
        <v>-8474</v>
      </c>
    </row>
    <row r="44" spans="2:7" x14ac:dyDescent="0.2">
      <c r="B44" s="6"/>
      <c r="C44" s="50"/>
      <c r="D44" s="50"/>
      <c r="E44" s="50"/>
      <c r="F44" s="50"/>
      <c r="G44" s="51"/>
    </row>
    <row r="45" spans="2:7" ht="15" thickBot="1" x14ac:dyDescent="0.25">
      <c r="B45" s="6">
        <v>13</v>
      </c>
      <c r="C45" s="50" t="s">
        <v>50</v>
      </c>
      <c r="D45" s="50"/>
      <c r="E45" s="50"/>
      <c r="F45" s="50"/>
      <c r="G45" s="53">
        <f>G42+G43</f>
        <v>-25320</v>
      </c>
    </row>
    <row r="46" spans="2:7" ht="15" thickTop="1" x14ac:dyDescent="0.2">
      <c r="B46" s="6"/>
      <c r="C46" s="50"/>
      <c r="D46" s="50"/>
      <c r="E46" s="50"/>
      <c r="F46" s="50"/>
      <c r="G46" s="51"/>
    </row>
    <row r="47" spans="2:7" x14ac:dyDescent="0.2">
      <c r="B47" s="6">
        <v>14</v>
      </c>
      <c r="C47" s="50" t="s">
        <v>51</v>
      </c>
      <c r="D47" s="50"/>
      <c r="E47" s="50"/>
      <c r="F47" s="50"/>
      <c r="G47" s="51">
        <f>G36</f>
        <v>-104205.15000000002</v>
      </c>
    </row>
    <row r="48" spans="2:7" x14ac:dyDescent="0.2">
      <c r="B48" s="6"/>
      <c r="C48" s="50"/>
      <c r="D48" s="50"/>
      <c r="E48" s="50"/>
      <c r="F48" s="50"/>
      <c r="G48" s="51"/>
    </row>
    <row r="49" spans="2:7" x14ac:dyDescent="0.2">
      <c r="B49" s="6">
        <v>15</v>
      </c>
      <c r="C49" s="50" t="s">
        <v>52</v>
      </c>
      <c r="D49" s="50"/>
      <c r="E49" s="50"/>
      <c r="F49" s="50"/>
      <c r="G49" s="52">
        <f>SUM(F16:F21)</f>
        <v>-78885.150000000023</v>
      </c>
    </row>
    <row r="50" spans="2:7" x14ac:dyDescent="0.2">
      <c r="B50" s="6"/>
      <c r="C50" s="50"/>
      <c r="D50" s="50"/>
      <c r="E50" s="50"/>
      <c r="F50" s="50"/>
      <c r="G50" s="51"/>
    </row>
    <row r="51" spans="2:7" ht="15" thickBot="1" x14ac:dyDescent="0.25">
      <c r="B51" s="6">
        <v>16</v>
      </c>
      <c r="C51" s="50" t="s">
        <v>53</v>
      </c>
      <c r="D51" s="50"/>
      <c r="E51" s="50"/>
      <c r="F51" s="50"/>
      <c r="G51" s="53">
        <f>G47-G49</f>
        <v>-25320</v>
      </c>
    </row>
    <row r="52" spans="2:7" ht="15" thickTop="1" x14ac:dyDescent="0.2">
      <c r="B52" s="35"/>
      <c r="C52" s="54"/>
      <c r="D52" s="54"/>
      <c r="E52" s="54"/>
      <c r="F52" s="54"/>
      <c r="G52" s="55"/>
    </row>
    <row r="54" spans="2:7" x14ac:dyDescent="0.2">
      <c r="B54" t="s">
        <v>54</v>
      </c>
    </row>
    <row r="55" spans="2:7" x14ac:dyDescent="0.2">
      <c r="B55" s="41"/>
      <c r="C55" s="3"/>
      <c r="D55" s="4" t="s">
        <v>55</v>
      </c>
      <c r="E55" s="4" t="s">
        <v>55</v>
      </c>
      <c r="F55" s="4" t="s">
        <v>55</v>
      </c>
    </row>
    <row r="56" spans="2:7" x14ac:dyDescent="0.2">
      <c r="B56" s="41"/>
      <c r="C56" s="7" t="s">
        <v>11</v>
      </c>
      <c r="D56" s="7" t="s">
        <v>65</v>
      </c>
      <c r="E56" s="7" t="s">
        <v>56</v>
      </c>
      <c r="F56" s="7" t="s">
        <v>57</v>
      </c>
    </row>
    <row r="57" spans="2:7" x14ac:dyDescent="0.2">
      <c r="C57" s="15">
        <v>43282</v>
      </c>
      <c r="D57" s="16">
        <v>10220</v>
      </c>
      <c r="E57" s="16">
        <v>0</v>
      </c>
      <c r="F57" s="14">
        <v>0</v>
      </c>
    </row>
    <row r="58" spans="2:7" x14ac:dyDescent="0.2">
      <c r="C58" s="19">
        <v>43313</v>
      </c>
      <c r="D58" s="20">
        <v>0</v>
      </c>
      <c r="E58" s="20">
        <v>0</v>
      </c>
      <c r="F58" s="23">
        <v>0</v>
      </c>
    </row>
    <row r="59" spans="2:7" x14ac:dyDescent="0.2">
      <c r="C59" s="19">
        <v>43344</v>
      </c>
      <c r="D59" s="20">
        <v>0</v>
      </c>
      <c r="E59" s="20">
        <v>-8885</v>
      </c>
      <c r="F59" s="23">
        <v>0</v>
      </c>
    </row>
    <row r="60" spans="2:7" x14ac:dyDescent="0.2">
      <c r="C60" s="19">
        <v>43374</v>
      </c>
      <c r="D60" s="20">
        <v>0</v>
      </c>
      <c r="E60" s="20">
        <v>-8885</v>
      </c>
      <c r="F60" s="23">
        <v>0</v>
      </c>
    </row>
    <row r="61" spans="2:7" x14ac:dyDescent="0.2">
      <c r="C61" s="19">
        <v>43405</v>
      </c>
      <c r="D61" s="20">
        <v>0</v>
      </c>
      <c r="E61" s="20">
        <v>-8885</v>
      </c>
      <c r="F61" s="23">
        <v>0</v>
      </c>
    </row>
    <row r="62" spans="2:7" x14ac:dyDescent="0.2">
      <c r="C62" s="28">
        <v>43435</v>
      </c>
      <c r="D62" s="29">
        <v>0</v>
      </c>
      <c r="E62" s="29">
        <v>-8885</v>
      </c>
      <c r="F62" s="25">
        <v>0</v>
      </c>
    </row>
    <row r="63" spans="2:7" x14ac:dyDescent="0.2">
      <c r="C63" s="56" t="s">
        <v>58</v>
      </c>
      <c r="D63" s="44">
        <f>SUM(D57:D62)</f>
        <v>10220</v>
      </c>
      <c r="E63" s="44">
        <f>SUM(E57:E62)</f>
        <v>-35540</v>
      </c>
      <c r="F63" s="44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>
      <selection activeCell="C39" sqref="C39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ht="14.25" customHeight="1" x14ac:dyDescent="0.2">
      <c r="B3" s="109" t="s">
        <v>68</v>
      </c>
      <c r="C3" s="110"/>
      <c r="D3" s="110"/>
      <c r="E3" s="110"/>
      <c r="F3" s="110"/>
      <c r="G3" s="111"/>
    </row>
    <row r="4" spans="2:7" x14ac:dyDescent="0.2">
      <c r="B4" s="112"/>
      <c r="C4" s="113"/>
      <c r="D4" s="113"/>
      <c r="E4" s="113"/>
      <c r="F4" s="113"/>
      <c r="G4" s="114"/>
    </row>
    <row r="6" spans="2:7" x14ac:dyDescent="0.2">
      <c r="B6" s="3"/>
      <c r="C6" s="3"/>
      <c r="D6" s="3"/>
      <c r="E6" s="4" t="s">
        <v>1</v>
      </c>
      <c r="F6" s="3"/>
      <c r="G6" s="3"/>
    </row>
    <row r="7" spans="2:7" x14ac:dyDescent="0.2">
      <c r="B7" s="5"/>
      <c r="C7" s="5"/>
      <c r="D7" s="6" t="s">
        <v>2</v>
      </c>
      <c r="E7" s="6" t="s">
        <v>3</v>
      </c>
      <c r="F7" s="5"/>
      <c r="G7" s="5"/>
    </row>
    <row r="8" spans="2:7" x14ac:dyDescent="0.2">
      <c r="B8" s="5"/>
      <c r="C8" s="5"/>
      <c r="D8" s="6" t="s">
        <v>4</v>
      </c>
      <c r="E8" s="6" t="s">
        <v>5</v>
      </c>
      <c r="F8" s="6" t="s">
        <v>6</v>
      </c>
      <c r="G8" s="6" t="s">
        <v>7</v>
      </c>
    </row>
    <row r="9" spans="2:7" x14ac:dyDescent="0.2">
      <c r="B9" s="7"/>
      <c r="C9" s="7"/>
      <c r="D9" s="7" t="s">
        <v>8</v>
      </c>
      <c r="E9" s="7" t="s">
        <v>8</v>
      </c>
      <c r="F9" s="7" t="s">
        <v>9</v>
      </c>
      <c r="G9" s="7" t="s">
        <v>9</v>
      </c>
    </row>
    <row r="10" spans="2:7" x14ac:dyDescent="0.2">
      <c r="B10" s="8" t="s">
        <v>10</v>
      </c>
      <c r="C10" s="8" t="s">
        <v>11</v>
      </c>
      <c r="D10" s="9" t="s">
        <v>12</v>
      </c>
      <c r="E10" s="9" t="s">
        <v>13</v>
      </c>
      <c r="F10" s="9" t="s">
        <v>14</v>
      </c>
      <c r="G10" s="9" t="s">
        <v>15</v>
      </c>
    </row>
    <row r="11" spans="2:7" x14ac:dyDescent="0.2">
      <c r="B11" s="4">
        <v>1</v>
      </c>
      <c r="C11" s="115" t="s">
        <v>16</v>
      </c>
      <c r="D11" s="116"/>
      <c r="E11" s="116"/>
      <c r="F11" s="116"/>
      <c r="G11" s="117"/>
    </row>
    <row r="12" spans="2:7" x14ac:dyDescent="0.2">
      <c r="B12" s="4" t="s">
        <v>17</v>
      </c>
      <c r="C12" s="10" t="s">
        <v>60</v>
      </c>
      <c r="D12" s="10"/>
      <c r="E12" s="10"/>
      <c r="F12" s="11"/>
      <c r="G12" s="12">
        <v>-17505</v>
      </c>
    </row>
    <row r="13" spans="2:7" x14ac:dyDescent="0.2">
      <c r="B13" s="6" t="s">
        <v>19</v>
      </c>
      <c r="C13" s="10" t="s">
        <v>18</v>
      </c>
      <c r="D13" s="10"/>
      <c r="E13" s="10"/>
      <c r="F13" s="11"/>
      <c r="G13" s="12">
        <v>-67078</v>
      </c>
    </row>
    <row r="14" spans="2:7" x14ac:dyDescent="0.2">
      <c r="B14" s="6" t="s">
        <v>21</v>
      </c>
      <c r="C14" s="10" t="s">
        <v>20</v>
      </c>
      <c r="D14" s="10"/>
      <c r="E14" s="10"/>
      <c r="F14" s="11"/>
      <c r="G14" s="12">
        <v>-113416</v>
      </c>
    </row>
    <row r="15" spans="2:7" x14ac:dyDescent="0.2">
      <c r="B15" s="7" t="s">
        <v>61</v>
      </c>
      <c r="C15" s="10" t="s">
        <v>22</v>
      </c>
      <c r="D15" s="10"/>
      <c r="E15" s="10"/>
      <c r="F15" s="13"/>
      <c r="G15" s="14">
        <f>G12+G13+G14</f>
        <v>-197999</v>
      </c>
    </row>
    <row r="16" spans="2:7" x14ac:dyDescent="0.2">
      <c r="B16" s="6">
        <v>2</v>
      </c>
      <c r="C16" s="15">
        <v>43282</v>
      </c>
      <c r="D16" s="16">
        <f>340747-445</f>
        <v>340302</v>
      </c>
      <c r="E16" s="17">
        <v>358682.57</v>
      </c>
      <c r="F16" s="18">
        <f t="shared" ref="F16:F23" si="0">D16-E16</f>
        <v>-18380.570000000007</v>
      </c>
      <c r="G16" s="14">
        <f t="shared" ref="G16:G23" si="1">G15+F16</f>
        <v>-216379.57</v>
      </c>
    </row>
    <row r="17" spans="2:7" x14ac:dyDescent="0.2">
      <c r="B17" s="6">
        <v>3</v>
      </c>
      <c r="C17" s="19">
        <v>43313</v>
      </c>
      <c r="D17" s="20">
        <f>295468-404</f>
        <v>295064</v>
      </c>
      <c r="E17" s="21">
        <v>333431.37</v>
      </c>
      <c r="F17" s="22">
        <f t="shared" si="0"/>
        <v>-38367.369999999995</v>
      </c>
      <c r="G17" s="23">
        <f t="shared" si="1"/>
        <v>-254746.94</v>
      </c>
    </row>
    <row r="18" spans="2:7" x14ac:dyDescent="0.2">
      <c r="B18" s="6">
        <v>4</v>
      </c>
      <c r="C18" s="19">
        <v>43344</v>
      </c>
      <c r="D18" s="20">
        <f>302014-432</f>
        <v>301582</v>
      </c>
      <c r="E18" s="21">
        <v>289945.95</v>
      </c>
      <c r="F18" s="22">
        <f t="shared" si="0"/>
        <v>11636.049999999988</v>
      </c>
      <c r="G18" s="23">
        <f t="shared" si="1"/>
        <v>-243110.89</v>
      </c>
    </row>
    <row r="19" spans="2:7" x14ac:dyDescent="0.2">
      <c r="B19" s="6">
        <v>5</v>
      </c>
      <c r="C19" s="19">
        <v>43374</v>
      </c>
      <c r="D19" s="20">
        <f>288452-438</f>
        <v>288014</v>
      </c>
      <c r="E19" s="21">
        <v>263042.94</v>
      </c>
      <c r="F19" s="22">
        <f t="shared" si="0"/>
        <v>24971.059999999998</v>
      </c>
      <c r="G19" s="23">
        <f t="shared" si="1"/>
        <v>-218139.83000000002</v>
      </c>
    </row>
    <row r="20" spans="2:7" x14ac:dyDescent="0.2">
      <c r="B20" s="6">
        <v>6</v>
      </c>
      <c r="C20" s="19">
        <v>43405</v>
      </c>
      <c r="D20" s="20">
        <f>382793-458</f>
        <v>382335</v>
      </c>
      <c r="E20" s="21">
        <v>349647.21</v>
      </c>
      <c r="F20" s="22">
        <f t="shared" si="0"/>
        <v>32687.789999999979</v>
      </c>
      <c r="G20" s="23">
        <f t="shared" si="1"/>
        <v>-185452.04000000004</v>
      </c>
    </row>
    <row r="21" spans="2:7" x14ac:dyDescent="0.2">
      <c r="B21" s="6">
        <v>7</v>
      </c>
      <c r="C21" s="19">
        <v>43435</v>
      </c>
      <c r="D21" s="20">
        <f>460876-477</f>
        <v>460399</v>
      </c>
      <c r="E21" s="21">
        <v>422137.16</v>
      </c>
      <c r="F21" s="24">
        <f t="shared" si="0"/>
        <v>38261.840000000026</v>
      </c>
      <c r="G21" s="25">
        <f t="shared" si="1"/>
        <v>-147190.20000000001</v>
      </c>
    </row>
    <row r="22" spans="2:7" x14ac:dyDescent="0.2">
      <c r="B22" s="26" t="s">
        <v>23</v>
      </c>
      <c r="C22" s="15">
        <v>43466</v>
      </c>
      <c r="D22" s="16">
        <f>408909-415</f>
        <v>408494</v>
      </c>
      <c r="E22" s="17">
        <v>458984.71</v>
      </c>
      <c r="F22" s="18">
        <f t="shared" si="0"/>
        <v>-50490.710000000021</v>
      </c>
      <c r="G22" s="14">
        <f t="shared" si="1"/>
        <v>-197680.91000000003</v>
      </c>
    </row>
    <row r="23" spans="2:7" x14ac:dyDescent="0.2">
      <c r="B23" s="27" t="s">
        <v>24</v>
      </c>
      <c r="C23" s="28">
        <v>43497</v>
      </c>
      <c r="D23" s="29">
        <f>267459-344</f>
        <v>267115</v>
      </c>
      <c r="E23" s="30">
        <v>354461.9</v>
      </c>
      <c r="F23" s="24">
        <f t="shared" si="0"/>
        <v>-87346.900000000023</v>
      </c>
      <c r="G23" s="25">
        <f t="shared" si="1"/>
        <v>-285027.81000000006</v>
      </c>
    </row>
    <row r="24" spans="2:7" x14ac:dyDescent="0.2">
      <c r="B24" s="7"/>
      <c r="C24" s="31" t="s">
        <v>25</v>
      </c>
      <c r="D24" s="32"/>
      <c r="E24" s="32"/>
      <c r="F24" s="32"/>
      <c r="G24" s="33"/>
    </row>
    <row r="25" spans="2:7" x14ac:dyDescent="0.2">
      <c r="B25" s="4"/>
      <c r="C25" s="3"/>
      <c r="D25" s="3"/>
      <c r="E25" s="3"/>
      <c r="F25" s="3"/>
      <c r="G25" s="14"/>
    </row>
    <row r="26" spans="2:7" x14ac:dyDescent="0.2">
      <c r="B26" s="6"/>
      <c r="C26" s="5"/>
      <c r="D26" s="6" t="s">
        <v>26</v>
      </c>
      <c r="E26" s="6" t="s">
        <v>27</v>
      </c>
      <c r="F26" s="5"/>
      <c r="G26" s="23"/>
    </row>
    <row r="27" spans="2:7" x14ac:dyDescent="0.2">
      <c r="B27" s="6">
        <v>8</v>
      </c>
      <c r="C27" s="5"/>
      <c r="D27" s="6" t="s">
        <v>28</v>
      </c>
      <c r="E27" s="6" t="s">
        <v>29</v>
      </c>
      <c r="F27" s="5"/>
      <c r="G27" s="34" t="s">
        <v>26</v>
      </c>
    </row>
    <row r="28" spans="2:7" x14ac:dyDescent="0.2">
      <c r="B28" s="6"/>
      <c r="C28" s="5"/>
      <c r="D28" s="6" t="s">
        <v>30</v>
      </c>
      <c r="E28" s="6" t="s">
        <v>31</v>
      </c>
      <c r="F28" s="5"/>
      <c r="G28" s="34" t="s">
        <v>32</v>
      </c>
    </row>
    <row r="29" spans="2:7" x14ac:dyDescent="0.2">
      <c r="B29" s="6"/>
      <c r="C29" s="5"/>
      <c r="D29" s="6" t="s">
        <v>33</v>
      </c>
      <c r="E29" s="6" t="s">
        <v>34</v>
      </c>
      <c r="F29" s="5"/>
      <c r="G29" s="34" t="s">
        <v>35</v>
      </c>
    </row>
    <row r="30" spans="2:7" x14ac:dyDescent="0.2">
      <c r="B30" s="7"/>
      <c r="C30" s="5"/>
      <c r="D30" s="6" t="s">
        <v>36</v>
      </c>
      <c r="E30" s="6" t="s">
        <v>37</v>
      </c>
      <c r="F30" s="5"/>
      <c r="G30" s="34" t="s">
        <v>38</v>
      </c>
    </row>
    <row r="31" spans="2:7" x14ac:dyDescent="0.2">
      <c r="B31" s="26" t="s">
        <v>39</v>
      </c>
      <c r="C31" s="3" t="s">
        <v>62</v>
      </c>
      <c r="D31" s="14">
        <f>-G12</f>
        <v>17505</v>
      </c>
      <c r="E31" s="14">
        <f>D63</f>
        <v>-17505</v>
      </c>
      <c r="F31" s="3"/>
      <c r="G31" s="14">
        <f>D31+E31</f>
        <v>0</v>
      </c>
    </row>
    <row r="32" spans="2:7" x14ac:dyDescent="0.2">
      <c r="B32" s="37" t="s">
        <v>41</v>
      </c>
      <c r="C32" s="5" t="s">
        <v>40</v>
      </c>
      <c r="D32" s="23">
        <f>-G13</f>
        <v>67078</v>
      </c>
      <c r="E32" s="23">
        <f>E63</f>
        <v>-44720</v>
      </c>
      <c r="F32" s="5"/>
      <c r="G32" s="23">
        <f>D32+E32</f>
        <v>22358</v>
      </c>
    </row>
    <row r="33" spans="2:7" x14ac:dyDescent="0.2">
      <c r="B33" s="37" t="s">
        <v>43</v>
      </c>
      <c r="C33" s="35" t="s">
        <v>42</v>
      </c>
      <c r="D33" s="25">
        <f>-G14</f>
        <v>113416</v>
      </c>
      <c r="E33" s="25">
        <f>F63</f>
        <v>0</v>
      </c>
      <c r="F33" s="35"/>
      <c r="G33" s="25">
        <f>D33+E33</f>
        <v>113416</v>
      </c>
    </row>
    <row r="34" spans="2:7" x14ac:dyDescent="0.2">
      <c r="B34" s="7" t="s">
        <v>63</v>
      </c>
      <c r="C34" s="38"/>
      <c r="D34" s="39"/>
      <c r="E34" s="39"/>
      <c r="F34" s="40" t="s">
        <v>44</v>
      </c>
      <c r="G34" s="25">
        <f>G31+G32+G33</f>
        <v>135774</v>
      </c>
    </row>
    <row r="35" spans="2:7" x14ac:dyDescent="0.2">
      <c r="B35" s="41"/>
      <c r="G35" s="42"/>
    </row>
    <row r="36" spans="2:7" x14ac:dyDescent="0.2">
      <c r="B36" s="8">
        <v>9</v>
      </c>
      <c r="C36" s="45" t="s">
        <v>64</v>
      </c>
      <c r="D36" s="10"/>
      <c r="E36" s="10"/>
      <c r="F36" s="11"/>
      <c r="G36" s="44">
        <f>G21+G34</f>
        <v>-11416.200000000012</v>
      </c>
    </row>
    <row r="37" spans="2:7" x14ac:dyDescent="0.2">
      <c r="B37" s="41"/>
      <c r="G37" s="42"/>
    </row>
    <row r="38" spans="2:7" x14ac:dyDescent="0.2">
      <c r="B38" s="8">
        <v>10</v>
      </c>
      <c r="C38" s="45" t="s">
        <v>46</v>
      </c>
      <c r="D38" s="10"/>
      <c r="E38" s="10"/>
      <c r="F38" s="11"/>
      <c r="G38" s="44">
        <f>G36/6</f>
        <v>-1902.7000000000019</v>
      </c>
    </row>
    <row r="40" spans="2:7" x14ac:dyDescent="0.2">
      <c r="B40" s="3"/>
      <c r="C40" s="46" t="s">
        <v>47</v>
      </c>
      <c r="D40" s="47"/>
      <c r="E40" s="47"/>
      <c r="F40" s="47"/>
      <c r="G40" s="48"/>
    </row>
    <row r="41" spans="2:7" x14ac:dyDescent="0.2">
      <c r="B41" s="3"/>
      <c r="C41" s="49"/>
      <c r="D41" s="49"/>
      <c r="E41" s="49"/>
      <c r="F41" s="49"/>
      <c r="G41" s="13"/>
    </row>
    <row r="42" spans="2:7" x14ac:dyDescent="0.2">
      <c r="B42" s="6">
        <v>11</v>
      </c>
      <c r="C42" s="50" t="s">
        <v>48</v>
      </c>
      <c r="D42" s="50"/>
      <c r="E42" s="50"/>
      <c r="F42" s="50"/>
      <c r="G42" s="51">
        <f>G15</f>
        <v>-197999</v>
      </c>
    </row>
    <row r="43" spans="2:7" x14ac:dyDescent="0.2">
      <c r="B43" s="6">
        <v>12</v>
      </c>
      <c r="C43" s="50" t="s">
        <v>49</v>
      </c>
      <c r="D43" s="50"/>
      <c r="E43" s="50"/>
      <c r="F43" s="50"/>
      <c r="G43" s="52">
        <f>G34</f>
        <v>135774</v>
      </c>
    </row>
    <row r="44" spans="2:7" x14ac:dyDescent="0.2">
      <c r="B44" s="6"/>
      <c r="C44" s="50"/>
      <c r="D44" s="50"/>
      <c r="E44" s="50"/>
      <c r="F44" s="50"/>
      <c r="G44" s="51"/>
    </row>
    <row r="45" spans="2:7" ht="15" thickBot="1" x14ac:dyDescent="0.25">
      <c r="B45" s="6">
        <v>13</v>
      </c>
      <c r="C45" s="50" t="s">
        <v>50</v>
      </c>
      <c r="D45" s="50"/>
      <c r="E45" s="50"/>
      <c r="F45" s="50"/>
      <c r="G45" s="53">
        <f>G42+G43</f>
        <v>-62225</v>
      </c>
    </row>
    <row r="46" spans="2:7" ht="15" thickTop="1" x14ac:dyDescent="0.2">
      <c r="B46" s="6"/>
      <c r="C46" s="50"/>
      <c r="D46" s="50"/>
      <c r="E46" s="50"/>
      <c r="F46" s="50"/>
      <c r="G46" s="51"/>
    </row>
    <row r="47" spans="2:7" x14ac:dyDescent="0.2">
      <c r="B47" s="6">
        <v>14</v>
      </c>
      <c r="C47" s="50" t="s">
        <v>51</v>
      </c>
      <c r="D47" s="50"/>
      <c r="E47" s="50"/>
      <c r="F47" s="50"/>
      <c r="G47" s="51">
        <f>G36</f>
        <v>-11416.200000000012</v>
      </c>
    </row>
    <row r="48" spans="2:7" x14ac:dyDescent="0.2">
      <c r="B48" s="6"/>
      <c r="C48" s="50"/>
      <c r="D48" s="50"/>
      <c r="E48" s="50"/>
      <c r="F48" s="50"/>
      <c r="G48" s="51"/>
    </row>
    <row r="49" spans="2:7" x14ac:dyDescent="0.2">
      <c r="B49" s="6">
        <v>15</v>
      </c>
      <c r="C49" s="50" t="s">
        <v>52</v>
      </c>
      <c r="D49" s="50"/>
      <c r="E49" s="50"/>
      <c r="F49" s="50"/>
      <c r="G49" s="52">
        <f>SUM(F16:F21)</f>
        <v>50808.799999999988</v>
      </c>
    </row>
    <row r="50" spans="2:7" x14ac:dyDescent="0.2">
      <c r="B50" s="6"/>
      <c r="C50" s="50"/>
      <c r="D50" s="50"/>
      <c r="E50" s="50"/>
      <c r="F50" s="50"/>
      <c r="G50" s="51"/>
    </row>
    <row r="51" spans="2:7" ht="15" thickBot="1" x14ac:dyDescent="0.25">
      <c r="B51" s="6">
        <v>16</v>
      </c>
      <c r="C51" s="50" t="s">
        <v>53</v>
      </c>
      <c r="D51" s="50"/>
      <c r="E51" s="50"/>
      <c r="F51" s="50"/>
      <c r="G51" s="53">
        <f>G47-G49</f>
        <v>-62225</v>
      </c>
    </row>
    <row r="52" spans="2:7" ht="15" thickTop="1" x14ac:dyDescent="0.2">
      <c r="B52" s="35"/>
      <c r="C52" s="54"/>
      <c r="D52" s="54"/>
      <c r="E52" s="54"/>
      <c r="F52" s="54"/>
      <c r="G52" s="55"/>
    </row>
    <row r="54" spans="2:7" x14ac:dyDescent="0.2">
      <c r="B54" t="s">
        <v>54</v>
      </c>
    </row>
    <row r="55" spans="2:7" x14ac:dyDescent="0.2">
      <c r="B55" s="41"/>
      <c r="C55" s="3"/>
      <c r="D55" s="4" t="s">
        <v>55</v>
      </c>
      <c r="E55" s="4" t="s">
        <v>55</v>
      </c>
      <c r="F55" s="4" t="s">
        <v>55</v>
      </c>
    </row>
    <row r="56" spans="2:7" x14ac:dyDescent="0.2">
      <c r="B56" s="41"/>
      <c r="C56" s="7" t="s">
        <v>11</v>
      </c>
      <c r="D56" s="7" t="s">
        <v>65</v>
      </c>
      <c r="E56" s="7" t="s">
        <v>56</v>
      </c>
      <c r="F56" s="7" t="s">
        <v>57</v>
      </c>
    </row>
    <row r="57" spans="2:7" x14ac:dyDescent="0.2">
      <c r="C57" s="15">
        <v>43282</v>
      </c>
      <c r="D57" s="16">
        <v>-17505</v>
      </c>
      <c r="E57" s="14">
        <v>0</v>
      </c>
      <c r="F57" s="14">
        <v>0</v>
      </c>
    </row>
    <row r="58" spans="2:7" x14ac:dyDescent="0.2">
      <c r="C58" s="19">
        <v>43313</v>
      </c>
      <c r="D58" s="20">
        <v>0</v>
      </c>
      <c r="E58" s="23">
        <v>0</v>
      </c>
      <c r="F58" s="23">
        <v>0</v>
      </c>
    </row>
    <row r="59" spans="2:7" x14ac:dyDescent="0.2">
      <c r="C59" s="19">
        <v>43344</v>
      </c>
      <c r="D59" s="20">
        <v>0</v>
      </c>
      <c r="E59" s="23">
        <v>-11180</v>
      </c>
      <c r="F59" s="23">
        <v>0</v>
      </c>
    </row>
    <row r="60" spans="2:7" x14ac:dyDescent="0.2">
      <c r="C60" s="19">
        <v>43374</v>
      </c>
      <c r="D60" s="20">
        <v>0</v>
      </c>
      <c r="E60" s="23">
        <v>-11180</v>
      </c>
      <c r="F60" s="23">
        <v>0</v>
      </c>
    </row>
    <row r="61" spans="2:7" x14ac:dyDescent="0.2">
      <c r="C61" s="19">
        <v>43405</v>
      </c>
      <c r="D61" s="20">
        <v>0</v>
      </c>
      <c r="E61" s="23">
        <v>-11180</v>
      </c>
      <c r="F61" s="23">
        <v>0</v>
      </c>
    </row>
    <row r="62" spans="2:7" x14ac:dyDescent="0.2">
      <c r="C62" s="19">
        <v>43435</v>
      </c>
      <c r="D62" s="29">
        <v>0</v>
      </c>
      <c r="E62" s="25">
        <v>-11180</v>
      </c>
      <c r="F62" s="25">
        <v>0</v>
      </c>
    </row>
    <row r="63" spans="2:7" x14ac:dyDescent="0.2">
      <c r="C63" s="56" t="s">
        <v>58</v>
      </c>
      <c r="D63" s="44">
        <f>SUM(D57:D62)</f>
        <v>-17505</v>
      </c>
      <c r="E63" s="44">
        <f>SUM(E57:E62)</f>
        <v>-44720</v>
      </c>
      <c r="F63" s="44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>
      <selection activeCell="C39" sqref="C39"/>
    </sheetView>
  </sheetViews>
  <sheetFormatPr defaultColWidth="12.625" defaultRowHeight="14.25" x14ac:dyDescent="0.2"/>
  <cols>
    <col min="1" max="1" width="12.625" customWidth="1"/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ht="14.25" customHeight="1" x14ac:dyDescent="0.2">
      <c r="B3" s="109" t="s">
        <v>69</v>
      </c>
      <c r="C3" s="110"/>
      <c r="D3" s="110"/>
      <c r="E3" s="110"/>
      <c r="F3" s="110"/>
      <c r="G3" s="111"/>
    </row>
    <row r="4" spans="2:7" x14ac:dyDescent="0.2">
      <c r="B4" s="112"/>
      <c r="C4" s="113"/>
      <c r="D4" s="113"/>
      <c r="E4" s="113"/>
      <c r="F4" s="113"/>
      <c r="G4" s="114"/>
    </row>
    <row r="6" spans="2:7" x14ac:dyDescent="0.2">
      <c r="B6" s="3"/>
      <c r="C6" s="3"/>
      <c r="D6" s="3"/>
      <c r="E6" s="4" t="s">
        <v>1</v>
      </c>
      <c r="F6" s="3"/>
      <c r="G6" s="3"/>
    </row>
    <row r="7" spans="2:7" x14ac:dyDescent="0.2">
      <c r="B7" s="5"/>
      <c r="C7" s="5"/>
      <c r="D7" s="6" t="s">
        <v>2</v>
      </c>
      <c r="E7" s="6" t="s">
        <v>3</v>
      </c>
      <c r="F7" s="5"/>
      <c r="G7" s="5"/>
    </row>
    <row r="8" spans="2:7" x14ac:dyDescent="0.2">
      <c r="B8" s="5"/>
      <c r="C8" s="5"/>
      <c r="D8" s="6" t="s">
        <v>4</v>
      </c>
      <c r="E8" s="6" t="s">
        <v>5</v>
      </c>
      <c r="F8" s="6" t="s">
        <v>6</v>
      </c>
      <c r="G8" s="6" t="s">
        <v>7</v>
      </c>
    </row>
    <row r="9" spans="2:7" x14ac:dyDescent="0.2">
      <c r="B9" s="7"/>
      <c r="C9" s="7"/>
      <c r="D9" s="7" t="s">
        <v>8</v>
      </c>
      <c r="E9" s="7" t="s">
        <v>8</v>
      </c>
      <c r="F9" s="7" t="s">
        <v>9</v>
      </c>
      <c r="G9" s="7" t="s">
        <v>9</v>
      </c>
    </row>
    <row r="10" spans="2:7" x14ac:dyDescent="0.2">
      <c r="B10" s="8" t="s">
        <v>10</v>
      </c>
      <c r="C10" s="8" t="s">
        <v>11</v>
      </c>
      <c r="D10" s="9" t="s">
        <v>12</v>
      </c>
      <c r="E10" s="9" t="s">
        <v>13</v>
      </c>
      <c r="F10" s="9" t="s">
        <v>14</v>
      </c>
      <c r="G10" s="9" t="s">
        <v>15</v>
      </c>
    </row>
    <row r="11" spans="2:7" x14ac:dyDescent="0.2">
      <c r="B11" s="4">
        <v>1</v>
      </c>
      <c r="C11" s="115" t="s">
        <v>16</v>
      </c>
      <c r="D11" s="116"/>
      <c r="E11" s="116"/>
      <c r="F11" s="116"/>
      <c r="G11" s="117"/>
    </row>
    <row r="12" spans="2:7" x14ac:dyDescent="0.2">
      <c r="B12" s="4" t="s">
        <v>17</v>
      </c>
      <c r="C12" s="10" t="s">
        <v>60</v>
      </c>
      <c r="D12" s="10"/>
      <c r="E12" s="10"/>
      <c r="F12" s="11"/>
      <c r="G12" s="12">
        <v>-3030</v>
      </c>
    </row>
    <row r="13" spans="2:7" x14ac:dyDescent="0.2">
      <c r="B13" s="6" t="s">
        <v>19</v>
      </c>
      <c r="C13" s="10" t="s">
        <v>18</v>
      </c>
      <c r="D13" s="10"/>
      <c r="E13" s="10"/>
      <c r="F13" s="11"/>
      <c r="G13" s="12">
        <v>-92910</v>
      </c>
    </row>
    <row r="14" spans="2:7" x14ac:dyDescent="0.2">
      <c r="B14" s="6" t="s">
        <v>21</v>
      </c>
      <c r="C14" s="10" t="s">
        <v>20</v>
      </c>
      <c r="D14" s="10"/>
      <c r="E14" s="10"/>
      <c r="F14" s="11"/>
      <c r="G14" s="12">
        <v>-105568</v>
      </c>
    </row>
    <row r="15" spans="2:7" x14ac:dyDescent="0.2">
      <c r="B15" s="7" t="s">
        <v>61</v>
      </c>
      <c r="C15" s="10" t="s">
        <v>22</v>
      </c>
      <c r="D15" s="10"/>
      <c r="E15" s="10"/>
      <c r="F15" s="13"/>
      <c r="G15" s="14">
        <f>G12+G13+G14</f>
        <v>-201508</v>
      </c>
    </row>
    <row r="16" spans="2:7" x14ac:dyDescent="0.2">
      <c r="B16" s="6">
        <v>2</v>
      </c>
      <c r="C16" s="15">
        <v>43282</v>
      </c>
      <c r="D16" s="16">
        <f>413520-800</f>
        <v>412720</v>
      </c>
      <c r="E16" s="17">
        <v>440299.05</v>
      </c>
      <c r="F16" s="18">
        <f t="shared" ref="F16:F23" si="0">D16-E16</f>
        <v>-27579.049999999988</v>
      </c>
      <c r="G16" s="14">
        <f t="shared" ref="G16:G23" si="1">G15+F16</f>
        <v>-229087.05</v>
      </c>
    </row>
    <row r="17" spans="2:7" x14ac:dyDescent="0.2">
      <c r="B17" s="6">
        <v>3</v>
      </c>
      <c r="C17" s="19">
        <v>43313</v>
      </c>
      <c r="D17" s="20">
        <f>366821-727</f>
        <v>366094</v>
      </c>
      <c r="E17" s="21">
        <v>438462.51</v>
      </c>
      <c r="F17" s="22">
        <f t="shared" si="0"/>
        <v>-72368.510000000009</v>
      </c>
      <c r="G17" s="23">
        <f t="shared" si="1"/>
        <v>-301455.56</v>
      </c>
    </row>
    <row r="18" spans="2:7" x14ac:dyDescent="0.2">
      <c r="B18" s="6">
        <v>4</v>
      </c>
      <c r="C18" s="19">
        <v>43344</v>
      </c>
      <c r="D18" s="20">
        <f>356344-779</f>
        <v>355565</v>
      </c>
      <c r="E18" s="21">
        <v>350532.8</v>
      </c>
      <c r="F18" s="22">
        <f t="shared" si="0"/>
        <v>5032.2000000000116</v>
      </c>
      <c r="G18" s="23">
        <f t="shared" si="1"/>
        <v>-296423.36</v>
      </c>
    </row>
    <row r="19" spans="2:7" x14ac:dyDescent="0.2">
      <c r="B19" s="6">
        <v>5</v>
      </c>
      <c r="C19" s="19">
        <v>43374</v>
      </c>
      <c r="D19" s="20">
        <f>339377-790</f>
        <v>338587</v>
      </c>
      <c r="E19" s="21">
        <v>320548.71999999997</v>
      </c>
      <c r="F19" s="22">
        <f t="shared" si="0"/>
        <v>18038.280000000028</v>
      </c>
      <c r="G19" s="23">
        <f t="shared" si="1"/>
        <v>-278385.07999999996</v>
      </c>
    </row>
    <row r="20" spans="2:7" x14ac:dyDescent="0.2">
      <c r="B20" s="6">
        <v>6</v>
      </c>
      <c r="C20" s="19">
        <v>43405</v>
      </c>
      <c r="D20" s="20">
        <f>418582-827</f>
        <v>417755</v>
      </c>
      <c r="E20" s="21">
        <v>340063.88</v>
      </c>
      <c r="F20" s="22">
        <f t="shared" si="0"/>
        <v>77691.12</v>
      </c>
      <c r="G20" s="23">
        <f t="shared" si="1"/>
        <v>-200693.95999999996</v>
      </c>
    </row>
    <row r="21" spans="2:7" x14ac:dyDescent="0.2">
      <c r="B21" s="6">
        <v>7</v>
      </c>
      <c r="C21" s="19">
        <v>43435</v>
      </c>
      <c r="D21" s="20">
        <f>488040-861</f>
        <v>487179</v>
      </c>
      <c r="E21" s="21">
        <v>430678.98</v>
      </c>
      <c r="F21" s="24">
        <f t="shared" si="0"/>
        <v>56500.020000000019</v>
      </c>
      <c r="G21" s="25">
        <f t="shared" si="1"/>
        <v>-144193.93999999994</v>
      </c>
    </row>
    <row r="22" spans="2:7" x14ac:dyDescent="0.2">
      <c r="B22" s="26" t="s">
        <v>23</v>
      </c>
      <c r="C22" s="15">
        <v>43466</v>
      </c>
      <c r="D22" s="16">
        <f>439846-751</f>
        <v>439095</v>
      </c>
      <c r="E22" s="17">
        <v>444270.38</v>
      </c>
      <c r="F22" s="18">
        <f t="shared" si="0"/>
        <v>-5175.3800000000047</v>
      </c>
      <c r="G22" s="14">
        <f t="shared" si="1"/>
        <v>-149369.31999999995</v>
      </c>
    </row>
    <row r="23" spans="2:7" x14ac:dyDescent="0.2">
      <c r="B23" s="27" t="s">
        <v>24</v>
      </c>
      <c r="C23" s="28">
        <v>43497</v>
      </c>
      <c r="D23" s="29">
        <f>305367-622</f>
        <v>304745</v>
      </c>
      <c r="E23" s="30">
        <v>443505.76</v>
      </c>
      <c r="F23" s="24">
        <f t="shared" si="0"/>
        <v>-138760.76</v>
      </c>
      <c r="G23" s="25">
        <f t="shared" si="1"/>
        <v>-288130.07999999996</v>
      </c>
    </row>
    <row r="24" spans="2:7" x14ac:dyDescent="0.2">
      <c r="B24" s="7"/>
      <c r="C24" s="31" t="s">
        <v>25</v>
      </c>
      <c r="D24" s="32"/>
      <c r="E24" s="32"/>
      <c r="F24" s="32"/>
      <c r="G24" s="33"/>
    </row>
    <row r="25" spans="2:7" x14ac:dyDescent="0.2">
      <c r="B25" s="4"/>
      <c r="C25" s="3"/>
      <c r="D25" s="3"/>
      <c r="E25" s="3"/>
      <c r="F25" s="3"/>
      <c r="G25" s="14"/>
    </row>
    <row r="26" spans="2:7" x14ac:dyDescent="0.2">
      <c r="B26" s="6"/>
      <c r="C26" s="5"/>
      <c r="D26" s="6" t="s">
        <v>26</v>
      </c>
      <c r="E26" s="6" t="s">
        <v>27</v>
      </c>
      <c r="F26" s="5"/>
      <c r="G26" s="23"/>
    </row>
    <row r="27" spans="2:7" x14ac:dyDescent="0.2">
      <c r="B27" s="6">
        <v>8</v>
      </c>
      <c r="C27" s="5"/>
      <c r="D27" s="6" t="s">
        <v>28</v>
      </c>
      <c r="E27" s="6" t="s">
        <v>29</v>
      </c>
      <c r="F27" s="5"/>
      <c r="G27" s="34" t="s">
        <v>26</v>
      </c>
    </row>
    <row r="28" spans="2:7" x14ac:dyDescent="0.2">
      <c r="B28" s="6"/>
      <c r="C28" s="5"/>
      <c r="D28" s="6" t="s">
        <v>30</v>
      </c>
      <c r="E28" s="6" t="s">
        <v>31</v>
      </c>
      <c r="F28" s="5"/>
      <c r="G28" s="34" t="s">
        <v>32</v>
      </c>
    </row>
    <row r="29" spans="2:7" x14ac:dyDescent="0.2">
      <c r="B29" s="6"/>
      <c r="C29" s="5"/>
      <c r="D29" s="6" t="s">
        <v>33</v>
      </c>
      <c r="E29" s="6" t="s">
        <v>34</v>
      </c>
      <c r="F29" s="5"/>
      <c r="G29" s="34" t="s">
        <v>35</v>
      </c>
    </row>
    <row r="30" spans="2:7" x14ac:dyDescent="0.2">
      <c r="B30" s="7"/>
      <c r="C30" s="5"/>
      <c r="D30" s="6" t="s">
        <v>36</v>
      </c>
      <c r="E30" s="6" t="s">
        <v>37</v>
      </c>
      <c r="F30" s="5"/>
      <c r="G30" s="34" t="s">
        <v>38</v>
      </c>
    </row>
    <row r="31" spans="2:7" x14ac:dyDescent="0.2">
      <c r="B31" s="26" t="s">
        <v>39</v>
      </c>
      <c r="C31" s="3" t="s">
        <v>62</v>
      </c>
      <c r="D31" s="14">
        <f>-G12</f>
        <v>3030</v>
      </c>
      <c r="E31" s="14">
        <f>D63</f>
        <v>-3030</v>
      </c>
      <c r="F31" s="3"/>
      <c r="G31" s="14">
        <f>D31+E31</f>
        <v>0</v>
      </c>
    </row>
    <row r="32" spans="2:7" x14ac:dyDescent="0.2">
      <c r="B32" s="37" t="s">
        <v>41</v>
      </c>
      <c r="C32" s="5" t="s">
        <v>40</v>
      </c>
      <c r="D32" s="23">
        <f>-G13</f>
        <v>92910</v>
      </c>
      <c r="E32" s="23">
        <f>E63</f>
        <v>-61940</v>
      </c>
      <c r="F32" s="5"/>
      <c r="G32" s="23">
        <f>D32+E32</f>
        <v>30970</v>
      </c>
    </row>
    <row r="33" spans="2:7" x14ac:dyDescent="0.2">
      <c r="B33" s="37" t="s">
        <v>43</v>
      </c>
      <c r="C33" s="35" t="s">
        <v>42</v>
      </c>
      <c r="D33" s="25">
        <f>-G14</f>
        <v>105568</v>
      </c>
      <c r="E33" s="25">
        <f>F63</f>
        <v>0</v>
      </c>
      <c r="F33" s="35"/>
      <c r="G33" s="25">
        <f>D33+E33</f>
        <v>105568</v>
      </c>
    </row>
    <row r="34" spans="2:7" x14ac:dyDescent="0.2">
      <c r="B34" s="7" t="s">
        <v>63</v>
      </c>
      <c r="C34" s="38"/>
      <c r="D34" s="39"/>
      <c r="E34" s="39"/>
      <c r="F34" s="40" t="s">
        <v>44</v>
      </c>
      <c r="G34" s="25">
        <f>G31+G32+G33</f>
        <v>136538</v>
      </c>
    </row>
    <row r="35" spans="2:7" x14ac:dyDescent="0.2">
      <c r="B35" s="41"/>
      <c r="G35" s="42"/>
    </row>
    <row r="36" spans="2:7" x14ac:dyDescent="0.2">
      <c r="B36" s="8">
        <v>9</v>
      </c>
      <c r="C36" s="45" t="s">
        <v>64</v>
      </c>
      <c r="D36" s="10"/>
      <c r="E36" s="10"/>
      <c r="F36" s="11"/>
      <c r="G36" s="44">
        <f>G21+G34</f>
        <v>-7655.9399999999441</v>
      </c>
    </row>
    <row r="37" spans="2:7" x14ac:dyDescent="0.2">
      <c r="B37" s="41"/>
      <c r="G37" s="42"/>
    </row>
    <row r="38" spans="2:7" x14ac:dyDescent="0.2">
      <c r="B38" s="8">
        <v>10</v>
      </c>
      <c r="C38" s="45" t="s">
        <v>46</v>
      </c>
      <c r="D38" s="10"/>
      <c r="E38" s="10"/>
      <c r="F38" s="11"/>
      <c r="G38" s="44">
        <f>G36/6</f>
        <v>-1275.9899999999907</v>
      </c>
    </row>
    <row r="40" spans="2:7" x14ac:dyDescent="0.2">
      <c r="B40" s="3"/>
      <c r="C40" s="46" t="s">
        <v>47</v>
      </c>
      <c r="D40" s="47"/>
      <c r="E40" s="47"/>
      <c r="F40" s="47"/>
      <c r="G40" s="48"/>
    </row>
    <row r="41" spans="2:7" x14ac:dyDescent="0.2">
      <c r="B41" s="3"/>
      <c r="C41" s="49"/>
      <c r="D41" s="49"/>
      <c r="E41" s="49"/>
      <c r="F41" s="49"/>
      <c r="G41" s="13"/>
    </row>
    <row r="42" spans="2:7" x14ac:dyDescent="0.2">
      <c r="B42" s="6">
        <v>11</v>
      </c>
      <c r="C42" s="50" t="s">
        <v>48</v>
      </c>
      <c r="D42" s="50"/>
      <c r="E42" s="50"/>
      <c r="F42" s="50"/>
      <c r="G42" s="51">
        <f>G15</f>
        <v>-201508</v>
      </c>
    </row>
    <row r="43" spans="2:7" x14ac:dyDescent="0.2">
      <c r="B43" s="6">
        <v>12</v>
      </c>
      <c r="C43" s="50" t="s">
        <v>49</v>
      </c>
      <c r="D43" s="50"/>
      <c r="E43" s="50"/>
      <c r="F43" s="50"/>
      <c r="G43" s="52">
        <f>G34</f>
        <v>136538</v>
      </c>
    </row>
    <row r="44" spans="2:7" x14ac:dyDescent="0.2">
      <c r="B44" s="6"/>
      <c r="C44" s="50"/>
      <c r="D44" s="50"/>
      <c r="E44" s="50"/>
      <c r="F44" s="50"/>
      <c r="G44" s="51"/>
    </row>
    <row r="45" spans="2:7" ht="15" thickBot="1" x14ac:dyDescent="0.25">
      <c r="B45" s="6">
        <v>13</v>
      </c>
      <c r="C45" s="50" t="s">
        <v>50</v>
      </c>
      <c r="D45" s="50"/>
      <c r="E45" s="50"/>
      <c r="F45" s="50"/>
      <c r="G45" s="53">
        <f>G42+G43</f>
        <v>-64970</v>
      </c>
    </row>
    <row r="46" spans="2:7" ht="15" thickTop="1" x14ac:dyDescent="0.2">
      <c r="B46" s="6"/>
      <c r="C46" s="50"/>
      <c r="D46" s="50"/>
      <c r="E46" s="50"/>
      <c r="F46" s="50"/>
      <c r="G46" s="51"/>
    </row>
    <row r="47" spans="2:7" x14ac:dyDescent="0.2">
      <c r="B47" s="6">
        <v>14</v>
      </c>
      <c r="C47" s="50" t="s">
        <v>51</v>
      </c>
      <c r="D47" s="50"/>
      <c r="E47" s="50"/>
      <c r="F47" s="50"/>
      <c r="G47" s="51">
        <f>G36</f>
        <v>-7655.9399999999441</v>
      </c>
    </row>
    <row r="48" spans="2:7" x14ac:dyDescent="0.2">
      <c r="B48" s="6"/>
      <c r="C48" s="50"/>
      <c r="D48" s="50"/>
      <c r="E48" s="50"/>
      <c r="F48" s="50"/>
      <c r="G48" s="51"/>
    </row>
    <row r="49" spans="2:7" x14ac:dyDescent="0.2">
      <c r="B49" s="6">
        <v>15</v>
      </c>
      <c r="C49" s="50" t="s">
        <v>52</v>
      </c>
      <c r="D49" s="50"/>
      <c r="E49" s="50"/>
      <c r="F49" s="50"/>
      <c r="G49" s="52">
        <f>SUM(F16:F21)</f>
        <v>57314.060000000056</v>
      </c>
    </row>
    <row r="50" spans="2:7" x14ac:dyDescent="0.2">
      <c r="B50" s="6"/>
      <c r="C50" s="50"/>
      <c r="D50" s="50"/>
      <c r="E50" s="50"/>
      <c r="F50" s="50"/>
      <c r="G50" s="51"/>
    </row>
    <row r="51" spans="2:7" ht="15" thickBot="1" x14ac:dyDescent="0.25">
      <c r="B51" s="6">
        <v>16</v>
      </c>
      <c r="C51" s="50" t="s">
        <v>53</v>
      </c>
      <c r="D51" s="50"/>
      <c r="E51" s="50"/>
      <c r="F51" s="50"/>
      <c r="G51" s="53">
        <f>G47-G49</f>
        <v>-64970</v>
      </c>
    </row>
    <row r="52" spans="2:7" ht="15" thickTop="1" x14ac:dyDescent="0.2">
      <c r="B52" s="35"/>
      <c r="C52" s="54"/>
      <c r="D52" s="54"/>
      <c r="E52" s="54"/>
      <c r="F52" s="54"/>
      <c r="G52" s="55"/>
    </row>
    <row r="54" spans="2:7" x14ac:dyDescent="0.2">
      <c r="B54" t="s">
        <v>54</v>
      </c>
    </row>
    <row r="55" spans="2:7" x14ac:dyDescent="0.2">
      <c r="B55" s="41"/>
      <c r="C55" s="3"/>
      <c r="D55" s="4" t="s">
        <v>55</v>
      </c>
      <c r="E55" s="4" t="s">
        <v>55</v>
      </c>
      <c r="F55" s="4" t="s">
        <v>55</v>
      </c>
      <c r="G55" s="37"/>
    </row>
    <row r="56" spans="2:7" x14ac:dyDescent="0.2">
      <c r="B56" s="41"/>
      <c r="C56" s="7" t="s">
        <v>11</v>
      </c>
      <c r="D56" s="7" t="s">
        <v>65</v>
      </c>
      <c r="E56" s="7" t="s">
        <v>56</v>
      </c>
      <c r="F56" s="7" t="s">
        <v>57</v>
      </c>
      <c r="G56" s="37"/>
    </row>
    <row r="57" spans="2:7" x14ac:dyDescent="0.2">
      <c r="C57" s="15">
        <v>43282</v>
      </c>
      <c r="D57" s="16">
        <v>-3030</v>
      </c>
      <c r="E57" s="16">
        <v>0</v>
      </c>
      <c r="F57" s="14">
        <v>0</v>
      </c>
      <c r="G57" s="22"/>
    </row>
    <row r="58" spans="2:7" x14ac:dyDescent="0.2">
      <c r="C58" s="19">
        <v>43313</v>
      </c>
      <c r="D58" s="20">
        <v>0</v>
      </c>
      <c r="E58" s="20">
        <v>0</v>
      </c>
      <c r="F58" s="23">
        <v>0</v>
      </c>
      <c r="G58" s="22"/>
    </row>
    <row r="59" spans="2:7" x14ac:dyDescent="0.2">
      <c r="C59" s="19">
        <v>43344</v>
      </c>
      <c r="D59" s="20">
        <v>0</v>
      </c>
      <c r="E59" s="20">
        <v>-15485</v>
      </c>
      <c r="F59" s="23">
        <v>0</v>
      </c>
      <c r="G59" s="22"/>
    </row>
    <row r="60" spans="2:7" x14ac:dyDescent="0.2">
      <c r="C60" s="19">
        <v>43374</v>
      </c>
      <c r="D60" s="20">
        <v>0</v>
      </c>
      <c r="E60" s="20">
        <v>-15485</v>
      </c>
      <c r="F60" s="23">
        <v>0</v>
      </c>
      <c r="G60" s="22"/>
    </row>
    <row r="61" spans="2:7" x14ac:dyDescent="0.2">
      <c r="C61" s="19">
        <v>43405</v>
      </c>
      <c r="D61" s="20">
        <v>0</v>
      </c>
      <c r="E61" s="20">
        <v>-15485</v>
      </c>
      <c r="F61" s="23">
        <v>0</v>
      </c>
      <c r="G61" s="22"/>
    </row>
    <row r="62" spans="2:7" x14ac:dyDescent="0.2">
      <c r="C62" s="28">
        <v>43435</v>
      </c>
      <c r="D62" s="20">
        <v>0</v>
      </c>
      <c r="E62" s="29">
        <v>-15485</v>
      </c>
      <c r="F62" s="25">
        <v>0</v>
      </c>
      <c r="G62" s="22"/>
    </row>
    <row r="63" spans="2:7" x14ac:dyDescent="0.2">
      <c r="C63" s="56" t="s">
        <v>58</v>
      </c>
      <c r="D63" s="44">
        <f>SUM(D57:D62)</f>
        <v>-3030</v>
      </c>
      <c r="E63" s="44">
        <f>SUM(E57:E62)</f>
        <v>-61940</v>
      </c>
      <c r="F63" s="44">
        <f>SUM(F57:F62)</f>
        <v>0</v>
      </c>
      <c r="G63" s="22"/>
    </row>
  </sheetData>
  <mergeCells count="2">
    <mergeCell ref="B3:G4"/>
    <mergeCell ref="C11:G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>
      <selection activeCell="C39" sqref="C39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ht="14.25" customHeight="1" x14ac:dyDescent="0.2">
      <c r="B3" s="109" t="s">
        <v>70</v>
      </c>
      <c r="C3" s="110"/>
      <c r="D3" s="110"/>
      <c r="E3" s="110"/>
      <c r="F3" s="110"/>
      <c r="G3" s="111"/>
    </row>
    <row r="4" spans="2:7" x14ac:dyDescent="0.2">
      <c r="B4" s="112"/>
      <c r="C4" s="113"/>
      <c r="D4" s="113"/>
      <c r="E4" s="113"/>
      <c r="F4" s="113"/>
      <c r="G4" s="114"/>
    </row>
    <row r="5" spans="2:7" x14ac:dyDescent="0.2">
      <c r="D5" s="57" t="s">
        <v>71</v>
      </c>
      <c r="E5" s="57" t="s">
        <v>71</v>
      </c>
    </row>
    <row r="6" spans="2:7" x14ac:dyDescent="0.2">
      <c r="B6" s="3"/>
      <c r="C6" s="3"/>
      <c r="D6" s="3"/>
      <c r="E6" s="4" t="s">
        <v>1</v>
      </c>
      <c r="F6" s="3"/>
      <c r="G6" s="3"/>
    </row>
    <row r="7" spans="2:7" x14ac:dyDescent="0.2">
      <c r="B7" s="5"/>
      <c r="C7" s="5"/>
      <c r="D7" s="6" t="s">
        <v>2</v>
      </c>
      <c r="E7" s="6" t="s">
        <v>3</v>
      </c>
      <c r="F7" s="5"/>
      <c r="G7" s="5"/>
    </row>
    <row r="8" spans="2:7" x14ac:dyDescent="0.2">
      <c r="B8" s="5"/>
      <c r="C8" s="5"/>
      <c r="D8" s="6" t="s">
        <v>4</v>
      </c>
      <c r="E8" s="6" t="s">
        <v>5</v>
      </c>
      <c r="F8" s="6" t="s">
        <v>6</v>
      </c>
      <c r="G8" s="6" t="s">
        <v>7</v>
      </c>
    </row>
    <row r="9" spans="2:7" x14ac:dyDescent="0.2">
      <c r="B9" s="7"/>
      <c r="C9" s="7"/>
      <c r="D9" s="7" t="s">
        <v>8</v>
      </c>
      <c r="E9" s="7" t="s">
        <v>8</v>
      </c>
      <c r="F9" s="7" t="s">
        <v>9</v>
      </c>
      <c r="G9" s="7" t="s">
        <v>9</v>
      </c>
    </row>
    <row r="10" spans="2:7" x14ac:dyDescent="0.2">
      <c r="B10" s="8" t="s">
        <v>10</v>
      </c>
      <c r="C10" s="8" t="s">
        <v>11</v>
      </c>
      <c r="D10" s="9" t="s">
        <v>12</v>
      </c>
      <c r="E10" s="9" t="s">
        <v>13</v>
      </c>
      <c r="F10" s="9" t="s">
        <v>14</v>
      </c>
      <c r="G10" s="9" t="s">
        <v>15</v>
      </c>
    </row>
    <row r="11" spans="2:7" x14ac:dyDescent="0.2">
      <c r="B11" s="4">
        <v>1</v>
      </c>
      <c r="C11" s="115" t="s">
        <v>16</v>
      </c>
      <c r="D11" s="116"/>
      <c r="E11" s="116"/>
      <c r="F11" s="116"/>
      <c r="G11" s="117"/>
    </row>
    <row r="12" spans="2:7" x14ac:dyDescent="0.2">
      <c r="B12" s="4" t="s">
        <v>17</v>
      </c>
      <c r="C12" s="10" t="s">
        <v>60</v>
      </c>
      <c r="D12" s="10"/>
      <c r="E12" s="10"/>
      <c r="F12" s="11"/>
      <c r="G12" s="12">
        <v>31856</v>
      </c>
    </row>
    <row r="13" spans="2:7" x14ac:dyDescent="0.2">
      <c r="B13" s="6" t="s">
        <v>19</v>
      </c>
      <c r="C13" s="10" t="s">
        <v>18</v>
      </c>
      <c r="D13" s="10"/>
      <c r="E13" s="10"/>
      <c r="F13" s="11"/>
      <c r="G13" s="12">
        <v>-311223</v>
      </c>
    </row>
    <row r="14" spans="2:7" x14ac:dyDescent="0.2">
      <c r="B14" s="6" t="s">
        <v>21</v>
      </c>
      <c r="C14" s="10" t="s">
        <v>20</v>
      </c>
      <c r="D14" s="10"/>
      <c r="E14" s="10"/>
      <c r="F14" s="11"/>
      <c r="G14" s="12">
        <v>193529</v>
      </c>
    </row>
    <row r="15" spans="2:7" x14ac:dyDescent="0.2">
      <c r="B15" s="7" t="s">
        <v>61</v>
      </c>
      <c r="C15" s="10" t="s">
        <v>22</v>
      </c>
      <c r="D15" s="10"/>
      <c r="E15" s="10"/>
      <c r="F15" s="13"/>
      <c r="G15" s="14">
        <f>G12+G13+G14</f>
        <v>-85838</v>
      </c>
    </row>
    <row r="16" spans="2:7" x14ac:dyDescent="0.2">
      <c r="B16" s="6">
        <v>2</v>
      </c>
      <c r="C16" s="15">
        <v>43282</v>
      </c>
      <c r="D16" s="16">
        <f>332817-447</f>
        <v>332370</v>
      </c>
      <c r="E16" s="17">
        <f>438093.69+496</f>
        <v>438589.69</v>
      </c>
      <c r="F16" s="18">
        <f t="shared" ref="F16:F23" si="0">D16-E16</f>
        <v>-106219.69</v>
      </c>
      <c r="G16" s="14">
        <f t="shared" ref="G16:G23" si="1">G15+F16</f>
        <v>-192057.69</v>
      </c>
    </row>
    <row r="17" spans="2:7" x14ac:dyDescent="0.2">
      <c r="B17" s="6">
        <v>3</v>
      </c>
      <c r="C17" s="19">
        <v>43313</v>
      </c>
      <c r="D17" s="20">
        <f>303603-406</f>
        <v>303197</v>
      </c>
      <c r="E17" s="21">
        <f>328251.24+527</f>
        <v>328778.23999999999</v>
      </c>
      <c r="F17" s="22">
        <f t="shared" si="0"/>
        <v>-25581.239999999991</v>
      </c>
      <c r="G17" s="23">
        <f t="shared" si="1"/>
        <v>-217638.93</v>
      </c>
    </row>
    <row r="18" spans="2:7" x14ac:dyDescent="0.2">
      <c r="B18" s="6">
        <v>4</v>
      </c>
      <c r="C18" s="19">
        <v>43344</v>
      </c>
      <c r="D18" s="20">
        <f>296897-428</f>
        <v>296469</v>
      </c>
      <c r="E18" s="21">
        <f>278739.65+22</f>
        <v>278761.65000000002</v>
      </c>
      <c r="F18" s="22">
        <f t="shared" si="0"/>
        <v>17707.349999999977</v>
      </c>
      <c r="G18" s="23">
        <f t="shared" si="1"/>
        <v>-199931.58000000002</v>
      </c>
    </row>
    <row r="19" spans="2:7" x14ac:dyDescent="0.2">
      <c r="B19" s="6">
        <v>5</v>
      </c>
      <c r="C19" s="19">
        <v>43374</v>
      </c>
      <c r="D19" s="20">
        <f>294010-428</f>
        <v>293582</v>
      </c>
      <c r="E19" s="21">
        <f>393997.6+22</f>
        <v>394019.6</v>
      </c>
      <c r="F19" s="22">
        <f t="shared" si="0"/>
        <v>-100437.59999999998</v>
      </c>
      <c r="G19" s="23">
        <f t="shared" si="1"/>
        <v>-300369.18</v>
      </c>
    </row>
    <row r="20" spans="2:7" x14ac:dyDescent="0.2">
      <c r="B20" s="6">
        <v>6</v>
      </c>
      <c r="C20" s="19">
        <v>43405</v>
      </c>
      <c r="D20" s="20">
        <f>377359-447</f>
        <v>376912</v>
      </c>
      <c r="E20" s="21">
        <f>325751.99+23</f>
        <v>325774.99</v>
      </c>
      <c r="F20" s="22">
        <f t="shared" si="0"/>
        <v>51137.010000000009</v>
      </c>
      <c r="G20" s="23">
        <f t="shared" si="1"/>
        <v>-249232.16999999998</v>
      </c>
    </row>
    <row r="21" spans="2:7" x14ac:dyDescent="0.2">
      <c r="B21" s="6">
        <v>7</v>
      </c>
      <c r="C21" s="19">
        <v>43435</v>
      </c>
      <c r="D21" s="20">
        <f>461963-466</f>
        <v>461497</v>
      </c>
      <c r="E21" s="21">
        <f>394129.1+24</f>
        <v>394153.1</v>
      </c>
      <c r="F21" s="24">
        <f t="shared" si="0"/>
        <v>67343.900000000023</v>
      </c>
      <c r="G21" s="25">
        <f t="shared" si="1"/>
        <v>-181888.26999999996</v>
      </c>
    </row>
    <row r="22" spans="2:7" x14ac:dyDescent="0.2">
      <c r="B22" s="26" t="s">
        <v>23</v>
      </c>
      <c r="C22" s="15">
        <v>43466</v>
      </c>
      <c r="D22" s="16">
        <f>442244-407</f>
        <v>441837</v>
      </c>
      <c r="E22" s="17">
        <f>449933.18+21</f>
        <v>449954.18</v>
      </c>
      <c r="F22" s="18">
        <f t="shared" si="0"/>
        <v>-8117.179999999993</v>
      </c>
      <c r="G22" s="14">
        <f t="shared" si="1"/>
        <v>-190005.44999999995</v>
      </c>
    </row>
    <row r="23" spans="2:7" x14ac:dyDescent="0.2">
      <c r="B23" s="27" t="s">
        <v>24</v>
      </c>
      <c r="C23" s="28">
        <v>43497</v>
      </c>
      <c r="D23" s="29">
        <f>285726-336</f>
        <v>285390</v>
      </c>
      <c r="E23" s="30">
        <f>184208.47+18</f>
        <v>184226.47</v>
      </c>
      <c r="F23" s="24">
        <f t="shared" si="0"/>
        <v>101163.53</v>
      </c>
      <c r="G23" s="25">
        <f t="shared" si="1"/>
        <v>-88841.919999999955</v>
      </c>
    </row>
    <row r="24" spans="2:7" x14ac:dyDescent="0.2">
      <c r="B24" s="7"/>
      <c r="C24" s="31" t="s">
        <v>25</v>
      </c>
      <c r="D24" s="32"/>
      <c r="E24" s="32"/>
      <c r="F24" s="32"/>
      <c r="G24" s="33"/>
    </row>
    <row r="25" spans="2:7" x14ac:dyDescent="0.2">
      <c r="B25" s="4"/>
      <c r="C25" s="3"/>
      <c r="D25" s="3"/>
      <c r="E25" s="3"/>
      <c r="F25" s="3"/>
      <c r="G25" s="14"/>
    </row>
    <row r="26" spans="2:7" x14ac:dyDescent="0.2">
      <c r="B26" s="6"/>
      <c r="C26" s="5"/>
      <c r="D26" s="6" t="s">
        <v>26</v>
      </c>
      <c r="E26" s="6" t="s">
        <v>27</v>
      </c>
      <c r="F26" s="5"/>
      <c r="G26" s="23"/>
    </row>
    <row r="27" spans="2:7" x14ac:dyDescent="0.2">
      <c r="B27" s="6">
        <v>8</v>
      </c>
      <c r="C27" s="5"/>
      <c r="D27" s="6" t="s">
        <v>28</v>
      </c>
      <c r="E27" s="6" t="s">
        <v>29</v>
      </c>
      <c r="F27" s="5"/>
      <c r="G27" s="34" t="s">
        <v>26</v>
      </c>
    </row>
    <row r="28" spans="2:7" x14ac:dyDescent="0.2">
      <c r="B28" s="6"/>
      <c r="C28" s="5"/>
      <c r="D28" s="6" t="s">
        <v>30</v>
      </c>
      <c r="E28" s="6" t="s">
        <v>31</v>
      </c>
      <c r="F28" s="5"/>
      <c r="G28" s="34" t="s">
        <v>32</v>
      </c>
    </row>
    <row r="29" spans="2:7" x14ac:dyDescent="0.2">
      <c r="B29" s="6"/>
      <c r="C29" s="5"/>
      <c r="D29" s="6" t="s">
        <v>33</v>
      </c>
      <c r="E29" s="6" t="s">
        <v>34</v>
      </c>
      <c r="F29" s="5"/>
      <c r="G29" s="34" t="s">
        <v>35</v>
      </c>
    </row>
    <row r="30" spans="2:7" x14ac:dyDescent="0.2">
      <c r="B30" s="7"/>
      <c r="C30" s="5"/>
      <c r="D30" s="6" t="s">
        <v>36</v>
      </c>
      <c r="E30" s="6" t="s">
        <v>37</v>
      </c>
      <c r="F30" s="5"/>
      <c r="G30" s="34" t="s">
        <v>38</v>
      </c>
    </row>
    <row r="31" spans="2:7" x14ac:dyDescent="0.2">
      <c r="B31" s="26" t="s">
        <v>39</v>
      </c>
      <c r="C31" s="3" t="s">
        <v>62</v>
      </c>
      <c r="D31" s="14">
        <f>-G12</f>
        <v>-31856</v>
      </c>
      <c r="E31" s="14">
        <f>D63</f>
        <v>31856</v>
      </c>
      <c r="F31" s="3"/>
      <c r="G31" s="14">
        <f>D31+E31</f>
        <v>0</v>
      </c>
    </row>
    <row r="32" spans="2:7" x14ac:dyDescent="0.2">
      <c r="B32" s="37" t="s">
        <v>41</v>
      </c>
      <c r="C32" s="5" t="s">
        <v>40</v>
      </c>
      <c r="D32" s="23">
        <f>-G13</f>
        <v>311223</v>
      </c>
      <c r="E32" s="23">
        <f>E63</f>
        <v>-207484</v>
      </c>
      <c r="F32" s="5"/>
      <c r="G32" s="23">
        <f>D32+E32</f>
        <v>103739</v>
      </c>
    </row>
    <row r="33" spans="2:7" x14ac:dyDescent="0.2">
      <c r="B33" s="37" t="s">
        <v>43</v>
      </c>
      <c r="C33" s="35" t="s">
        <v>42</v>
      </c>
      <c r="D33" s="25">
        <f>-G14</f>
        <v>-193529</v>
      </c>
      <c r="E33" s="25">
        <f>F63</f>
        <v>0</v>
      </c>
      <c r="F33" s="35"/>
      <c r="G33" s="25">
        <f>D33+E33</f>
        <v>-193529</v>
      </c>
    </row>
    <row r="34" spans="2:7" x14ac:dyDescent="0.2">
      <c r="B34" s="7" t="s">
        <v>63</v>
      </c>
      <c r="C34" s="38"/>
      <c r="D34" s="39"/>
      <c r="E34" s="39"/>
      <c r="F34" s="40" t="s">
        <v>44</v>
      </c>
      <c r="G34" s="25">
        <f>G31+G32+G33</f>
        <v>-89790</v>
      </c>
    </row>
    <row r="35" spans="2:7" x14ac:dyDescent="0.2">
      <c r="B35" s="41"/>
      <c r="G35" s="42"/>
    </row>
    <row r="36" spans="2:7" x14ac:dyDescent="0.2">
      <c r="B36" s="8">
        <v>9</v>
      </c>
      <c r="C36" s="45" t="s">
        <v>64</v>
      </c>
      <c r="D36" s="10"/>
      <c r="E36" s="10"/>
      <c r="F36" s="11"/>
      <c r="G36" s="44">
        <f>G21+G34</f>
        <v>-271678.26999999996</v>
      </c>
    </row>
    <row r="37" spans="2:7" x14ac:dyDescent="0.2">
      <c r="B37" s="41"/>
      <c r="G37" s="42"/>
    </row>
    <row r="38" spans="2:7" x14ac:dyDescent="0.2">
      <c r="B38" s="8">
        <v>10</v>
      </c>
      <c r="C38" s="45" t="s">
        <v>46</v>
      </c>
      <c r="D38" s="10"/>
      <c r="E38" s="10"/>
      <c r="F38" s="11"/>
      <c r="G38" s="44">
        <f>G36/6</f>
        <v>-45279.711666666662</v>
      </c>
    </row>
    <row r="40" spans="2:7" x14ac:dyDescent="0.2">
      <c r="B40" s="3"/>
      <c r="C40" s="46" t="s">
        <v>47</v>
      </c>
      <c r="D40" s="47"/>
      <c r="E40" s="47"/>
      <c r="F40" s="47"/>
      <c r="G40" s="48"/>
    </row>
    <row r="41" spans="2:7" x14ac:dyDescent="0.2">
      <c r="B41" s="3"/>
      <c r="C41" s="49"/>
      <c r="D41" s="49"/>
      <c r="E41" s="49"/>
      <c r="F41" s="49"/>
      <c r="G41" s="13"/>
    </row>
    <row r="42" spans="2:7" x14ac:dyDescent="0.2">
      <c r="B42" s="6">
        <v>11</v>
      </c>
      <c r="C42" s="50" t="s">
        <v>48</v>
      </c>
      <c r="D42" s="50"/>
      <c r="E42" s="50"/>
      <c r="F42" s="50"/>
      <c r="G42" s="51">
        <f>G15</f>
        <v>-85838</v>
      </c>
    </row>
    <row r="43" spans="2:7" x14ac:dyDescent="0.2">
      <c r="B43" s="6">
        <v>12</v>
      </c>
      <c r="C43" s="50" t="s">
        <v>49</v>
      </c>
      <c r="D43" s="50"/>
      <c r="E43" s="50"/>
      <c r="F43" s="50"/>
      <c r="G43" s="52">
        <f>G34</f>
        <v>-89790</v>
      </c>
    </row>
    <row r="44" spans="2:7" x14ac:dyDescent="0.2">
      <c r="B44" s="6"/>
      <c r="C44" s="50"/>
      <c r="D44" s="50"/>
      <c r="E44" s="50"/>
      <c r="F44" s="50"/>
      <c r="G44" s="51"/>
    </row>
    <row r="45" spans="2:7" ht="15" thickBot="1" x14ac:dyDescent="0.25">
      <c r="B45" s="6">
        <v>13</v>
      </c>
      <c r="C45" s="50" t="s">
        <v>50</v>
      </c>
      <c r="D45" s="50"/>
      <c r="E45" s="50"/>
      <c r="F45" s="50"/>
      <c r="G45" s="53">
        <f>G42+G43</f>
        <v>-175628</v>
      </c>
    </row>
    <row r="46" spans="2:7" ht="15" thickTop="1" x14ac:dyDescent="0.2">
      <c r="B46" s="6"/>
      <c r="C46" s="50"/>
      <c r="D46" s="50"/>
      <c r="E46" s="50"/>
      <c r="F46" s="50"/>
      <c r="G46" s="51"/>
    </row>
    <row r="47" spans="2:7" x14ac:dyDescent="0.2">
      <c r="B47" s="6">
        <v>14</v>
      </c>
      <c r="C47" s="50" t="s">
        <v>51</v>
      </c>
      <c r="D47" s="50"/>
      <c r="E47" s="50"/>
      <c r="F47" s="50"/>
      <c r="G47" s="51">
        <f>G36</f>
        <v>-271678.26999999996</v>
      </c>
    </row>
    <row r="48" spans="2:7" x14ac:dyDescent="0.2">
      <c r="B48" s="6"/>
      <c r="C48" s="50"/>
      <c r="D48" s="50"/>
      <c r="E48" s="50"/>
      <c r="F48" s="50"/>
      <c r="G48" s="51"/>
    </row>
    <row r="49" spans="2:7" x14ac:dyDescent="0.2">
      <c r="B49" s="6">
        <v>15</v>
      </c>
      <c r="C49" s="50" t="s">
        <v>52</v>
      </c>
      <c r="D49" s="50"/>
      <c r="E49" s="50"/>
      <c r="F49" s="50"/>
      <c r="G49" s="52">
        <f>SUM(F16:F21)</f>
        <v>-96050.26999999996</v>
      </c>
    </row>
    <row r="50" spans="2:7" x14ac:dyDescent="0.2">
      <c r="B50" s="6"/>
      <c r="C50" s="50"/>
      <c r="D50" s="50"/>
      <c r="E50" s="50"/>
      <c r="F50" s="50"/>
      <c r="G50" s="51"/>
    </row>
    <row r="51" spans="2:7" ht="15" thickBot="1" x14ac:dyDescent="0.25">
      <c r="B51" s="6">
        <v>16</v>
      </c>
      <c r="C51" s="50" t="s">
        <v>53</v>
      </c>
      <c r="D51" s="50"/>
      <c r="E51" s="50"/>
      <c r="F51" s="50"/>
      <c r="G51" s="53">
        <f>G47-G49</f>
        <v>-175628</v>
      </c>
    </row>
    <row r="52" spans="2:7" ht="15" thickTop="1" x14ac:dyDescent="0.2">
      <c r="B52" s="35"/>
      <c r="C52" s="54"/>
      <c r="D52" s="54"/>
      <c r="E52" s="54"/>
      <c r="F52" s="54"/>
      <c r="G52" s="55"/>
    </row>
    <row r="54" spans="2:7" x14ac:dyDescent="0.2">
      <c r="B54" t="s">
        <v>54</v>
      </c>
    </row>
    <row r="55" spans="2:7" x14ac:dyDescent="0.2">
      <c r="B55" s="41"/>
      <c r="C55" s="3"/>
      <c r="D55" s="4" t="s">
        <v>55</v>
      </c>
      <c r="E55" s="4" t="s">
        <v>55</v>
      </c>
      <c r="F55" s="4" t="s">
        <v>55</v>
      </c>
    </row>
    <row r="56" spans="2:7" x14ac:dyDescent="0.2">
      <c r="B56" s="41"/>
      <c r="C56" s="7" t="s">
        <v>11</v>
      </c>
      <c r="D56" s="7" t="s">
        <v>65</v>
      </c>
      <c r="E56" s="7" t="s">
        <v>56</v>
      </c>
      <c r="F56" s="7" t="s">
        <v>57</v>
      </c>
    </row>
    <row r="57" spans="2:7" x14ac:dyDescent="0.2">
      <c r="C57" s="15">
        <v>43282</v>
      </c>
      <c r="D57" s="16">
        <v>31856</v>
      </c>
      <c r="E57" s="14">
        <v>0</v>
      </c>
      <c r="F57" s="14">
        <v>0</v>
      </c>
    </row>
    <row r="58" spans="2:7" x14ac:dyDescent="0.2">
      <c r="C58" s="19">
        <v>43313</v>
      </c>
      <c r="D58" s="20">
        <v>0</v>
      </c>
      <c r="E58" s="23">
        <v>0</v>
      </c>
      <c r="F58" s="23">
        <v>0</v>
      </c>
    </row>
    <row r="59" spans="2:7" x14ac:dyDescent="0.2">
      <c r="C59" s="19">
        <v>43344</v>
      </c>
      <c r="D59" s="20">
        <v>0</v>
      </c>
      <c r="E59" s="23">
        <v>-51871</v>
      </c>
      <c r="F59" s="23">
        <v>0</v>
      </c>
    </row>
    <row r="60" spans="2:7" x14ac:dyDescent="0.2">
      <c r="C60" s="19">
        <v>43374</v>
      </c>
      <c r="D60" s="20">
        <v>0</v>
      </c>
      <c r="E60" s="23">
        <v>-51871</v>
      </c>
      <c r="F60" s="23">
        <v>0</v>
      </c>
    </row>
    <row r="61" spans="2:7" x14ac:dyDescent="0.2">
      <c r="C61" s="19">
        <v>43405</v>
      </c>
      <c r="D61" s="20">
        <v>0</v>
      </c>
      <c r="E61" s="23">
        <v>-51871</v>
      </c>
      <c r="F61" s="23">
        <v>0</v>
      </c>
    </row>
    <row r="62" spans="2:7" x14ac:dyDescent="0.2">
      <c r="C62" s="28">
        <v>43435</v>
      </c>
      <c r="D62" s="29">
        <v>0</v>
      </c>
      <c r="E62" s="25">
        <v>-51871</v>
      </c>
      <c r="F62" s="25">
        <v>0</v>
      </c>
    </row>
    <row r="63" spans="2:7" x14ac:dyDescent="0.2">
      <c r="C63" s="56" t="s">
        <v>58</v>
      </c>
      <c r="D63" s="44">
        <f>SUM(D57:D62)</f>
        <v>31856</v>
      </c>
      <c r="E63" s="44">
        <f>SUM(E57:E62)</f>
        <v>-207484</v>
      </c>
      <c r="F63" s="44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6" sqref="D6"/>
    </sheetView>
  </sheetViews>
  <sheetFormatPr defaultColWidth="12.625" defaultRowHeight="14.25" x14ac:dyDescent="0.2"/>
  <cols>
    <col min="2" max="6" width="17.625" customWidth="1"/>
  </cols>
  <sheetData>
    <row r="1" spans="1:7" ht="15" x14ac:dyDescent="0.2">
      <c r="A1" s="1"/>
      <c r="B1" s="1"/>
      <c r="C1" s="1"/>
      <c r="D1" s="1"/>
      <c r="E1" s="1"/>
      <c r="F1" s="1"/>
      <c r="G1" s="1"/>
    </row>
    <row r="2" spans="1:7" ht="15" x14ac:dyDescent="0.2">
      <c r="A2" s="1"/>
      <c r="B2" s="1"/>
      <c r="C2" s="1"/>
      <c r="D2" s="1"/>
      <c r="E2" s="1"/>
      <c r="F2" s="1"/>
      <c r="G2" s="1"/>
    </row>
    <row r="3" spans="1:7" ht="15" customHeight="1" x14ac:dyDescent="0.2">
      <c r="A3" s="1"/>
      <c r="B3" s="118" t="s">
        <v>72</v>
      </c>
      <c r="C3" s="119"/>
      <c r="D3" s="119"/>
      <c r="E3" s="119"/>
      <c r="F3" s="120"/>
      <c r="G3" s="1"/>
    </row>
    <row r="4" spans="1:7" ht="15" customHeight="1" x14ac:dyDescent="0.2">
      <c r="A4" s="1"/>
      <c r="B4" s="121"/>
      <c r="C4" s="122"/>
      <c r="D4" s="122"/>
      <c r="E4" s="122"/>
      <c r="F4" s="123"/>
      <c r="G4" s="1"/>
    </row>
    <row r="5" spans="1:7" ht="15" x14ac:dyDescent="0.2">
      <c r="A5" s="1"/>
      <c r="B5" s="1"/>
      <c r="C5" s="1"/>
      <c r="D5" s="1"/>
      <c r="E5" s="1"/>
      <c r="F5" s="1"/>
      <c r="G5" s="1"/>
    </row>
    <row r="6" spans="1:7" ht="15.75" x14ac:dyDescent="0.25">
      <c r="A6" s="1"/>
      <c r="B6" s="58" t="s">
        <v>73</v>
      </c>
      <c r="C6" s="1"/>
      <c r="D6" s="1"/>
      <c r="E6" s="1"/>
      <c r="F6" s="1"/>
      <c r="G6" s="1"/>
    </row>
    <row r="7" spans="1:7" ht="15" x14ac:dyDescent="0.2">
      <c r="A7" s="1"/>
      <c r="B7" s="1"/>
      <c r="C7" s="1"/>
      <c r="D7" s="1"/>
      <c r="E7" s="1"/>
      <c r="F7" s="1"/>
      <c r="G7" s="1"/>
    </row>
    <row r="8" spans="1:7" ht="15" x14ac:dyDescent="0.2">
      <c r="A8" s="1"/>
      <c r="B8" s="59"/>
      <c r="C8" s="59"/>
      <c r="D8" s="60" t="s">
        <v>1</v>
      </c>
      <c r="E8" s="59"/>
      <c r="F8" s="59"/>
      <c r="G8" s="1"/>
    </row>
    <row r="9" spans="1:7" ht="15" x14ac:dyDescent="0.2">
      <c r="A9" s="1"/>
      <c r="B9" s="61"/>
      <c r="C9" s="62" t="s">
        <v>2</v>
      </c>
      <c r="D9" s="62" t="s">
        <v>3</v>
      </c>
      <c r="E9" s="61"/>
      <c r="F9" s="61"/>
      <c r="G9" s="1"/>
    </row>
    <row r="10" spans="1:7" ht="15" x14ac:dyDescent="0.2">
      <c r="A10" s="1"/>
      <c r="B10" s="61"/>
      <c r="C10" s="62" t="s">
        <v>4</v>
      </c>
      <c r="D10" s="62" t="s">
        <v>5</v>
      </c>
      <c r="E10" s="62" t="s">
        <v>6</v>
      </c>
      <c r="F10" s="62" t="s">
        <v>7</v>
      </c>
      <c r="G10" s="1"/>
    </row>
    <row r="11" spans="1:7" ht="15" x14ac:dyDescent="0.2">
      <c r="A11" s="1"/>
      <c r="B11" s="63"/>
      <c r="C11" s="63" t="s">
        <v>8</v>
      </c>
      <c r="D11" s="63" t="s">
        <v>8</v>
      </c>
      <c r="E11" s="63" t="s">
        <v>9</v>
      </c>
      <c r="F11" s="63" t="s">
        <v>9</v>
      </c>
      <c r="G11" s="1"/>
    </row>
    <row r="12" spans="1:7" ht="15" x14ac:dyDescent="0.2">
      <c r="A12" s="1"/>
      <c r="B12" s="64" t="s">
        <v>11</v>
      </c>
      <c r="C12" s="65" t="s">
        <v>74</v>
      </c>
      <c r="D12" s="65" t="s">
        <v>12</v>
      </c>
      <c r="E12" s="65" t="s">
        <v>13</v>
      </c>
      <c r="F12" s="65" t="s">
        <v>14</v>
      </c>
      <c r="G12" s="1"/>
    </row>
    <row r="13" spans="1:7" ht="15" x14ac:dyDescent="0.2">
      <c r="A13" s="1"/>
      <c r="B13" s="66">
        <v>43282</v>
      </c>
      <c r="C13" s="67">
        <f>91792+92475+109649+38219</f>
        <v>332135</v>
      </c>
      <c r="D13" s="2">
        <f>109649+91792+52262+40709+38219-496</f>
        <v>332135</v>
      </c>
      <c r="E13" s="68">
        <f t="shared" ref="E13:E20" si="0">C13-D13</f>
        <v>0</v>
      </c>
      <c r="F13" s="69">
        <f>E13</f>
        <v>0</v>
      </c>
      <c r="G13" s="1"/>
    </row>
    <row r="14" spans="1:7" ht="15" x14ac:dyDescent="0.2">
      <c r="A14" s="1"/>
      <c r="B14" s="70">
        <v>43313</v>
      </c>
      <c r="C14" s="67">
        <f>35266+93066+58155+30644</f>
        <v>217131</v>
      </c>
      <c r="D14" s="2">
        <f>58155+35266+48718+44875+30644-527</f>
        <v>217131</v>
      </c>
      <c r="E14" s="69">
        <f t="shared" si="0"/>
        <v>0</v>
      </c>
      <c r="F14" s="69">
        <f>F13+E14</f>
        <v>0</v>
      </c>
      <c r="G14" s="1"/>
    </row>
    <row r="15" spans="1:7" ht="15" x14ac:dyDescent="0.2">
      <c r="A15" s="1"/>
      <c r="B15" s="70">
        <v>43344</v>
      </c>
      <c r="C15" s="67">
        <f>111140+96467+135331+35479</f>
        <v>378417</v>
      </c>
      <c r="D15" s="67">
        <f>135331+111140+51537+44952+35479-22</f>
        <v>378417</v>
      </c>
      <c r="E15" s="69">
        <f t="shared" si="0"/>
        <v>0</v>
      </c>
      <c r="F15" s="69">
        <f t="shared" ref="F15:F18" si="1">F14+E15</f>
        <v>0</v>
      </c>
      <c r="G15" s="1"/>
    </row>
    <row r="16" spans="1:7" ht="15" x14ac:dyDescent="0.2">
      <c r="A16" s="1"/>
      <c r="B16" s="70">
        <v>43374</v>
      </c>
      <c r="C16" s="67">
        <f>111283+104768+142306+31763</f>
        <v>390120</v>
      </c>
      <c r="D16" s="67">
        <f>142306+111283+55553+49237+31763-22</f>
        <v>390120</v>
      </c>
      <c r="E16" s="69">
        <f t="shared" si="0"/>
        <v>0</v>
      </c>
      <c r="F16" s="69">
        <f t="shared" si="1"/>
        <v>0</v>
      </c>
      <c r="G16" s="1"/>
    </row>
    <row r="17" spans="1:7" ht="15" x14ac:dyDescent="0.2">
      <c r="A17" s="1"/>
      <c r="B17" s="70">
        <v>43405</v>
      </c>
      <c r="C17" s="67">
        <f>139823+114438+156216+20176</f>
        <v>430653</v>
      </c>
      <c r="D17" s="71">
        <f>156216+139823+66593+47868+20176-23</f>
        <v>430653</v>
      </c>
      <c r="E17" s="69">
        <f t="shared" si="0"/>
        <v>0</v>
      </c>
      <c r="F17" s="69">
        <f t="shared" si="1"/>
        <v>0</v>
      </c>
      <c r="G17" s="1"/>
    </row>
    <row r="18" spans="1:7" ht="15" x14ac:dyDescent="0.2">
      <c r="A18" s="1"/>
      <c r="B18" s="72">
        <v>43435</v>
      </c>
      <c r="C18" s="71">
        <f>171519+125211+196271+7445</f>
        <v>500446</v>
      </c>
      <c r="D18" s="73">
        <f>196271+171519+75913+49322+7445-24</f>
        <v>500446</v>
      </c>
      <c r="E18" s="74">
        <f t="shared" si="0"/>
        <v>0</v>
      </c>
      <c r="F18" s="74">
        <f t="shared" si="1"/>
        <v>0</v>
      </c>
      <c r="G18" s="1"/>
    </row>
    <row r="19" spans="1:7" ht="15" x14ac:dyDescent="0.2">
      <c r="A19" s="1"/>
      <c r="B19" s="70">
        <v>43466</v>
      </c>
      <c r="C19" s="75">
        <f>124478+96774+137830+6494</f>
        <v>365576</v>
      </c>
      <c r="D19" s="75">
        <f>137830+124478+52223+44572+6494-21</f>
        <v>365576</v>
      </c>
      <c r="E19" s="69">
        <f t="shared" si="0"/>
        <v>0</v>
      </c>
      <c r="F19" s="69">
        <f>F18+E19</f>
        <v>0</v>
      </c>
      <c r="G19" s="1"/>
    </row>
    <row r="20" spans="1:7" ht="15" x14ac:dyDescent="0.2">
      <c r="A20" s="1"/>
      <c r="B20" s="72">
        <v>43497</v>
      </c>
      <c r="C20" s="73">
        <f>87619+74618+95096+5370</f>
        <v>262703</v>
      </c>
      <c r="D20" s="73">
        <f>95096+87619+38833+35803+5370-18</f>
        <v>262703</v>
      </c>
      <c r="E20" s="74">
        <f t="shared" si="0"/>
        <v>0</v>
      </c>
      <c r="F20" s="74">
        <f>F19+E20</f>
        <v>0</v>
      </c>
      <c r="G20" s="1"/>
    </row>
    <row r="21" spans="1:7" ht="15" x14ac:dyDescent="0.2">
      <c r="A21" s="1"/>
      <c r="B21" s="76"/>
      <c r="C21" s="76"/>
      <c r="D21" s="76"/>
      <c r="E21" s="76"/>
      <c r="F21" s="76"/>
      <c r="G21" s="1"/>
    </row>
    <row r="22" spans="1:7" ht="15" x14ac:dyDescent="0.2">
      <c r="A22" s="1"/>
      <c r="B22" s="77" t="s">
        <v>75</v>
      </c>
      <c r="C22" s="78"/>
      <c r="D22" s="78"/>
      <c r="E22" s="79"/>
      <c r="F22" s="80">
        <f>F18</f>
        <v>0</v>
      </c>
      <c r="G22" s="1"/>
    </row>
    <row r="23" spans="1:7" ht="15" x14ac:dyDescent="0.2">
      <c r="A23" s="1"/>
      <c r="B23" s="76"/>
      <c r="C23" s="76"/>
      <c r="D23" s="76"/>
      <c r="E23" s="76"/>
      <c r="F23" s="81"/>
      <c r="G23" s="1"/>
    </row>
    <row r="24" spans="1:7" ht="15" x14ac:dyDescent="0.2">
      <c r="A24" s="1"/>
      <c r="B24" s="77" t="s">
        <v>76</v>
      </c>
      <c r="C24" s="78"/>
      <c r="D24" s="78"/>
      <c r="E24" s="79"/>
      <c r="F24" s="80">
        <f>F22/6</f>
        <v>0</v>
      </c>
      <c r="G24" s="1"/>
    </row>
    <row r="25" spans="1:7" ht="15" x14ac:dyDescent="0.2">
      <c r="A25" s="1"/>
      <c r="B25" s="1"/>
      <c r="C25" s="1"/>
      <c r="D25" s="1"/>
      <c r="E25" s="1"/>
      <c r="F25" s="1"/>
      <c r="G25" s="1"/>
    </row>
    <row r="26" spans="1:7" ht="15" x14ac:dyDescent="0.2">
      <c r="A26" s="1"/>
      <c r="B26" s="1"/>
      <c r="C26" s="1"/>
      <c r="D26" s="1"/>
      <c r="E26" s="1"/>
      <c r="F26" s="1"/>
      <c r="G26" s="1"/>
    </row>
    <row r="27" spans="1:7" ht="15" x14ac:dyDescent="0.2">
      <c r="A27" s="1"/>
      <c r="B27" s="1"/>
      <c r="C27" s="1"/>
      <c r="D27" s="1"/>
      <c r="E27" s="1"/>
      <c r="F27" s="1"/>
      <c r="G27" s="1"/>
    </row>
  </sheetData>
  <mergeCells count="1">
    <mergeCell ref="B3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>
      <selection activeCell="C39" sqref="C39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ht="14.25" customHeight="1" x14ac:dyDescent="0.2">
      <c r="B3" s="109" t="s">
        <v>77</v>
      </c>
      <c r="C3" s="110"/>
      <c r="D3" s="110"/>
      <c r="E3" s="110"/>
      <c r="F3" s="110"/>
      <c r="G3" s="111"/>
    </row>
    <row r="4" spans="2:7" x14ac:dyDescent="0.2">
      <c r="B4" s="112"/>
      <c r="C4" s="113"/>
      <c r="D4" s="113"/>
      <c r="E4" s="113"/>
      <c r="F4" s="113"/>
      <c r="G4" s="114"/>
    </row>
    <row r="6" spans="2:7" x14ac:dyDescent="0.2">
      <c r="B6" s="3"/>
      <c r="C6" s="3"/>
      <c r="D6" s="3"/>
      <c r="E6" s="4" t="s">
        <v>1</v>
      </c>
      <c r="F6" s="3"/>
      <c r="G6" s="3"/>
    </row>
    <row r="7" spans="2:7" x14ac:dyDescent="0.2">
      <c r="B7" s="5"/>
      <c r="C7" s="5"/>
      <c r="D7" s="6" t="s">
        <v>2</v>
      </c>
      <c r="E7" s="6" t="s">
        <v>3</v>
      </c>
      <c r="F7" s="5"/>
      <c r="G7" s="5"/>
    </row>
    <row r="8" spans="2:7" x14ac:dyDescent="0.2">
      <c r="B8" s="5"/>
      <c r="C8" s="5"/>
      <c r="D8" s="6" t="s">
        <v>4</v>
      </c>
      <c r="E8" s="6" t="s">
        <v>5</v>
      </c>
      <c r="F8" s="6" t="s">
        <v>6</v>
      </c>
      <c r="G8" s="6" t="s">
        <v>7</v>
      </c>
    </row>
    <row r="9" spans="2:7" x14ac:dyDescent="0.2">
      <c r="B9" s="7"/>
      <c r="C9" s="7"/>
      <c r="D9" s="7" t="s">
        <v>8</v>
      </c>
      <c r="E9" s="7" t="s">
        <v>8</v>
      </c>
      <c r="F9" s="7" t="s">
        <v>9</v>
      </c>
      <c r="G9" s="7" t="s">
        <v>9</v>
      </c>
    </row>
    <row r="10" spans="2:7" x14ac:dyDescent="0.2">
      <c r="B10" s="8" t="s">
        <v>10</v>
      </c>
      <c r="C10" s="8" t="s">
        <v>11</v>
      </c>
      <c r="D10" s="9" t="s">
        <v>12</v>
      </c>
      <c r="E10" s="9" t="s">
        <v>13</v>
      </c>
      <c r="F10" s="9" t="s">
        <v>14</v>
      </c>
      <c r="G10" s="9" t="s">
        <v>15</v>
      </c>
    </row>
    <row r="11" spans="2:7" x14ac:dyDescent="0.2">
      <c r="B11" s="4">
        <v>1</v>
      </c>
      <c r="C11" s="115" t="s">
        <v>16</v>
      </c>
      <c r="D11" s="116"/>
      <c r="E11" s="116"/>
      <c r="F11" s="116"/>
      <c r="G11" s="117"/>
    </row>
    <row r="12" spans="2:7" x14ac:dyDescent="0.2">
      <c r="B12" s="4" t="s">
        <v>17</v>
      </c>
      <c r="C12" s="10" t="s">
        <v>60</v>
      </c>
      <c r="D12" s="10"/>
      <c r="E12" s="10"/>
      <c r="F12" s="11"/>
      <c r="G12" s="12">
        <v>649</v>
      </c>
    </row>
    <row r="13" spans="2:7" x14ac:dyDescent="0.2">
      <c r="B13" s="6" t="s">
        <v>19</v>
      </c>
      <c r="C13" s="10" t="s">
        <v>18</v>
      </c>
      <c r="D13" s="10"/>
      <c r="E13" s="10"/>
      <c r="F13" s="11"/>
      <c r="G13" s="12">
        <v>-109734</v>
      </c>
    </row>
    <row r="14" spans="2:7" x14ac:dyDescent="0.2">
      <c r="B14" s="6" t="s">
        <v>21</v>
      </c>
      <c r="C14" s="10" t="s">
        <v>20</v>
      </c>
      <c r="D14" s="10"/>
      <c r="E14" s="10"/>
      <c r="F14" s="11"/>
      <c r="G14" s="12">
        <v>-66144</v>
      </c>
    </row>
    <row r="15" spans="2:7" x14ac:dyDescent="0.2">
      <c r="B15" s="7" t="s">
        <v>61</v>
      </c>
      <c r="C15" s="10" t="s">
        <v>22</v>
      </c>
      <c r="D15" s="10"/>
      <c r="E15" s="10"/>
      <c r="F15" s="13"/>
      <c r="G15" s="14">
        <f>G12+G13+G14</f>
        <v>-175229</v>
      </c>
    </row>
    <row r="16" spans="2:7" x14ac:dyDescent="0.2">
      <c r="B16" s="6">
        <v>2</v>
      </c>
      <c r="C16" s="15">
        <v>43282</v>
      </c>
      <c r="D16" s="16">
        <f>203026-309</f>
        <v>202717</v>
      </c>
      <c r="E16" s="17">
        <v>209071</v>
      </c>
      <c r="F16" s="18">
        <f t="shared" ref="F16:F23" si="0">D16-E16</f>
        <v>-6354</v>
      </c>
      <c r="G16" s="14">
        <f t="shared" ref="G16:G23" si="1">G15+F16</f>
        <v>-181583</v>
      </c>
    </row>
    <row r="17" spans="2:7" x14ac:dyDescent="0.2">
      <c r="B17" s="6">
        <v>3</v>
      </c>
      <c r="C17" s="19">
        <v>43313</v>
      </c>
      <c r="D17" s="20">
        <f>178174-280</f>
        <v>177894</v>
      </c>
      <c r="E17" s="21">
        <v>212658</v>
      </c>
      <c r="F17" s="22">
        <f t="shared" si="0"/>
        <v>-34764</v>
      </c>
      <c r="G17" s="23">
        <f t="shared" si="1"/>
        <v>-216347</v>
      </c>
    </row>
    <row r="18" spans="2:7" x14ac:dyDescent="0.2">
      <c r="B18" s="6">
        <v>4</v>
      </c>
      <c r="C18" s="19">
        <v>43344</v>
      </c>
      <c r="D18" s="20">
        <f>176078-301</f>
        <v>175777</v>
      </c>
      <c r="E18" s="21">
        <v>156939</v>
      </c>
      <c r="F18" s="22">
        <f t="shared" si="0"/>
        <v>18838</v>
      </c>
      <c r="G18" s="23">
        <f t="shared" si="1"/>
        <v>-197509</v>
      </c>
    </row>
    <row r="19" spans="2:7" x14ac:dyDescent="0.2">
      <c r="B19" s="6">
        <v>5</v>
      </c>
      <c r="C19" s="19">
        <v>43374</v>
      </c>
      <c r="D19" s="20">
        <f>169399-298</f>
        <v>169101</v>
      </c>
      <c r="E19" s="21">
        <v>151670</v>
      </c>
      <c r="F19" s="22">
        <f t="shared" si="0"/>
        <v>17431</v>
      </c>
      <c r="G19" s="23">
        <f t="shared" si="1"/>
        <v>-180078</v>
      </c>
    </row>
    <row r="20" spans="2:7" x14ac:dyDescent="0.2">
      <c r="B20" s="6">
        <v>6</v>
      </c>
      <c r="C20" s="19">
        <v>43405</v>
      </c>
      <c r="D20" s="20">
        <f>210453-310</f>
        <v>210143</v>
      </c>
      <c r="E20" s="21">
        <v>173966</v>
      </c>
      <c r="F20" s="22">
        <f t="shared" si="0"/>
        <v>36177</v>
      </c>
      <c r="G20" s="23">
        <f t="shared" si="1"/>
        <v>-143901</v>
      </c>
    </row>
    <row r="21" spans="2:7" x14ac:dyDescent="0.2">
      <c r="B21" s="6">
        <v>7</v>
      </c>
      <c r="C21" s="19">
        <v>43435</v>
      </c>
      <c r="D21" s="20">
        <f>262138-324</f>
        <v>261814</v>
      </c>
      <c r="E21" s="21">
        <v>198556</v>
      </c>
      <c r="F21" s="24">
        <f t="shared" si="0"/>
        <v>63258</v>
      </c>
      <c r="G21" s="25">
        <f t="shared" si="1"/>
        <v>-80643</v>
      </c>
    </row>
    <row r="22" spans="2:7" x14ac:dyDescent="0.2">
      <c r="B22" s="26" t="s">
        <v>23</v>
      </c>
      <c r="C22" s="15">
        <v>43466</v>
      </c>
      <c r="D22" s="16">
        <f>239785-282</f>
        <v>239503</v>
      </c>
      <c r="E22" s="17">
        <v>252659</v>
      </c>
      <c r="F22" s="18">
        <f t="shared" si="0"/>
        <v>-13156</v>
      </c>
      <c r="G22" s="14">
        <f t="shared" si="1"/>
        <v>-93799</v>
      </c>
    </row>
    <row r="23" spans="2:7" x14ac:dyDescent="0.2">
      <c r="B23" s="27" t="s">
        <v>24</v>
      </c>
      <c r="C23" s="28">
        <v>43497</v>
      </c>
      <c r="D23" s="29">
        <f>157757-234</f>
        <v>157523</v>
      </c>
      <c r="E23" s="30">
        <v>180657</v>
      </c>
      <c r="F23" s="24">
        <f t="shared" si="0"/>
        <v>-23134</v>
      </c>
      <c r="G23" s="25">
        <f t="shared" si="1"/>
        <v>-116933</v>
      </c>
    </row>
    <row r="24" spans="2:7" x14ac:dyDescent="0.2">
      <c r="B24" s="7"/>
      <c r="C24" s="31" t="s">
        <v>25</v>
      </c>
      <c r="D24" s="32"/>
      <c r="E24" s="32"/>
      <c r="F24" s="32"/>
      <c r="G24" s="33"/>
    </row>
    <row r="25" spans="2:7" x14ac:dyDescent="0.2">
      <c r="B25" s="4"/>
      <c r="C25" s="3"/>
      <c r="D25" s="3"/>
      <c r="E25" s="3"/>
      <c r="F25" s="3"/>
      <c r="G25" s="14"/>
    </row>
    <row r="26" spans="2:7" x14ac:dyDescent="0.2">
      <c r="B26" s="6"/>
      <c r="C26" s="5"/>
      <c r="D26" s="6" t="s">
        <v>26</v>
      </c>
      <c r="E26" s="6" t="s">
        <v>27</v>
      </c>
      <c r="F26" s="5"/>
      <c r="G26" s="23"/>
    </row>
    <row r="27" spans="2:7" x14ac:dyDescent="0.2">
      <c r="B27" s="6">
        <v>8</v>
      </c>
      <c r="C27" s="5"/>
      <c r="D27" s="6" t="s">
        <v>28</v>
      </c>
      <c r="E27" s="6" t="s">
        <v>29</v>
      </c>
      <c r="F27" s="5"/>
      <c r="G27" s="34" t="s">
        <v>26</v>
      </c>
    </row>
    <row r="28" spans="2:7" x14ac:dyDescent="0.2">
      <c r="B28" s="6"/>
      <c r="C28" s="5"/>
      <c r="D28" s="6" t="s">
        <v>30</v>
      </c>
      <c r="E28" s="6" t="s">
        <v>31</v>
      </c>
      <c r="F28" s="5"/>
      <c r="G28" s="34" t="s">
        <v>32</v>
      </c>
    </row>
    <row r="29" spans="2:7" x14ac:dyDescent="0.2">
      <c r="B29" s="6"/>
      <c r="C29" s="5"/>
      <c r="D29" s="6" t="s">
        <v>33</v>
      </c>
      <c r="E29" s="6" t="s">
        <v>34</v>
      </c>
      <c r="F29" s="5"/>
      <c r="G29" s="34" t="s">
        <v>35</v>
      </c>
    </row>
    <row r="30" spans="2:7" x14ac:dyDescent="0.2">
      <c r="B30" s="7"/>
      <c r="C30" s="5"/>
      <c r="D30" s="6" t="s">
        <v>36</v>
      </c>
      <c r="E30" s="6" t="s">
        <v>37</v>
      </c>
      <c r="F30" s="5"/>
      <c r="G30" s="34" t="s">
        <v>38</v>
      </c>
    </row>
    <row r="31" spans="2:7" x14ac:dyDescent="0.2">
      <c r="B31" s="26" t="s">
        <v>39</v>
      </c>
      <c r="C31" s="3" t="s">
        <v>62</v>
      </c>
      <c r="D31" s="14">
        <f>-G12</f>
        <v>-649</v>
      </c>
      <c r="E31" s="14">
        <f>D63</f>
        <v>649</v>
      </c>
      <c r="F31" s="3"/>
      <c r="G31" s="14">
        <f>D31+E31</f>
        <v>0</v>
      </c>
    </row>
    <row r="32" spans="2:7" x14ac:dyDescent="0.2">
      <c r="B32" s="37" t="s">
        <v>41</v>
      </c>
      <c r="C32" s="5" t="s">
        <v>40</v>
      </c>
      <c r="D32" s="23">
        <f>-G13</f>
        <v>109734</v>
      </c>
      <c r="E32" s="23">
        <f>E63</f>
        <v>-73156</v>
      </c>
      <c r="F32" s="5"/>
      <c r="G32" s="23">
        <f>D32+E32</f>
        <v>36578</v>
      </c>
    </row>
    <row r="33" spans="2:7" x14ac:dyDescent="0.2">
      <c r="B33" s="37" t="s">
        <v>43</v>
      </c>
      <c r="C33" s="35" t="s">
        <v>42</v>
      </c>
      <c r="D33" s="25">
        <f>-G14</f>
        <v>66144</v>
      </c>
      <c r="E33" s="25">
        <f>F63</f>
        <v>0</v>
      </c>
      <c r="F33" s="35"/>
      <c r="G33" s="25">
        <f>D33+E33</f>
        <v>66144</v>
      </c>
    </row>
    <row r="34" spans="2:7" x14ac:dyDescent="0.2">
      <c r="B34" s="7" t="s">
        <v>63</v>
      </c>
      <c r="C34" s="38"/>
      <c r="D34" s="39"/>
      <c r="E34" s="39"/>
      <c r="F34" s="40" t="s">
        <v>44</v>
      </c>
      <c r="G34" s="25">
        <f>G31+G32+G33</f>
        <v>102722</v>
      </c>
    </row>
    <row r="35" spans="2:7" x14ac:dyDescent="0.2">
      <c r="B35" s="41"/>
      <c r="G35" s="42"/>
    </row>
    <row r="36" spans="2:7" x14ac:dyDescent="0.2">
      <c r="B36" s="8">
        <v>9</v>
      </c>
      <c r="C36" s="45" t="s">
        <v>64</v>
      </c>
      <c r="D36" s="10"/>
      <c r="E36" s="10"/>
      <c r="F36" s="11"/>
      <c r="G36" s="44">
        <f>G21+G34</f>
        <v>22079</v>
      </c>
    </row>
    <row r="37" spans="2:7" x14ac:dyDescent="0.2">
      <c r="B37" s="41"/>
      <c r="G37" s="42"/>
    </row>
    <row r="38" spans="2:7" x14ac:dyDescent="0.2">
      <c r="B38" s="8">
        <v>10</v>
      </c>
      <c r="C38" s="45" t="s">
        <v>46</v>
      </c>
      <c r="D38" s="10"/>
      <c r="E38" s="10"/>
      <c r="F38" s="11"/>
      <c r="G38" s="44">
        <f>G36/6</f>
        <v>3679.8333333333335</v>
      </c>
    </row>
    <row r="40" spans="2:7" x14ac:dyDescent="0.2">
      <c r="B40" s="3"/>
      <c r="C40" s="46" t="s">
        <v>47</v>
      </c>
      <c r="D40" s="47"/>
      <c r="E40" s="47"/>
      <c r="F40" s="47"/>
      <c r="G40" s="48"/>
    </row>
    <row r="41" spans="2:7" x14ac:dyDescent="0.2">
      <c r="B41" s="3"/>
      <c r="C41" s="49"/>
      <c r="D41" s="49"/>
      <c r="E41" s="49"/>
      <c r="F41" s="49"/>
      <c r="G41" s="13"/>
    </row>
    <row r="42" spans="2:7" x14ac:dyDescent="0.2">
      <c r="B42" s="6">
        <v>11</v>
      </c>
      <c r="C42" s="50" t="s">
        <v>48</v>
      </c>
      <c r="D42" s="50"/>
      <c r="E42" s="50"/>
      <c r="F42" s="50"/>
      <c r="G42" s="51">
        <f>G15</f>
        <v>-175229</v>
      </c>
    </row>
    <row r="43" spans="2:7" x14ac:dyDescent="0.2">
      <c r="B43" s="6">
        <v>12</v>
      </c>
      <c r="C43" s="50" t="s">
        <v>49</v>
      </c>
      <c r="D43" s="50"/>
      <c r="E43" s="50"/>
      <c r="F43" s="50"/>
      <c r="G43" s="52">
        <f>G34</f>
        <v>102722</v>
      </c>
    </row>
    <row r="44" spans="2:7" x14ac:dyDescent="0.2">
      <c r="B44" s="6"/>
      <c r="C44" s="50"/>
      <c r="D44" s="50"/>
      <c r="E44" s="50"/>
      <c r="F44" s="50"/>
      <c r="G44" s="51"/>
    </row>
    <row r="45" spans="2:7" ht="15" thickBot="1" x14ac:dyDescent="0.25">
      <c r="B45" s="6">
        <v>13</v>
      </c>
      <c r="C45" s="50" t="s">
        <v>50</v>
      </c>
      <c r="D45" s="50"/>
      <c r="E45" s="50"/>
      <c r="F45" s="50"/>
      <c r="G45" s="53">
        <f>G42+G43</f>
        <v>-72507</v>
      </c>
    </row>
    <row r="46" spans="2:7" ht="15" thickTop="1" x14ac:dyDescent="0.2">
      <c r="B46" s="6"/>
      <c r="C46" s="50"/>
      <c r="D46" s="50"/>
      <c r="E46" s="50"/>
      <c r="F46" s="50"/>
      <c r="G46" s="51"/>
    </row>
    <row r="47" spans="2:7" x14ac:dyDescent="0.2">
      <c r="B47" s="6">
        <v>14</v>
      </c>
      <c r="C47" s="50" t="s">
        <v>51</v>
      </c>
      <c r="D47" s="50"/>
      <c r="E47" s="50"/>
      <c r="F47" s="50"/>
      <c r="G47" s="51">
        <f>G36</f>
        <v>22079</v>
      </c>
    </row>
    <row r="48" spans="2:7" x14ac:dyDescent="0.2">
      <c r="B48" s="6"/>
      <c r="C48" s="50"/>
      <c r="D48" s="50"/>
      <c r="E48" s="50"/>
      <c r="F48" s="50"/>
      <c r="G48" s="51"/>
    </row>
    <row r="49" spans="2:7" x14ac:dyDescent="0.2">
      <c r="B49" s="6">
        <v>15</v>
      </c>
      <c r="C49" s="50" t="s">
        <v>52</v>
      </c>
      <c r="D49" s="50"/>
      <c r="E49" s="50"/>
      <c r="F49" s="50"/>
      <c r="G49" s="52">
        <f>SUM(F16:F21)</f>
        <v>94586</v>
      </c>
    </row>
    <row r="50" spans="2:7" x14ac:dyDescent="0.2">
      <c r="B50" s="6"/>
      <c r="C50" s="50"/>
      <c r="D50" s="50"/>
      <c r="E50" s="50"/>
      <c r="F50" s="50"/>
      <c r="G50" s="51"/>
    </row>
    <row r="51" spans="2:7" ht="15" thickBot="1" x14ac:dyDescent="0.25">
      <c r="B51" s="6">
        <v>16</v>
      </c>
      <c r="C51" s="50" t="s">
        <v>53</v>
      </c>
      <c r="D51" s="50"/>
      <c r="E51" s="50"/>
      <c r="F51" s="50"/>
      <c r="G51" s="53">
        <f>G47-G49</f>
        <v>-72507</v>
      </c>
    </row>
    <row r="52" spans="2:7" ht="15" thickTop="1" x14ac:dyDescent="0.2">
      <c r="B52" s="35"/>
      <c r="C52" s="54"/>
      <c r="D52" s="54"/>
      <c r="E52" s="54"/>
      <c r="F52" s="54"/>
      <c r="G52" s="55"/>
    </row>
    <row r="54" spans="2:7" x14ac:dyDescent="0.2">
      <c r="B54" t="s">
        <v>54</v>
      </c>
    </row>
    <row r="55" spans="2:7" x14ac:dyDescent="0.2">
      <c r="B55" s="41"/>
      <c r="C55" s="3"/>
      <c r="D55" s="4" t="s">
        <v>55</v>
      </c>
      <c r="E55" s="4" t="s">
        <v>55</v>
      </c>
      <c r="F55" s="4" t="s">
        <v>55</v>
      </c>
    </row>
    <row r="56" spans="2:7" x14ac:dyDescent="0.2">
      <c r="B56" s="41"/>
      <c r="C56" s="7" t="s">
        <v>11</v>
      </c>
      <c r="D56" s="7" t="s">
        <v>65</v>
      </c>
      <c r="E56" s="7" t="s">
        <v>56</v>
      </c>
      <c r="F56" s="7" t="s">
        <v>57</v>
      </c>
    </row>
    <row r="57" spans="2:7" x14ac:dyDescent="0.2">
      <c r="C57" s="15">
        <v>43282</v>
      </c>
      <c r="D57" s="16">
        <v>649</v>
      </c>
      <c r="E57" s="16">
        <v>0</v>
      </c>
      <c r="F57" s="14">
        <v>0</v>
      </c>
    </row>
    <row r="58" spans="2:7" x14ac:dyDescent="0.2">
      <c r="C58" s="19">
        <v>43313</v>
      </c>
      <c r="D58" s="20">
        <v>0</v>
      </c>
      <c r="E58" s="20">
        <v>0</v>
      </c>
      <c r="F58" s="23">
        <v>0</v>
      </c>
    </row>
    <row r="59" spans="2:7" x14ac:dyDescent="0.2">
      <c r="C59" s="19">
        <v>43344</v>
      </c>
      <c r="D59" s="20">
        <v>0</v>
      </c>
      <c r="E59" s="20">
        <v>-18289</v>
      </c>
      <c r="F59" s="23">
        <v>0</v>
      </c>
    </row>
    <row r="60" spans="2:7" x14ac:dyDescent="0.2">
      <c r="C60" s="19">
        <v>43374</v>
      </c>
      <c r="D60" s="20">
        <v>0</v>
      </c>
      <c r="E60" s="20">
        <v>-18289</v>
      </c>
      <c r="F60" s="23">
        <v>0</v>
      </c>
    </row>
    <row r="61" spans="2:7" x14ac:dyDescent="0.2">
      <c r="C61" s="19">
        <v>43405</v>
      </c>
      <c r="D61" s="20">
        <v>0</v>
      </c>
      <c r="E61" s="20">
        <v>-18289</v>
      </c>
      <c r="F61" s="23">
        <v>0</v>
      </c>
    </row>
    <row r="62" spans="2:7" x14ac:dyDescent="0.2">
      <c r="C62" s="28">
        <v>43435</v>
      </c>
      <c r="D62" s="29">
        <v>0</v>
      </c>
      <c r="E62" s="29">
        <v>-18289</v>
      </c>
      <c r="F62" s="25">
        <v>0</v>
      </c>
    </row>
    <row r="63" spans="2:7" x14ac:dyDescent="0.2">
      <c r="C63" s="56" t="s">
        <v>58</v>
      </c>
      <c r="D63" s="44">
        <f>SUM(D57:D62)</f>
        <v>649</v>
      </c>
      <c r="E63" s="44">
        <f>SUM(E57:E62)</f>
        <v>-73156</v>
      </c>
      <c r="F63" s="44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>
      <selection activeCell="C39" sqref="C39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ht="14.25" customHeight="1" x14ac:dyDescent="0.2">
      <c r="B3" s="109" t="s">
        <v>78</v>
      </c>
      <c r="C3" s="110"/>
      <c r="D3" s="110"/>
      <c r="E3" s="110"/>
      <c r="F3" s="110"/>
      <c r="G3" s="111"/>
    </row>
    <row r="4" spans="2:7" x14ac:dyDescent="0.2">
      <c r="B4" s="112"/>
      <c r="C4" s="113"/>
      <c r="D4" s="113"/>
      <c r="E4" s="113"/>
      <c r="F4" s="113"/>
      <c r="G4" s="114"/>
    </row>
    <row r="6" spans="2:7" x14ac:dyDescent="0.2">
      <c r="B6" s="3"/>
      <c r="C6" s="3"/>
      <c r="D6" s="3"/>
      <c r="E6" s="4" t="s">
        <v>1</v>
      </c>
      <c r="F6" s="3"/>
      <c r="G6" s="3"/>
    </row>
    <row r="7" spans="2:7" x14ac:dyDescent="0.2">
      <c r="B7" s="5"/>
      <c r="C7" s="5"/>
      <c r="D7" s="6" t="s">
        <v>2</v>
      </c>
      <c r="E7" s="6" t="s">
        <v>3</v>
      </c>
      <c r="F7" s="5"/>
      <c r="G7" s="5"/>
    </row>
    <row r="8" spans="2:7" x14ac:dyDescent="0.2">
      <c r="B8" s="5"/>
      <c r="C8" s="5"/>
      <c r="D8" s="6" t="s">
        <v>4</v>
      </c>
      <c r="E8" s="6" t="s">
        <v>5</v>
      </c>
      <c r="F8" s="6" t="s">
        <v>6</v>
      </c>
      <c r="G8" s="6" t="s">
        <v>7</v>
      </c>
    </row>
    <row r="9" spans="2:7" x14ac:dyDescent="0.2">
      <c r="B9" s="7"/>
      <c r="C9" s="7"/>
      <c r="D9" s="7" t="s">
        <v>8</v>
      </c>
      <c r="E9" s="7" t="s">
        <v>8</v>
      </c>
      <c r="F9" s="7" t="s">
        <v>9</v>
      </c>
      <c r="G9" s="7" t="s">
        <v>9</v>
      </c>
    </row>
    <row r="10" spans="2:7" x14ac:dyDescent="0.2">
      <c r="B10" s="8" t="s">
        <v>10</v>
      </c>
      <c r="C10" s="8" t="s">
        <v>11</v>
      </c>
      <c r="D10" s="9" t="s">
        <v>12</v>
      </c>
      <c r="E10" s="9" t="s">
        <v>13</v>
      </c>
      <c r="F10" s="9" t="s">
        <v>14</v>
      </c>
      <c r="G10" s="9" t="s">
        <v>15</v>
      </c>
    </row>
    <row r="11" spans="2:7" x14ac:dyDescent="0.2">
      <c r="B11" s="4">
        <v>1</v>
      </c>
      <c r="C11" s="115" t="s">
        <v>16</v>
      </c>
      <c r="D11" s="116"/>
      <c r="E11" s="116"/>
      <c r="F11" s="116"/>
      <c r="G11" s="117"/>
    </row>
    <row r="12" spans="2:7" x14ac:dyDescent="0.2">
      <c r="B12" s="4" t="s">
        <v>17</v>
      </c>
      <c r="C12" s="10" t="s">
        <v>60</v>
      </c>
      <c r="D12" s="10"/>
      <c r="E12" s="10"/>
      <c r="F12" s="11"/>
      <c r="G12" s="12">
        <v>8695</v>
      </c>
    </row>
    <row r="13" spans="2:7" x14ac:dyDescent="0.2">
      <c r="B13" s="6" t="s">
        <v>19</v>
      </c>
      <c r="C13" s="10" t="s">
        <v>18</v>
      </c>
      <c r="D13" s="10"/>
      <c r="E13" s="10"/>
      <c r="F13" s="11"/>
      <c r="G13" s="12">
        <v>-73256</v>
      </c>
    </row>
    <row r="14" spans="2:7" x14ac:dyDescent="0.2">
      <c r="B14" s="6" t="s">
        <v>21</v>
      </c>
      <c r="C14" s="10" t="s">
        <v>20</v>
      </c>
      <c r="D14" s="10"/>
      <c r="E14" s="10"/>
      <c r="F14" s="11"/>
      <c r="G14" s="12">
        <v>-4663</v>
      </c>
    </row>
    <row r="15" spans="2:7" x14ac:dyDescent="0.2">
      <c r="B15" s="7" t="s">
        <v>61</v>
      </c>
      <c r="C15" s="10" t="s">
        <v>22</v>
      </c>
      <c r="D15" s="10"/>
      <c r="E15" s="10"/>
      <c r="F15" s="13"/>
      <c r="G15" s="14">
        <f>G12+G13+G14</f>
        <v>-69224</v>
      </c>
    </row>
    <row r="16" spans="2:7" x14ac:dyDescent="0.2">
      <c r="B16" s="6">
        <v>2</v>
      </c>
      <c r="C16" s="15">
        <v>43282</v>
      </c>
      <c r="D16" s="16">
        <f>381023-890</f>
        <v>380133</v>
      </c>
      <c r="E16" s="17">
        <v>406670.11</v>
      </c>
      <c r="F16" s="18">
        <f t="shared" ref="F16:F23" si="0">D16-E16</f>
        <v>-26537.109999999986</v>
      </c>
      <c r="G16" s="14">
        <f t="shared" ref="G16:G23" si="1">G15+F16</f>
        <v>-95761.109999999986</v>
      </c>
    </row>
    <row r="17" spans="2:7" x14ac:dyDescent="0.2">
      <c r="B17" s="6">
        <v>3</v>
      </c>
      <c r="C17" s="19">
        <v>43313</v>
      </c>
      <c r="D17" s="20">
        <f>362361-876</f>
        <v>361485</v>
      </c>
      <c r="E17" s="21">
        <f>366189.03</f>
        <v>366189.03</v>
      </c>
      <c r="F17" s="22">
        <f t="shared" si="0"/>
        <v>-4704.0300000000279</v>
      </c>
      <c r="G17" s="23">
        <f t="shared" si="1"/>
        <v>-100465.14000000001</v>
      </c>
    </row>
    <row r="18" spans="2:7" x14ac:dyDescent="0.2">
      <c r="B18" s="6">
        <v>4</v>
      </c>
      <c r="C18" s="19">
        <v>43344</v>
      </c>
      <c r="D18" s="20">
        <f>315363-797</f>
        <v>314566</v>
      </c>
      <c r="E18" s="21">
        <v>313299.77</v>
      </c>
      <c r="F18" s="22">
        <f t="shared" si="0"/>
        <v>1266.2299999999814</v>
      </c>
      <c r="G18" s="23">
        <f t="shared" si="1"/>
        <v>-99198.910000000033</v>
      </c>
    </row>
    <row r="19" spans="2:7" x14ac:dyDescent="0.2">
      <c r="B19" s="6">
        <v>5</v>
      </c>
      <c r="C19" s="19">
        <v>43374</v>
      </c>
      <c r="D19" s="20">
        <f>315429-853</f>
        <v>314576</v>
      </c>
      <c r="E19" s="21">
        <v>293825.88</v>
      </c>
      <c r="F19" s="22">
        <f t="shared" si="0"/>
        <v>20750.119999999995</v>
      </c>
      <c r="G19" s="23">
        <f t="shared" si="1"/>
        <v>-78448.790000000037</v>
      </c>
    </row>
    <row r="20" spans="2:7" x14ac:dyDescent="0.2">
      <c r="B20" s="6">
        <v>6</v>
      </c>
      <c r="C20" s="19">
        <v>43405</v>
      </c>
      <c r="D20" s="20">
        <f>309047-870</f>
        <v>308177</v>
      </c>
      <c r="E20" s="21">
        <v>327447.99</v>
      </c>
      <c r="F20" s="22">
        <f t="shared" si="0"/>
        <v>-19270.989999999991</v>
      </c>
      <c r="G20" s="23">
        <f t="shared" si="1"/>
        <v>-97719.780000000028</v>
      </c>
    </row>
    <row r="21" spans="2:7" x14ac:dyDescent="0.2">
      <c r="B21" s="6">
        <v>7</v>
      </c>
      <c r="C21" s="19">
        <v>43435</v>
      </c>
      <c r="D21" s="20">
        <f>423121-912</f>
        <v>422209</v>
      </c>
      <c r="E21" s="21">
        <v>444271.77</v>
      </c>
      <c r="F21" s="24">
        <f t="shared" si="0"/>
        <v>-22062.770000000019</v>
      </c>
      <c r="G21" s="25">
        <f t="shared" si="1"/>
        <v>-119782.55000000005</v>
      </c>
    </row>
    <row r="22" spans="2:7" x14ac:dyDescent="0.2">
      <c r="B22" s="26" t="s">
        <v>23</v>
      </c>
      <c r="C22" s="15">
        <v>43466</v>
      </c>
      <c r="D22" s="16">
        <f>511499-949</f>
        <v>510550</v>
      </c>
      <c r="E22" s="17">
        <v>494966.14</v>
      </c>
      <c r="F22" s="18">
        <f t="shared" si="0"/>
        <v>15583.859999999986</v>
      </c>
      <c r="G22" s="14">
        <f t="shared" si="1"/>
        <v>-104198.69000000006</v>
      </c>
    </row>
    <row r="23" spans="2:7" x14ac:dyDescent="0.2">
      <c r="B23" s="27" t="s">
        <v>24</v>
      </c>
      <c r="C23" s="28">
        <v>43497</v>
      </c>
      <c r="D23" s="29">
        <f>475396-828</f>
        <v>474568</v>
      </c>
      <c r="E23" s="30">
        <v>490306.44</v>
      </c>
      <c r="F23" s="24">
        <f t="shared" si="0"/>
        <v>-15738.440000000002</v>
      </c>
      <c r="G23" s="25">
        <f t="shared" si="1"/>
        <v>-119937.13000000006</v>
      </c>
    </row>
    <row r="24" spans="2:7" x14ac:dyDescent="0.2">
      <c r="B24" s="7"/>
      <c r="C24" s="31" t="s">
        <v>25</v>
      </c>
      <c r="D24" s="32"/>
      <c r="E24" s="32"/>
      <c r="F24" s="32"/>
      <c r="G24" s="33"/>
    </row>
    <row r="25" spans="2:7" x14ac:dyDescent="0.2">
      <c r="B25" s="4"/>
      <c r="C25" s="3"/>
      <c r="D25" s="3"/>
      <c r="E25" s="3"/>
      <c r="F25" s="3"/>
      <c r="G25" s="14"/>
    </row>
    <row r="26" spans="2:7" x14ac:dyDescent="0.2">
      <c r="B26" s="6"/>
      <c r="C26" s="5"/>
      <c r="D26" s="6" t="s">
        <v>26</v>
      </c>
      <c r="E26" s="6" t="s">
        <v>27</v>
      </c>
      <c r="F26" s="5"/>
      <c r="G26" s="23"/>
    </row>
    <row r="27" spans="2:7" x14ac:dyDescent="0.2">
      <c r="B27" s="6">
        <v>8</v>
      </c>
      <c r="C27" s="5"/>
      <c r="D27" s="6" t="s">
        <v>28</v>
      </c>
      <c r="E27" s="6" t="s">
        <v>29</v>
      </c>
      <c r="F27" s="5"/>
      <c r="G27" s="34" t="s">
        <v>26</v>
      </c>
    </row>
    <row r="28" spans="2:7" x14ac:dyDescent="0.2">
      <c r="B28" s="6"/>
      <c r="C28" s="5"/>
      <c r="D28" s="6" t="s">
        <v>30</v>
      </c>
      <c r="E28" s="6" t="s">
        <v>31</v>
      </c>
      <c r="F28" s="5"/>
      <c r="G28" s="34" t="s">
        <v>32</v>
      </c>
    </row>
    <row r="29" spans="2:7" x14ac:dyDescent="0.2">
      <c r="B29" s="6"/>
      <c r="C29" s="5"/>
      <c r="D29" s="6" t="s">
        <v>33</v>
      </c>
      <c r="E29" s="6" t="s">
        <v>34</v>
      </c>
      <c r="F29" s="5"/>
      <c r="G29" s="34" t="s">
        <v>35</v>
      </c>
    </row>
    <row r="30" spans="2:7" x14ac:dyDescent="0.2">
      <c r="B30" s="7"/>
      <c r="C30" s="5"/>
      <c r="D30" s="6" t="s">
        <v>36</v>
      </c>
      <c r="E30" s="6" t="s">
        <v>37</v>
      </c>
      <c r="F30" s="5"/>
      <c r="G30" s="34" t="s">
        <v>38</v>
      </c>
    </row>
    <row r="31" spans="2:7" x14ac:dyDescent="0.2">
      <c r="B31" s="26" t="s">
        <v>39</v>
      </c>
      <c r="C31" s="3" t="s">
        <v>62</v>
      </c>
      <c r="D31" s="14">
        <f>-G12</f>
        <v>-8695</v>
      </c>
      <c r="E31" s="14">
        <f>D63</f>
        <v>8695</v>
      </c>
      <c r="F31" s="3"/>
      <c r="G31" s="14">
        <f>D31+E31</f>
        <v>0</v>
      </c>
    </row>
    <row r="32" spans="2:7" x14ac:dyDescent="0.2">
      <c r="B32" s="37" t="s">
        <v>41</v>
      </c>
      <c r="C32" s="5" t="s">
        <v>40</v>
      </c>
      <c r="D32" s="23">
        <f>-G13</f>
        <v>73256</v>
      </c>
      <c r="E32" s="23">
        <f>E63</f>
        <v>-48836</v>
      </c>
      <c r="F32" s="5"/>
      <c r="G32" s="23">
        <f>D32+E32</f>
        <v>24420</v>
      </c>
    </row>
    <row r="33" spans="2:7" x14ac:dyDescent="0.2">
      <c r="B33" s="37" t="s">
        <v>43</v>
      </c>
      <c r="C33" s="35" t="s">
        <v>42</v>
      </c>
      <c r="D33" s="25">
        <f>-G14</f>
        <v>4663</v>
      </c>
      <c r="E33" s="25">
        <f>F63</f>
        <v>0</v>
      </c>
      <c r="F33" s="35"/>
      <c r="G33" s="25">
        <f>D33+E33</f>
        <v>4663</v>
      </c>
    </row>
    <row r="34" spans="2:7" x14ac:dyDescent="0.2">
      <c r="B34" s="7" t="s">
        <v>63</v>
      </c>
      <c r="C34" s="38"/>
      <c r="D34" s="39"/>
      <c r="E34" s="39"/>
      <c r="F34" s="40" t="s">
        <v>44</v>
      </c>
      <c r="G34" s="25">
        <f>G31+G32+G33</f>
        <v>29083</v>
      </c>
    </row>
    <row r="35" spans="2:7" x14ac:dyDescent="0.2">
      <c r="B35" s="41"/>
      <c r="G35" s="42"/>
    </row>
    <row r="36" spans="2:7" x14ac:dyDescent="0.2">
      <c r="B36" s="8">
        <v>9</v>
      </c>
      <c r="C36" s="45" t="s">
        <v>64</v>
      </c>
      <c r="D36" s="10"/>
      <c r="E36" s="10"/>
      <c r="F36" s="11"/>
      <c r="G36" s="44">
        <f>G21+G34</f>
        <v>-90699.550000000047</v>
      </c>
    </row>
    <row r="37" spans="2:7" x14ac:dyDescent="0.2">
      <c r="B37" s="41"/>
      <c r="G37" s="42"/>
    </row>
    <row r="38" spans="2:7" x14ac:dyDescent="0.2">
      <c r="B38" s="8">
        <v>10</v>
      </c>
      <c r="C38" s="45" t="s">
        <v>46</v>
      </c>
      <c r="D38" s="10"/>
      <c r="E38" s="10"/>
      <c r="F38" s="11"/>
      <c r="G38" s="44">
        <f>G36/6</f>
        <v>-15116.591666666674</v>
      </c>
    </row>
    <row r="40" spans="2:7" x14ac:dyDescent="0.2">
      <c r="B40" s="3"/>
      <c r="C40" s="46" t="s">
        <v>47</v>
      </c>
      <c r="D40" s="47"/>
      <c r="E40" s="47"/>
      <c r="F40" s="47"/>
      <c r="G40" s="48"/>
    </row>
    <row r="41" spans="2:7" x14ac:dyDescent="0.2">
      <c r="B41" s="3"/>
      <c r="C41" s="49"/>
      <c r="D41" s="49"/>
      <c r="E41" s="49"/>
      <c r="F41" s="49"/>
      <c r="G41" s="13"/>
    </row>
    <row r="42" spans="2:7" x14ac:dyDescent="0.2">
      <c r="B42" s="6">
        <v>11</v>
      </c>
      <c r="C42" s="50" t="s">
        <v>48</v>
      </c>
      <c r="D42" s="50"/>
      <c r="E42" s="50"/>
      <c r="F42" s="50"/>
      <c r="G42" s="51">
        <f>G15</f>
        <v>-69224</v>
      </c>
    </row>
    <row r="43" spans="2:7" x14ac:dyDescent="0.2">
      <c r="B43" s="6">
        <v>12</v>
      </c>
      <c r="C43" s="50" t="s">
        <v>49</v>
      </c>
      <c r="D43" s="50"/>
      <c r="E43" s="50"/>
      <c r="F43" s="50"/>
      <c r="G43" s="52">
        <f>G34</f>
        <v>29083</v>
      </c>
    </row>
    <row r="44" spans="2:7" x14ac:dyDescent="0.2">
      <c r="B44" s="6"/>
      <c r="C44" s="50"/>
      <c r="D44" s="50"/>
      <c r="E44" s="50"/>
      <c r="F44" s="50"/>
      <c r="G44" s="51"/>
    </row>
    <row r="45" spans="2:7" ht="15" thickBot="1" x14ac:dyDescent="0.25">
      <c r="B45" s="6">
        <v>13</v>
      </c>
      <c r="C45" s="50" t="s">
        <v>50</v>
      </c>
      <c r="D45" s="50"/>
      <c r="E45" s="50"/>
      <c r="F45" s="50"/>
      <c r="G45" s="53">
        <f>G42+G43</f>
        <v>-40141</v>
      </c>
    </row>
    <row r="46" spans="2:7" ht="15" thickTop="1" x14ac:dyDescent="0.2">
      <c r="B46" s="6"/>
      <c r="C46" s="50"/>
      <c r="D46" s="50"/>
      <c r="E46" s="50"/>
      <c r="F46" s="50"/>
      <c r="G46" s="51"/>
    </row>
    <row r="47" spans="2:7" x14ac:dyDescent="0.2">
      <c r="B47" s="6">
        <v>14</v>
      </c>
      <c r="C47" s="50" t="s">
        <v>51</v>
      </c>
      <c r="D47" s="50"/>
      <c r="E47" s="50"/>
      <c r="F47" s="50"/>
      <c r="G47" s="51">
        <f>G36</f>
        <v>-90699.550000000047</v>
      </c>
    </row>
    <row r="48" spans="2:7" x14ac:dyDescent="0.2">
      <c r="B48" s="6"/>
      <c r="C48" s="50"/>
      <c r="D48" s="50"/>
      <c r="E48" s="50"/>
      <c r="F48" s="50"/>
      <c r="G48" s="51"/>
    </row>
    <row r="49" spans="2:7" x14ac:dyDescent="0.2">
      <c r="B49" s="6">
        <v>15</v>
      </c>
      <c r="C49" s="50" t="s">
        <v>52</v>
      </c>
      <c r="D49" s="50"/>
      <c r="E49" s="50"/>
      <c r="F49" s="50"/>
      <c r="G49" s="52">
        <f>SUM(F16:F21)</f>
        <v>-50558.550000000047</v>
      </c>
    </row>
    <row r="50" spans="2:7" x14ac:dyDescent="0.2">
      <c r="B50" s="6"/>
      <c r="C50" s="50"/>
      <c r="D50" s="50"/>
      <c r="E50" s="50"/>
      <c r="F50" s="50"/>
      <c r="G50" s="51"/>
    </row>
    <row r="51" spans="2:7" ht="15" thickBot="1" x14ac:dyDescent="0.25">
      <c r="B51" s="6">
        <v>16</v>
      </c>
      <c r="C51" s="50" t="s">
        <v>53</v>
      </c>
      <c r="D51" s="50"/>
      <c r="E51" s="50"/>
      <c r="F51" s="50"/>
      <c r="G51" s="53">
        <f>G47-G49</f>
        <v>-40141</v>
      </c>
    </row>
    <row r="52" spans="2:7" ht="15" thickTop="1" x14ac:dyDescent="0.2">
      <c r="B52" s="35"/>
      <c r="C52" s="54"/>
      <c r="D52" s="54"/>
      <c r="E52" s="54"/>
      <c r="F52" s="54"/>
      <c r="G52" s="55"/>
    </row>
    <row r="54" spans="2:7" x14ac:dyDescent="0.2">
      <c r="B54" t="s">
        <v>54</v>
      </c>
    </row>
    <row r="55" spans="2:7" x14ac:dyDescent="0.2">
      <c r="B55" s="41"/>
      <c r="C55" s="3"/>
      <c r="D55" s="4" t="s">
        <v>55</v>
      </c>
      <c r="E55" s="4" t="s">
        <v>55</v>
      </c>
      <c r="F55" s="4" t="s">
        <v>55</v>
      </c>
    </row>
    <row r="56" spans="2:7" x14ac:dyDescent="0.2">
      <c r="B56" s="41"/>
      <c r="C56" s="7" t="s">
        <v>11</v>
      </c>
      <c r="D56" s="7" t="s">
        <v>65</v>
      </c>
      <c r="E56" s="7" t="s">
        <v>56</v>
      </c>
      <c r="F56" s="7" t="s">
        <v>57</v>
      </c>
    </row>
    <row r="57" spans="2:7" x14ac:dyDescent="0.2">
      <c r="C57" s="15">
        <v>43282</v>
      </c>
      <c r="D57" s="16">
        <v>8695</v>
      </c>
      <c r="E57" s="16">
        <v>0</v>
      </c>
      <c r="F57" s="14">
        <v>0</v>
      </c>
    </row>
    <row r="58" spans="2:7" x14ac:dyDescent="0.2">
      <c r="C58" s="19">
        <v>43313</v>
      </c>
      <c r="D58" s="20">
        <v>0</v>
      </c>
      <c r="E58" s="20">
        <v>0</v>
      </c>
      <c r="F58" s="23">
        <v>0</v>
      </c>
    </row>
    <row r="59" spans="2:7" x14ac:dyDescent="0.2">
      <c r="C59" s="19">
        <v>43344</v>
      </c>
      <c r="D59" s="20">
        <v>0</v>
      </c>
      <c r="E59" s="20">
        <v>-12209</v>
      </c>
      <c r="F59" s="23">
        <v>0</v>
      </c>
    </row>
    <row r="60" spans="2:7" x14ac:dyDescent="0.2">
      <c r="C60" s="19">
        <v>43374</v>
      </c>
      <c r="D60" s="20">
        <v>0</v>
      </c>
      <c r="E60" s="20">
        <v>-12209</v>
      </c>
      <c r="F60" s="23">
        <v>0</v>
      </c>
    </row>
    <row r="61" spans="2:7" x14ac:dyDescent="0.2">
      <c r="C61" s="19">
        <v>43405</v>
      </c>
      <c r="D61" s="20">
        <v>0</v>
      </c>
      <c r="E61" s="20">
        <v>-12209</v>
      </c>
      <c r="F61" s="23">
        <v>0</v>
      </c>
    </row>
    <row r="62" spans="2:7" x14ac:dyDescent="0.2">
      <c r="C62" s="28">
        <v>43435</v>
      </c>
      <c r="D62" s="29">
        <v>0</v>
      </c>
      <c r="E62" s="29">
        <v>-12209</v>
      </c>
      <c r="F62" s="25">
        <v>0</v>
      </c>
    </row>
    <row r="63" spans="2:7" x14ac:dyDescent="0.2">
      <c r="C63" s="56" t="s">
        <v>58</v>
      </c>
      <c r="D63" s="44">
        <f>SUM(D57:D62)</f>
        <v>8695</v>
      </c>
      <c r="E63" s="44">
        <f>SUM(E57:E62)</f>
        <v>-48836</v>
      </c>
      <c r="F63" s="44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Big Sandy</vt:lpstr>
      <vt:lpstr>Blue Grass</vt:lpstr>
      <vt:lpstr>Clark</vt:lpstr>
      <vt:lpstr>Cumberland Valley</vt:lpstr>
      <vt:lpstr>Farmers</vt:lpstr>
      <vt:lpstr>Fleming-Mason Rate E</vt:lpstr>
      <vt:lpstr>Fleming-Mason - Steam &amp; Indust.</vt:lpstr>
      <vt:lpstr>Grayson</vt:lpstr>
      <vt:lpstr>Inter-County</vt:lpstr>
      <vt:lpstr>Jackson</vt:lpstr>
      <vt:lpstr>Licking Valley</vt:lpstr>
      <vt:lpstr>Nolin</vt:lpstr>
      <vt:lpstr>Owen - Rate E</vt:lpstr>
      <vt:lpstr>Owen - Industrial</vt:lpstr>
      <vt:lpstr>Salt River</vt:lpstr>
      <vt:lpstr>Shelby</vt:lpstr>
      <vt:lpstr>South Kentucky</vt:lpstr>
      <vt:lpstr>Taylor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dcterms:created xsi:type="dcterms:W3CDTF">2018-10-17T12:00:26Z</dcterms:created>
  <dcterms:modified xsi:type="dcterms:W3CDTF">2019-06-20T15:34:19Z</dcterms:modified>
</cp:coreProperties>
</file>