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3"/>
  </bookViews>
  <sheets>
    <sheet name="Meters" sheetId="2" r:id="rId1"/>
    <sheet name="I-Wt Exp F&amp;V (2)" sheetId="1" r:id="rId2"/>
    <sheet name="I-Wt debt " sheetId="3" r:id="rId3"/>
    <sheet name="I-Wt Dep" sheetId="4" r:id="rId4"/>
    <sheet name="I-Wt Base" sheetId="5" r:id="rId5"/>
    <sheet name="I-Wt Alloc" sheetId="6" r:id="rId6"/>
    <sheet name="I-Wt Dist" sheetId="8" r:id="rId7"/>
    <sheet name="I-Wt Summary" sheetId="7" r:id="rId8"/>
  </sheets>
  <externalReferences>
    <externalReference r:id="rId9"/>
    <externalReference r:id="rId10"/>
  </externalReferences>
  <definedNames>
    <definedName name="_Hlk496810570" localSheetId="4">'I-Wt Base'!#REF!</definedName>
    <definedName name="BSIWhichPageSetup" hidden="1">1</definedName>
    <definedName name="BSIWhichPageSetup_0" hidden="1">"0þ"</definedName>
    <definedName name="_xlnm.Print_Area" localSheetId="4">'I-Wt Base'!$A$1:$F$18</definedName>
    <definedName name="_xlnm.Print_Area" localSheetId="2">'I-Wt debt '!$A$1:$N$27</definedName>
    <definedName name="_xlnm.Print_Area" localSheetId="3">'I-Wt Dep'!$A$1:$G$110</definedName>
    <definedName name="_xlnm.Print_Area" localSheetId="7">'I-Wt Summary'!$A$5:$M$22</definedName>
    <definedName name="_xlnm.Print_Titles" localSheetId="3">'I-Wt Dep'!$1:$3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7" l="1"/>
  <c r="E13" i="7" s="1"/>
  <c r="A16" i="7"/>
  <c r="A15" i="7"/>
  <c r="A13" i="7"/>
  <c r="A12" i="7"/>
  <c r="A11" i="7"/>
  <c r="A10" i="7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B14" i="8"/>
  <c r="H10" i="7"/>
  <c r="E12" i="7"/>
  <c r="E14" i="7"/>
  <c r="E15" i="7"/>
  <c r="E11" i="7"/>
  <c r="C15" i="7"/>
  <c r="C14" i="7"/>
  <c r="C12" i="7"/>
  <c r="C11" i="7"/>
  <c r="B15" i="7"/>
  <c r="B14" i="7"/>
  <c r="B13" i="7"/>
  <c r="B12" i="7"/>
  <c r="B11" i="7"/>
  <c r="B10" i="7"/>
  <c r="J8" i="8"/>
  <c r="D8" i="8"/>
  <c r="B8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J12" i="6"/>
  <c r="J11" i="6"/>
  <c r="F4" i="5"/>
  <c r="D4" i="5"/>
  <c r="B32" i="5"/>
  <c r="B31" i="5"/>
  <c r="B14" i="5"/>
  <c r="B13" i="5"/>
  <c r="B8" i="5"/>
  <c r="C6" i="5"/>
  <c r="C5" i="5"/>
  <c r="E5" i="5"/>
  <c r="F6" i="5"/>
  <c r="D6" i="5"/>
  <c r="F5" i="5"/>
  <c r="D5" i="5"/>
  <c r="B6" i="5"/>
  <c r="B5" i="5"/>
  <c r="B4" i="5"/>
  <c r="L2" i="8" l="1"/>
  <c r="M2" i="8" s="1"/>
  <c r="K12" i="8"/>
  <c r="L12" i="8"/>
  <c r="L6" i="8"/>
  <c r="M6" i="8" s="1"/>
  <c r="J7" i="8"/>
  <c r="J11" i="8" s="1"/>
  <c r="L7" i="8"/>
  <c r="L11" i="8" s="1"/>
  <c r="C8" i="8"/>
  <c r="C12" i="8" s="1"/>
  <c r="D12" i="8"/>
  <c r="N8" i="8"/>
  <c r="L10" i="8"/>
  <c r="M10" i="8"/>
  <c r="P11" i="8"/>
  <c r="B12" i="8"/>
  <c r="F12" i="8"/>
  <c r="I12" i="8"/>
  <c r="M12" i="8"/>
  <c r="A14" i="8"/>
  <c r="K9" i="7"/>
  <c r="M9" i="7" s="1"/>
  <c r="D13" i="7"/>
  <c r="D14" i="7"/>
  <c r="A7" i="6"/>
  <c r="J7" i="6"/>
  <c r="A12" i="6"/>
  <c r="F12" i="6"/>
  <c r="F13" i="6" s="1"/>
  <c r="J3" i="5"/>
  <c r="L3" i="5"/>
  <c r="N3" i="5"/>
  <c r="C4" i="5"/>
  <c r="E4" i="5" s="1"/>
  <c r="I4" i="5"/>
  <c r="J4" i="5" s="1"/>
  <c r="J5" i="5" s="1"/>
  <c r="L4" i="5"/>
  <c r="M4" i="5"/>
  <c r="N4" i="5"/>
  <c r="F7" i="5"/>
  <c r="E6" i="5"/>
  <c r="F8" i="5"/>
  <c r="E8" i="5"/>
  <c r="E9" i="5"/>
  <c r="B11" i="5"/>
  <c r="F11" i="5" s="1"/>
  <c r="E11" i="5"/>
  <c r="E12" i="5"/>
  <c r="F13" i="5"/>
  <c r="E13" i="5"/>
  <c r="F14" i="5"/>
  <c r="E14" i="5"/>
  <c r="D16" i="5"/>
  <c r="E16" i="5"/>
  <c r="F16" i="5"/>
  <c r="A23" i="5"/>
  <c r="D23" i="5"/>
  <c r="E23" i="5"/>
  <c r="F23" i="5"/>
  <c r="A24" i="5"/>
  <c r="B24" i="5"/>
  <c r="B12" i="5" s="1"/>
  <c r="D24" i="5"/>
  <c r="F24" i="5" s="1"/>
  <c r="E24" i="5"/>
  <c r="A25" i="5"/>
  <c r="D25" i="5"/>
  <c r="F25" i="5" s="1"/>
  <c r="E25" i="5"/>
  <c r="B26" i="5"/>
  <c r="E26" i="5"/>
  <c r="E31" i="5"/>
  <c r="F31" i="5"/>
  <c r="E32" i="5"/>
  <c r="B40" i="5"/>
  <c r="E5" i="4"/>
  <c r="G5" i="4"/>
  <c r="E6" i="4"/>
  <c r="G6" i="4"/>
  <c r="E7" i="4"/>
  <c r="G7" i="4"/>
  <c r="E8" i="4"/>
  <c r="G8" i="4"/>
  <c r="G9" i="4"/>
  <c r="G10" i="4"/>
  <c r="G11" i="4"/>
  <c r="G12" i="4"/>
  <c r="G13" i="4"/>
  <c r="G14" i="4"/>
  <c r="G15" i="4"/>
  <c r="E16" i="4"/>
  <c r="E19" i="4"/>
  <c r="G19" i="4"/>
  <c r="E20" i="4"/>
  <c r="G20" i="4"/>
  <c r="E21" i="4"/>
  <c r="G21" i="4"/>
  <c r="E22" i="4"/>
  <c r="G22" i="4"/>
  <c r="E23" i="4"/>
  <c r="G23" i="4"/>
  <c r="E24" i="4"/>
  <c r="G24" i="4"/>
  <c r="E25" i="4"/>
  <c r="G25" i="4"/>
  <c r="E26" i="4"/>
  <c r="G26" i="4"/>
  <c r="G27" i="4"/>
  <c r="E28" i="4"/>
  <c r="G28" i="4"/>
  <c r="G29" i="4"/>
  <c r="E30" i="4"/>
  <c r="G30" i="4"/>
  <c r="E31" i="4"/>
  <c r="G31" i="4"/>
  <c r="E32" i="4"/>
  <c r="E33" i="4"/>
  <c r="G33" i="4"/>
  <c r="E34" i="4"/>
  <c r="E71" i="4" s="1"/>
  <c r="F71" i="4" s="1"/>
  <c r="G34" i="4"/>
  <c r="E35" i="4"/>
  <c r="G35" i="4"/>
  <c r="E36" i="4"/>
  <c r="G36" i="4"/>
  <c r="E37" i="4"/>
  <c r="G37" i="4"/>
  <c r="E38" i="4"/>
  <c r="G38" i="4"/>
  <c r="E39" i="4"/>
  <c r="G39" i="4"/>
  <c r="E40" i="4"/>
  <c r="G40" i="4"/>
  <c r="E41" i="4"/>
  <c r="G41" i="4"/>
  <c r="E42" i="4"/>
  <c r="G42" i="4"/>
  <c r="E43" i="4"/>
  <c r="G43" i="4"/>
  <c r="E44" i="4"/>
  <c r="G44" i="4"/>
  <c r="E45" i="4"/>
  <c r="G45" i="4"/>
  <c r="E46" i="4"/>
  <c r="G46" i="4"/>
  <c r="E47" i="4"/>
  <c r="G47" i="4"/>
  <c r="E48" i="4"/>
  <c r="G48" i="4"/>
  <c r="E49" i="4"/>
  <c r="G49" i="4"/>
  <c r="E50" i="4"/>
  <c r="G50" i="4"/>
  <c r="E51" i="4"/>
  <c r="G51" i="4"/>
  <c r="E52" i="4"/>
  <c r="G52" i="4"/>
  <c r="E53" i="4"/>
  <c r="G53" i="4"/>
  <c r="E54" i="4"/>
  <c r="G54" i="4"/>
  <c r="E55" i="4"/>
  <c r="G55" i="4"/>
  <c r="E56" i="4"/>
  <c r="G56" i="4"/>
  <c r="E57" i="4"/>
  <c r="G57" i="4"/>
  <c r="E58" i="4"/>
  <c r="G58" i="4"/>
  <c r="E59" i="4"/>
  <c r="G59" i="4"/>
  <c r="E60" i="4"/>
  <c r="G60" i="4"/>
  <c r="E61" i="4"/>
  <c r="G61" i="4"/>
  <c r="E62" i="4"/>
  <c r="G62" i="4"/>
  <c r="E63" i="4"/>
  <c r="G63" i="4"/>
  <c r="E64" i="4"/>
  <c r="G64" i="4"/>
  <c r="E65" i="4"/>
  <c r="G65" i="4"/>
  <c r="E66" i="4"/>
  <c r="G66" i="4"/>
  <c r="E67" i="4"/>
  <c r="G67" i="4"/>
  <c r="E68" i="4"/>
  <c r="G68" i="4"/>
  <c r="E69" i="4"/>
  <c r="G69" i="4"/>
  <c r="G70" i="4"/>
  <c r="E73" i="4"/>
  <c r="G73" i="4"/>
  <c r="E74" i="4"/>
  <c r="G74" i="4"/>
  <c r="E75" i="4"/>
  <c r="G75" i="4"/>
  <c r="E76" i="4"/>
  <c r="G76" i="4"/>
  <c r="E77" i="4"/>
  <c r="G77" i="4"/>
  <c r="E78" i="4"/>
  <c r="G78" i="4"/>
  <c r="E79" i="4"/>
  <c r="G79" i="4"/>
  <c r="E80" i="4"/>
  <c r="G80" i="4"/>
  <c r="E81" i="4"/>
  <c r="G81" i="4"/>
  <c r="E82" i="4"/>
  <c r="G82" i="4"/>
  <c r="E83" i="4"/>
  <c r="G83" i="4"/>
  <c r="E84" i="4"/>
  <c r="G84" i="4"/>
  <c r="E85" i="4"/>
  <c r="G85" i="4"/>
  <c r="G86" i="4"/>
  <c r="E87" i="4"/>
  <c r="G87" i="4"/>
  <c r="G88" i="4"/>
  <c r="G89" i="4"/>
  <c r="E90" i="4"/>
  <c r="E91" i="4" s="1"/>
  <c r="E92" i="4"/>
  <c r="E94" i="4"/>
  <c r="E97" i="4" s="1"/>
  <c r="G94" i="4"/>
  <c r="E95" i="4"/>
  <c r="G95" i="4"/>
  <c r="E96" i="4"/>
  <c r="G96" i="4"/>
  <c r="E99" i="4"/>
  <c r="E108" i="4" s="1"/>
  <c r="G99" i="4"/>
  <c r="E100" i="4"/>
  <c r="G100" i="4"/>
  <c r="E101" i="4"/>
  <c r="G101" i="4"/>
  <c r="E102" i="4"/>
  <c r="G102" i="4"/>
  <c r="E103" i="4"/>
  <c r="G103" i="4"/>
  <c r="E104" i="4"/>
  <c r="G104" i="4"/>
  <c r="E105" i="4"/>
  <c r="G105" i="4"/>
  <c r="E106" i="4"/>
  <c r="G106" i="4"/>
  <c r="G107" i="4"/>
  <c r="C4" i="3"/>
  <c r="D4" i="3"/>
  <c r="F4" i="3"/>
  <c r="K4" i="3"/>
  <c r="A5" i="3"/>
  <c r="C5" i="3"/>
  <c r="D5" i="3"/>
  <c r="F5" i="3"/>
  <c r="K5" i="3" s="1"/>
  <c r="H5" i="3"/>
  <c r="I5" i="3"/>
  <c r="A6" i="3"/>
  <c r="F6" i="3" s="1"/>
  <c r="C6" i="3"/>
  <c r="D6" i="3"/>
  <c r="H6" i="3"/>
  <c r="I6" i="3" s="1"/>
  <c r="C7" i="3"/>
  <c r="D7" i="3" s="1"/>
  <c r="G7" i="3"/>
  <c r="I7" i="3" s="1"/>
  <c r="H7" i="3"/>
  <c r="M7" i="3"/>
  <c r="N7" i="3"/>
  <c r="C8" i="3"/>
  <c r="D8" i="3"/>
  <c r="G8" i="3"/>
  <c r="H8" i="3"/>
  <c r="I8" i="3"/>
  <c r="L8" i="3"/>
  <c r="M8" i="3"/>
  <c r="N8" i="3"/>
  <c r="F12" i="3"/>
  <c r="G12" i="3"/>
  <c r="H12" i="3"/>
  <c r="I12" i="3"/>
  <c r="F13" i="3"/>
  <c r="G13" i="3"/>
  <c r="H13" i="3"/>
  <c r="I13" i="3"/>
  <c r="G14" i="3"/>
  <c r="G16" i="3"/>
  <c r="H16" i="3"/>
  <c r="I16" i="3"/>
  <c r="F4" i="1"/>
  <c r="H4" i="1"/>
  <c r="J4" i="1"/>
  <c r="K4" i="1"/>
  <c r="L4" i="1"/>
  <c r="N4" i="1"/>
  <c r="P4" i="1"/>
  <c r="Q4" i="1"/>
  <c r="R4" i="1"/>
  <c r="T4" i="1"/>
  <c r="V4" i="1"/>
  <c r="W4" i="1"/>
  <c r="W30" i="1" s="1"/>
  <c r="X4" i="1"/>
  <c r="F5" i="1"/>
  <c r="H5" i="1"/>
  <c r="L5" i="1" s="1"/>
  <c r="J5" i="1"/>
  <c r="K5" i="1"/>
  <c r="N5" i="1"/>
  <c r="P5" i="1"/>
  <c r="R5" i="1" s="1"/>
  <c r="Q5" i="1"/>
  <c r="T5" i="1"/>
  <c r="V5" i="1"/>
  <c r="X5" i="1" s="1"/>
  <c r="W5" i="1"/>
  <c r="F6" i="1"/>
  <c r="H6" i="1"/>
  <c r="K6" i="1" s="1"/>
  <c r="J6" i="1"/>
  <c r="N6" i="1"/>
  <c r="Q6" i="1" s="1"/>
  <c r="P6" i="1"/>
  <c r="T6" i="1"/>
  <c r="W6" i="1" s="1"/>
  <c r="V6" i="1"/>
  <c r="F7" i="1"/>
  <c r="H7" i="1"/>
  <c r="K7" i="1" s="1"/>
  <c r="J7" i="1"/>
  <c r="L7" i="1"/>
  <c r="N7" i="1"/>
  <c r="Q7" i="1" s="1"/>
  <c r="P7" i="1"/>
  <c r="R7" i="1"/>
  <c r="T7" i="1"/>
  <c r="W7" i="1" s="1"/>
  <c r="V7" i="1"/>
  <c r="X7" i="1"/>
  <c r="F8" i="1"/>
  <c r="H8" i="1"/>
  <c r="J8" i="1"/>
  <c r="K8" i="1"/>
  <c r="L8" i="1"/>
  <c r="N8" i="1"/>
  <c r="P8" i="1"/>
  <c r="Q8" i="1"/>
  <c r="R8" i="1"/>
  <c r="T8" i="1"/>
  <c r="V8" i="1"/>
  <c r="W8" i="1"/>
  <c r="X8" i="1"/>
  <c r="F9" i="1"/>
  <c r="H9" i="1"/>
  <c r="J9" i="1"/>
  <c r="L9" i="1" s="1"/>
  <c r="K9" i="1"/>
  <c r="N9" i="1"/>
  <c r="P9" i="1"/>
  <c r="R9" i="1" s="1"/>
  <c r="Q9" i="1"/>
  <c r="T9" i="1"/>
  <c r="V9" i="1"/>
  <c r="X9" i="1" s="1"/>
  <c r="W9" i="1"/>
  <c r="F10" i="1"/>
  <c r="H10" i="1"/>
  <c r="K10" i="1" s="1"/>
  <c r="J10" i="1"/>
  <c r="N10" i="1"/>
  <c r="Q10" i="1" s="1"/>
  <c r="P10" i="1"/>
  <c r="T10" i="1"/>
  <c r="W10" i="1" s="1"/>
  <c r="V10" i="1"/>
  <c r="F11" i="1"/>
  <c r="H11" i="1"/>
  <c r="K11" i="1" s="1"/>
  <c r="J11" i="1"/>
  <c r="L11" i="1"/>
  <c r="N11" i="1"/>
  <c r="Q11" i="1" s="1"/>
  <c r="P11" i="1"/>
  <c r="R11" i="1"/>
  <c r="T11" i="1"/>
  <c r="W11" i="1" s="1"/>
  <c r="V11" i="1"/>
  <c r="X11" i="1"/>
  <c r="F12" i="1"/>
  <c r="H12" i="1"/>
  <c r="J12" i="1"/>
  <c r="K12" i="1"/>
  <c r="L12" i="1"/>
  <c r="N12" i="1"/>
  <c r="P12" i="1"/>
  <c r="Q12" i="1"/>
  <c r="R12" i="1"/>
  <c r="T12" i="1"/>
  <c r="V12" i="1"/>
  <c r="W12" i="1"/>
  <c r="X12" i="1"/>
  <c r="F13" i="1"/>
  <c r="H13" i="1"/>
  <c r="J13" i="1"/>
  <c r="L13" i="1" s="1"/>
  <c r="K13" i="1"/>
  <c r="N13" i="1"/>
  <c r="P13" i="1"/>
  <c r="R13" i="1" s="1"/>
  <c r="Q13" i="1"/>
  <c r="T13" i="1"/>
  <c r="V13" i="1"/>
  <c r="X13" i="1" s="1"/>
  <c r="W13" i="1"/>
  <c r="F14" i="1"/>
  <c r="H14" i="1"/>
  <c r="K14" i="1" s="1"/>
  <c r="J14" i="1"/>
  <c r="N14" i="1"/>
  <c r="Q14" i="1" s="1"/>
  <c r="P14" i="1"/>
  <c r="T14" i="1"/>
  <c r="W14" i="1" s="1"/>
  <c r="V14" i="1"/>
  <c r="F15" i="1"/>
  <c r="H15" i="1"/>
  <c r="K15" i="1" s="1"/>
  <c r="J15" i="1"/>
  <c r="L15" i="1"/>
  <c r="N15" i="1"/>
  <c r="Q15" i="1" s="1"/>
  <c r="P15" i="1"/>
  <c r="R15" i="1"/>
  <c r="T15" i="1"/>
  <c r="W15" i="1" s="1"/>
  <c r="V15" i="1"/>
  <c r="X15" i="1"/>
  <c r="F16" i="1"/>
  <c r="H16" i="1"/>
  <c r="J16" i="1"/>
  <c r="K16" i="1"/>
  <c r="L16" i="1"/>
  <c r="N16" i="1"/>
  <c r="P16" i="1"/>
  <c r="Q16" i="1"/>
  <c r="R16" i="1"/>
  <c r="T16" i="1"/>
  <c r="V16" i="1"/>
  <c r="W16" i="1"/>
  <c r="X16" i="1"/>
  <c r="F17" i="1"/>
  <c r="H17" i="1"/>
  <c r="J17" i="1"/>
  <c r="L17" i="1" s="1"/>
  <c r="K17" i="1"/>
  <c r="N17" i="1"/>
  <c r="P17" i="1"/>
  <c r="R17" i="1" s="1"/>
  <c r="Q17" i="1"/>
  <c r="T17" i="1"/>
  <c r="V17" i="1"/>
  <c r="X17" i="1" s="1"/>
  <c r="W17" i="1"/>
  <c r="F18" i="1"/>
  <c r="H18" i="1"/>
  <c r="K18" i="1" s="1"/>
  <c r="J18" i="1"/>
  <c r="N18" i="1"/>
  <c r="Q18" i="1" s="1"/>
  <c r="P18" i="1"/>
  <c r="T18" i="1"/>
  <c r="W18" i="1" s="1"/>
  <c r="V18" i="1"/>
  <c r="F19" i="1"/>
  <c r="H19" i="1"/>
  <c r="K19" i="1" s="1"/>
  <c r="J19" i="1"/>
  <c r="L19" i="1"/>
  <c r="N19" i="1"/>
  <c r="Q19" i="1" s="1"/>
  <c r="P19" i="1"/>
  <c r="R19" i="1"/>
  <c r="T19" i="1"/>
  <c r="W19" i="1" s="1"/>
  <c r="V19" i="1"/>
  <c r="X19" i="1"/>
  <c r="F20" i="1"/>
  <c r="H20" i="1"/>
  <c r="J20" i="1"/>
  <c r="K20" i="1"/>
  <c r="L20" i="1"/>
  <c r="N20" i="1"/>
  <c r="P20" i="1"/>
  <c r="Q20" i="1"/>
  <c r="R20" i="1"/>
  <c r="T20" i="1"/>
  <c r="V20" i="1"/>
  <c r="W20" i="1"/>
  <c r="X20" i="1"/>
  <c r="F21" i="1"/>
  <c r="H21" i="1"/>
  <c r="J21" i="1"/>
  <c r="L21" i="1" s="1"/>
  <c r="K21" i="1"/>
  <c r="N21" i="1"/>
  <c r="P21" i="1"/>
  <c r="R21" i="1" s="1"/>
  <c r="Q21" i="1"/>
  <c r="T21" i="1"/>
  <c r="V21" i="1"/>
  <c r="X21" i="1" s="1"/>
  <c r="W21" i="1"/>
  <c r="F22" i="1"/>
  <c r="H22" i="1"/>
  <c r="K22" i="1" s="1"/>
  <c r="J22" i="1"/>
  <c r="N22" i="1"/>
  <c r="Q22" i="1" s="1"/>
  <c r="P22" i="1"/>
  <c r="T22" i="1"/>
  <c r="W22" i="1" s="1"/>
  <c r="V22" i="1"/>
  <c r="F23" i="1"/>
  <c r="H23" i="1"/>
  <c r="K23" i="1" s="1"/>
  <c r="J23" i="1"/>
  <c r="L23" i="1"/>
  <c r="N23" i="1"/>
  <c r="Q23" i="1" s="1"/>
  <c r="P23" i="1"/>
  <c r="R23" i="1"/>
  <c r="T23" i="1"/>
  <c r="W23" i="1" s="1"/>
  <c r="V23" i="1"/>
  <c r="X23" i="1"/>
  <c r="F24" i="1"/>
  <c r="H24" i="1"/>
  <c r="J24" i="1"/>
  <c r="K24" i="1"/>
  <c r="L24" i="1"/>
  <c r="N24" i="1"/>
  <c r="P24" i="1"/>
  <c r="Q24" i="1"/>
  <c r="R24" i="1"/>
  <c r="T24" i="1"/>
  <c r="V24" i="1"/>
  <c r="W24" i="1"/>
  <c r="X24" i="1"/>
  <c r="F25" i="1"/>
  <c r="H25" i="1"/>
  <c r="J25" i="1"/>
  <c r="L25" i="1" s="1"/>
  <c r="K25" i="1"/>
  <c r="N25" i="1"/>
  <c r="P25" i="1"/>
  <c r="R25" i="1" s="1"/>
  <c r="Q25" i="1"/>
  <c r="T25" i="1"/>
  <c r="V25" i="1"/>
  <c r="X25" i="1" s="1"/>
  <c r="W25" i="1"/>
  <c r="F26" i="1"/>
  <c r="H26" i="1"/>
  <c r="K26" i="1" s="1"/>
  <c r="J26" i="1"/>
  <c r="N26" i="1"/>
  <c r="Q26" i="1" s="1"/>
  <c r="P26" i="1"/>
  <c r="T26" i="1"/>
  <c r="W26" i="1" s="1"/>
  <c r="V26" i="1"/>
  <c r="F27" i="1"/>
  <c r="H27" i="1"/>
  <c r="K27" i="1" s="1"/>
  <c r="J27" i="1"/>
  <c r="L27" i="1"/>
  <c r="N27" i="1"/>
  <c r="Q27" i="1" s="1"/>
  <c r="P27" i="1"/>
  <c r="R27" i="1"/>
  <c r="T27" i="1"/>
  <c r="W27" i="1" s="1"/>
  <c r="V27" i="1"/>
  <c r="X27" i="1"/>
  <c r="F28" i="1"/>
  <c r="H28" i="1"/>
  <c r="J28" i="1"/>
  <c r="K28" i="1"/>
  <c r="L28" i="1"/>
  <c r="N28" i="1"/>
  <c r="P28" i="1"/>
  <c r="Q28" i="1"/>
  <c r="R28" i="1"/>
  <c r="T28" i="1"/>
  <c r="V28" i="1"/>
  <c r="W28" i="1"/>
  <c r="X28" i="1"/>
  <c r="F29" i="1"/>
  <c r="H29" i="1"/>
  <c r="J29" i="1"/>
  <c r="L29" i="1" s="1"/>
  <c r="K29" i="1"/>
  <c r="N29" i="1"/>
  <c r="P29" i="1"/>
  <c r="R29" i="1" s="1"/>
  <c r="Q29" i="1"/>
  <c r="T29" i="1"/>
  <c r="V29" i="1"/>
  <c r="X29" i="1" s="1"/>
  <c r="W29" i="1"/>
  <c r="B30" i="1"/>
  <c r="H30" i="1"/>
  <c r="D12" i="7" l="1"/>
  <c r="D11" i="7"/>
  <c r="D12" i="6"/>
  <c r="D13" i="6" s="1"/>
  <c r="B33" i="5"/>
  <c r="B35" i="5" s="1"/>
  <c r="B7" i="5"/>
  <c r="I12" i="6"/>
  <c r="I13" i="6" s="1"/>
  <c r="B17" i="7"/>
  <c r="P4" i="8"/>
  <c r="F32" i="5"/>
  <c r="F33" i="5" s="1"/>
  <c r="E33" i="5"/>
  <c r="D7" i="5"/>
  <c r="N5" i="5"/>
  <c r="H12" i="6"/>
  <c r="H13" i="6" s="1"/>
  <c r="J13" i="6"/>
  <c r="J12" i="8"/>
  <c r="G8" i="8"/>
  <c r="G12" i="8" s="1"/>
  <c r="B9" i="5"/>
  <c r="F9" i="5" s="1"/>
  <c r="E12" i="6"/>
  <c r="E13" i="6" s="1"/>
  <c r="D15" i="7"/>
  <c r="E8" i="8"/>
  <c r="E12" i="8" s="1"/>
  <c r="N12" i="8"/>
  <c r="O8" i="8"/>
  <c r="O12" i="8" s="1"/>
  <c r="H8" i="8"/>
  <c r="H12" i="8" s="1"/>
  <c r="E17" i="7"/>
  <c r="K10" i="7" s="1"/>
  <c r="M10" i="7" s="1"/>
  <c r="C17" i="7"/>
  <c r="J10" i="7" s="1"/>
  <c r="L10" i="7" s="1"/>
  <c r="B11" i="6"/>
  <c r="B13" i="6" s="1"/>
  <c r="G12" i="6"/>
  <c r="G13" i="6" s="1"/>
  <c r="C12" i="6"/>
  <c r="C13" i="6" s="1"/>
  <c r="F12" i="5"/>
  <c r="B15" i="5"/>
  <c r="D12" i="5"/>
  <c r="F26" i="5"/>
  <c r="F15" i="5"/>
  <c r="F17" i="5" s="1"/>
  <c r="D14" i="5"/>
  <c r="D13" i="5"/>
  <c r="D11" i="5"/>
  <c r="D9" i="5"/>
  <c r="D8" i="5"/>
  <c r="E110" i="4"/>
  <c r="F14" i="3"/>
  <c r="K6" i="3"/>
  <c r="A7" i="3"/>
  <c r="H15" i="3"/>
  <c r="H14" i="3"/>
  <c r="I14" i="3" s="1"/>
  <c r="G15" i="3"/>
  <c r="Q30" i="1"/>
  <c r="K30" i="1"/>
  <c r="N30" i="1"/>
  <c r="X26" i="1"/>
  <c r="R26" i="1"/>
  <c r="L26" i="1"/>
  <c r="X22" i="1"/>
  <c r="R22" i="1"/>
  <c r="L22" i="1"/>
  <c r="X18" i="1"/>
  <c r="R18" i="1"/>
  <c r="L18" i="1"/>
  <c r="X14" i="1"/>
  <c r="X30" i="1" s="1"/>
  <c r="R14" i="1"/>
  <c r="L14" i="1"/>
  <c r="X10" i="1"/>
  <c r="R10" i="1"/>
  <c r="L10" i="1"/>
  <c r="X6" i="1"/>
  <c r="R6" i="1"/>
  <c r="R30" i="1" s="1"/>
  <c r="L6" i="1"/>
  <c r="L30" i="1" s="1"/>
  <c r="T30" i="1"/>
  <c r="P14" i="8" l="1"/>
  <c r="E34" i="5"/>
  <c r="C35" i="5" s="1"/>
  <c r="E35" i="5" s="1"/>
  <c r="F34" i="5"/>
  <c r="D35" i="5" s="1"/>
  <c r="F35" i="5" s="1"/>
  <c r="D17" i="5"/>
  <c r="B17" i="5"/>
  <c r="D17" i="7"/>
  <c r="P12" i="8"/>
  <c r="A8" i="3"/>
  <c r="F8" i="3" s="1"/>
  <c r="F7" i="3"/>
  <c r="I15" i="3"/>
  <c r="K7" i="3" l="1"/>
  <c r="F15" i="3"/>
  <c r="K8" i="3"/>
  <c r="F16" i="3"/>
</calcChain>
</file>

<file path=xl/sharedStrings.xml><?xml version="1.0" encoding="utf-8"?>
<sst xmlns="http://schemas.openxmlformats.org/spreadsheetml/2006/main" count="393" uniqueCount="244">
  <si>
    <t>Figure 4</t>
  </si>
  <si>
    <t>Total</t>
  </si>
  <si>
    <t>Unemployment Tax</t>
  </si>
  <si>
    <t>Pension Matching..</t>
  </si>
  <si>
    <t>Employee Benefit Ins</t>
  </si>
  <si>
    <t>Payroll Tax..</t>
  </si>
  <si>
    <t>Salaries &amp; Wages..</t>
  </si>
  <si>
    <t>Workers Comp..</t>
  </si>
  <si>
    <t>City Utilities..</t>
  </si>
  <si>
    <t>Electric..</t>
  </si>
  <si>
    <t>Tele/Public Works</t>
  </si>
  <si>
    <t>Repair &amp; Maint Plant</t>
  </si>
  <si>
    <t>Repairs &amp; Maint</t>
  </si>
  <si>
    <t>Purchase Software..</t>
  </si>
  <si>
    <t>Rent-Easements..</t>
  </si>
  <si>
    <t>UMG...Services</t>
  </si>
  <si>
    <t>UT Monthly Billing</t>
  </si>
  <si>
    <t>Prof Service Other</t>
  </si>
  <si>
    <t>Public Works Water</t>
  </si>
  <si>
    <t>Office Supplies..</t>
  </si>
  <si>
    <t>Ins Other..</t>
  </si>
  <si>
    <t>Ins General Liability</t>
  </si>
  <si>
    <t>Ins Vehicle..</t>
  </si>
  <si>
    <t>Freight/Postage..</t>
  </si>
  <si>
    <t>Dues..</t>
  </si>
  <si>
    <t>Prov. For Bad Debt</t>
  </si>
  <si>
    <t>Bank Charges</t>
  </si>
  <si>
    <t>Gasoline..</t>
  </si>
  <si>
    <t>Variable</t>
  </si>
  <si>
    <t>Fixed</t>
  </si>
  <si>
    <t>Cost</t>
  </si>
  <si>
    <t>Dist.</t>
  </si>
  <si>
    <t>WTP</t>
  </si>
  <si>
    <t>Admin</t>
  </si>
  <si>
    <t>Distribution</t>
  </si>
  <si>
    <t>Water Treatment Plant</t>
  </si>
  <si>
    <t>Administration</t>
  </si>
  <si>
    <t>Inside Water Operating &amp; Maintenance Expense - 2017</t>
  </si>
  <si>
    <t>4 inch</t>
  </si>
  <si>
    <t>Smiley Fork</t>
  </si>
  <si>
    <t>#10</t>
  </si>
  <si>
    <t>4 Inch</t>
  </si>
  <si>
    <t>South Mayo Trail (Indian Hills)</t>
  </si>
  <si>
    <t>#9</t>
  </si>
  <si>
    <t>Island Creek</t>
  </si>
  <si>
    <t>#8</t>
  </si>
  <si>
    <t>2 Inch</t>
  </si>
  <si>
    <t>Coon Branch</t>
  </si>
  <si>
    <t>#7</t>
  </si>
  <si>
    <t>Island Creek Mobile Home Park</t>
  </si>
  <si>
    <t>#6</t>
  </si>
  <si>
    <t>Hoopwood Hollow</t>
  </si>
  <si>
    <t>#5</t>
  </si>
  <si>
    <t>Chloe Road</t>
  </si>
  <si>
    <t>#4</t>
  </si>
  <si>
    <t>Hurricane Creek (Cedar Gap)</t>
  </si>
  <si>
    <t>#3</t>
  </si>
  <si>
    <t>8 Inch</t>
  </si>
  <si>
    <t>Town Mountain</t>
  </si>
  <si>
    <t>#2</t>
  </si>
  <si>
    <t>6 Inch</t>
  </si>
  <si>
    <t>Cowpen</t>
  </si>
  <si>
    <t>#1</t>
  </si>
  <si>
    <t>Meter Size</t>
  </si>
  <si>
    <t>Name</t>
  </si>
  <si>
    <t>ID Number</t>
  </si>
  <si>
    <t>MWD Master Meters</t>
  </si>
  <si>
    <t>Interest</t>
  </si>
  <si>
    <t>Principal</t>
  </si>
  <si>
    <t xml:space="preserve">Total </t>
  </si>
  <si>
    <t>2018 Loan</t>
  </si>
  <si>
    <t>2016 Loan</t>
  </si>
  <si>
    <t>Refinancing 2012C</t>
  </si>
  <si>
    <t>Inside Water Debt Service</t>
  </si>
  <si>
    <t>Blower &amp; Valve</t>
  </si>
  <si>
    <t>Floculator Shafts</t>
  </si>
  <si>
    <t>Turbidimeter</t>
  </si>
  <si>
    <t>Screen Segment</t>
  </si>
  <si>
    <t>Spectrophotometer</t>
  </si>
  <si>
    <t>Goulds Raw Water Pump</t>
  </si>
  <si>
    <t>Raw Water Intake Plant</t>
  </si>
  <si>
    <t>Raw Water Intake Fac</t>
  </si>
  <si>
    <t>Water Plant</t>
  </si>
  <si>
    <t>2016 Chevy Colorado 4x4</t>
  </si>
  <si>
    <t>2015 Chevy Silverdo</t>
  </si>
  <si>
    <t>Kubota Excavator</t>
  </si>
  <si>
    <t>Vehicles</t>
  </si>
  <si>
    <t>ps</t>
  </si>
  <si>
    <t>Tanks</t>
  </si>
  <si>
    <t>Smiley Fork PS</t>
  </si>
  <si>
    <t>Marion's Branch Tank</t>
  </si>
  <si>
    <t>Upgrade Uptown PS</t>
  </si>
  <si>
    <t>Hydromatic Pump &amp; Rail</t>
  </si>
  <si>
    <t>Metal Roof - PW</t>
  </si>
  <si>
    <t>Keyser Heights Tank</t>
  </si>
  <si>
    <t>Cedar Creek Tank</t>
  </si>
  <si>
    <t>Poorfarm PSTAT</t>
  </si>
  <si>
    <t>Foxcroft Tank</t>
  </si>
  <si>
    <t>Road Fork B Tank</t>
  </si>
  <si>
    <t>Road Fork A Tank</t>
  </si>
  <si>
    <t>Raw Water Intake</t>
  </si>
  <si>
    <t>Chloe Gap Tank</t>
  </si>
  <si>
    <t>Bob Billips Tank</t>
  </si>
  <si>
    <t>Toler Gap Tank</t>
  </si>
  <si>
    <t>Harold's Branch Tank</t>
  </si>
  <si>
    <t>Peach Orchard Tanks</t>
  </si>
  <si>
    <t>Pump Stations &amp; Tanks</t>
  </si>
  <si>
    <t>ByPass Road</t>
  </si>
  <si>
    <t>South Mayo - Replacement</t>
  </si>
  <si>
    <t>Airport Road</t>
  </si>
  <si>
    <t>Walters Road</t>
  </si>
  <si>
    <t>South Mayo Trail</t>
  </si>
  <si>
    <t>South Mayo</t>
  </si>
  <si>
    <t>Peach Orchard</t>
  </si>
  <si>
    <t>Wal Mart</t>
  </si>
  <si>
    <t>Tater Hollow</t>
  </si>
  <si>
    <t>Utility Improvements</t>
  </si>
  <si>
    <t>Chaney Water System</t>
  </si>
  <si>
    <t>6/48/1987</t>
  </si>
  <si>
    <t>Relocation Ferguson Creek</t>
  </si>
  <si>
    <t>Road Fork Hydrants</t>
  </si>
  <si>
    <t>Keel Addition</t>
  </si>
  <si>
    <t>Happy Hollow System</t>
  </si>
  <si>
    <t>College Street</t>
  </si>
  <si>
    <t>Phase III</t>
  </si>
  <si>
    <t>Lorraine Street</t>
  </si>
  <si>
    <t>8" Down 1384</t>
  </si>
  <si>
    <t>PNB</t>
  </si>
  <si>
    <t>Peterfork - Walters Road</t>
  </si>
  <si>
    <t>Myers Towers</t>
  </si>
  <si>
    <t>Quail Ridge</t>
  </si>
  <si>
    <t>Island &amp; Cedar Creek</t>
  </si>
  <si>
    <t>Keiser Heights</t>
  </si>
  <si>
    <t>Rasnick Subdivision</t>
  </si>
  <si>
    <t>8" Under Codell</t>
  </si>
  <si>
    <t>Smith Hill</t>
  </si>
  <si>
    <t>Julis Avenue</t>
  </si>
  <si>
    <t>Public Works</t>
  </si>
  <si>
    <t>Pauley Bridge</t>
  </si>
  <si>
    <t>Trailer Park Line</t>
  </si>
  <si>
    <t>Coal Hollow</t>
  </si>
  <si>
    <t>Mays Hollow</t>
  </si>
  <si>
    <t>Bowles Addition</t>
  </si>
  <si>
    <t>Williams Hollow</t>
  </si>
  <si>
    <t>N / S Interchange</t>
  </si>
  <si>
    <t>Chloe Creek Line</t>
  </si>
  <si>
    <t>US 23</t>
  </si>
  <si>
    <t>City / Chloe</t>
  </si>
  <si>
    <t>Hibbard Street</t>
  </si>
  <si>
    <t>Road Fork Line</t>
  </si>
  <si>
    <t>North Bridge Line</t>
  </si>
  <si>
    <t>Riverfill Line</t>
  </si>
  <si>
    <t>Fairview Line</t>
  </si>
  <si>
    <t>Water Lines</t>
  </si>
  <si>
    <t>Master Meter</t>
  </si>
  <si>
    <t>Telemetry &amp; Valve</t>
  </si>
  <si>
    <t>Telemetry</t>
  </si>
  <si>
    <t>2-16" Valve Inserts</t>
  </si>
  <si>
    <t>4" Valve</t>
  </si>
  <si>
    <t>Mixers</t>
  </si>
  <si>
    <t>Mower</t>
  </si>
  <si>
    <t>Schredder</t>
  </si>
  <si>
    <t xml:space="preserve">Turbidimeter Meter </t>
  </si>
  <si>
    <t>Transfer Switch</t>
  </si>
  <si>
    <t>Equipment</t>
  </si>
  <si>
    <t>Value</t>
  </si>
  <si>
    <t>Deprec.</t>
  </si>
  <si>
    <t>Deprec</t>
  </si>
  <si>
    <t>Life</t>
  </si>
  <si>
    <t>Purchase</t>
  </si>
  <si>
    <t>Book</t>
  </si>
  <si>
    <t>Accu</t>
  </si>
  <si>
    <t>Current yr</t>
  </si>
  <si>
    <t>Useful</t>
  </si>
  <si>
    <t>Date of</t>
  </si>
  <si>
    <t>Percent MWD Depreciation &amp; Cost</t>
  </si>
  <si>
    <t>MWD usage</t>
  </si>
  <si>
    <t>Estimated % of Water lines
Used by MWD (Inch - Mile)</t>
  </si>
  <si>
    <t>Debt Service Coverage (20%)</t>
  </si>
  <si>
    <t>Percent of Total</t>
  </si>
  <si>
    <t>Refinancing</t>
  </si>
  <si>
    <t>Debt Service</t>
  </si>
  <si>
    <t>Expense</t>
  </si>
  <si>
    <t>Percent</t>
  </si>
  <si>
    <t>Depreciation</t>
  </si>
  <si>
    <t>Revenue Requirement</t>
  </si>
  <si>
    <t>Other Income</t>
  </si>
  <si>
    <t>Total Depreciation</t>
  </si>
  <si>
    <t>Booster Stations</t>
  </si>
  <si>
    <t>Total Operation &amp; Maintenance</t>
  </si>
  <si>
    <t>Distribution System</t>
  </si>
  <si>
    <t>Total Inside Revenue</t>
  </si>
  <si>
    <t>Total Inside Sold</t>
  </si>
  <si>
    <t>Other Inside City</t>
  </si>
  <si>
    <t>MWD</t>
  </si>
  <si>
    <t>Operation &amp; Maintenance</t>
  </si>
  <si>
    <t>% of Total</t>
  </si>
  <si>
    <t>Revenue</t>
  </si>
  <si>
    <t>Million Gallons</t>
  </si>
  <si>
    <t>Inside Water Revenue - 2017</t>
  </si>
  <si>
    <t>Inside Water Sold - 2017</t>
  </si>
  <si>
    <t>Inside Water Revenue Requirement - 2017</t>
  </si>
  <si>
    <t>Figure 6</t>
  </si>
  <si>
    <t>Testing</t>
  </si>
  <si>
    <t>Detection</t>
  </si>
  <si>
    <t>Meters</t>
  </si>
  <si>
    <t>Calls</t>
  </si>
  <si>
    <t>Maint.</t>
  </si>
  <si>
    <t>Stations</t>
  </si>
  <si>
    <t>Treatment Plant</t>
  </si>
  <si>
    <t>Leak</t>
  </si>
  <si>
    <t xml:space="preserve">Service </t>
  </si>
  <si>
    <t xml:space="preserve">Line </t>
  </si>
  <si>
    <t>Booster</t>
  </si>
  <si>
    <t>Water</t>
  </si>
  <si>
    <t>Cost Allocation - 2017 for Variable Distribution Costs</t>
  </si>
  <si>
    <t>Service</t>
  </si>
  <si>
    <t>Percentages of Cost Allocation - 2017 for Variable Distribution Costs</t>
  </si>
  <si>
    <t>Operation and Maintenance</t>
  </si>
  <si>
    <t>Total Revenue Requirement</t>
  </si>
  <si>
    <t>Debt</t>
  </si>
  <si>
    <t>Deficient</t>
  </si>
  <si>
    <t>Required</t>
  </si>
  <si>
    <t>Per 1,000 Gal.</t>
  </si>
  <si>
    <t>Paid</t>
  </si>
  <si>
    <t>Account</t>
  </si>
  <si>
    <t>Increase Needed</t>
  </si>
  <si>
    <t>Required Rate</t>
  </si>
  <si>
    <t>Current Rate</t>
  </si>
  <si>
    <t>MWD Cost per 
1,000 Gallons</t>
  </si>
  <si>
    <t>MWD Percent</t>
  </si>
  <si>
    <t>Rate Determination for Variable Costs</t>
  </si>
  <si>
    <t>MWD Cost Summary</t>
  </si>
  <si>
    <t>Unit Cost Per 1,000 Gallons</t>
  </si>
  <si>
    <t>DSC</t>
  </si>
  <si>
    <t>Lines</t>
  </si>
  <si>
    <t>Main.</t>
  </si>
  <si>
    <t>Treatment</t>
  </si>
  <si>
    <t xml:space="preserve">Water </t>
  </si>
  <si>
    <t>Cost Distribution for Variable Costs</t>
  </si>
  <si>
    <t>Percent Distribution for Variable Costs</t>
  </si>
  <si>
    <t>Annual Cost</t>
  </si>
  <si>
    <t>Pump Sta</t>
  </si>
  <si>
    <t>Cost Distribution 2017 for Variable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</si>
</sst>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\(0\)"/>
    <numFmt numFmtId="167" formatCode="&quot;$&quot;#,##0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</font>
    <font>
      <b/>
      <u/>
      <sz val="12"/>
      <name val="Arial Narrow"/>
      <family val="2"/>
    </font>
    <font>
      <b/>
      <u/>
      <sz val="12"/>
      <color theme="1"/>
      <name val="Arial Narrow"/>
      <family val="2"/>
    </font>
    <font>
      <b/>
      <sz val="14"/>
      <color theme="0"/>
      <name val="Arial 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b/>
      <u/>
      <sz val="14"/>
      <name val="Arial Narrow"/>
      <family val="2"/>
    </font>
    <font>
      <b/>
      <sz val="14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b/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4">
    <xf numFmtId="0" fontId="0" fillId="0" borderId="0" xfId="0"/>
    <xf numFmtId="0" fontId="3" fillId="0" borderId="0" xfId="1" applyFont="1"/>
    <xf numFmtId="164" fontId="4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/>
    <xf numFmtId="42" fontId="3" fillId="0" borderId="0" xfId="1" applyNumberFormat="1" applyFont="1"/>
    <xf numFmtId="9" fontId="4" fillId="0" borderId="0" xfId="3" applyFont="1" applyAlignment="1">
      <alignment horizontal="center"/>
    </xf>
    <xf numFmtId="164" fontId="3" fillId="0" borderId="0" xfId="1" applyNumberFormat="1" applyFont="1"/>
    <xf numFmtId="37" fontId="3" fillId="0" borderId="1" xfId="1" applyNumberFormat="1" applyFont="1" applyBorder="1"/>
    <xf numFmtId="37" fontId="3" fillId="0" borderId="2" xfId="1" applyNumberFormat="1" applyFont="1" applyBorder="1"/>
    <xf numFmtId="0" fontId="3" fillId="0" borderId="2" xfId="1" applyFont="1" applyBorder="1"/>
    <xf numFmtId="42" fontId="3" fillId="0" borderId="2" xfId="1" applyNumberFormat="1" applyFont="1" applyBorder="1"/>
    <xf numFmtId="37" fontId="3" fillId="0" borderId="3" xfId="1" applyNumberFormat="1" applyFont="1" applyBorder="1"/>
    <xf numFmtId="164" fontId="4" fillId="0" borderId="1" xfId="2" applyNumberFormat="1" applyFont="1" applyBorder="1" applyAlignment="1">
      <alignment horizontal="center"/>
    </xf>
    <xf numFmtId="37" fontId="4" fillId="0" borderId="1" xfId="2" applyNumberFormat="1" applyFont="1" applyBorder="1" applyAlignment="1">
      <alignment horizontal="center"/>
    </xf>
    <xf numFmtId="37" fontId="4" fillId="0" borderId="2" xfId="2" applyNumberFormat="1" applyFont="1" applyBorder="1" applyAlignment="1">
      <alignment horizontal="center"/>
    </xf>
    <xf numFmtId="9" fontId="4" fillId="0" borderId="2" xfId="3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37" fontId="3" fillId="0" borderId="2" xfId="4" applyNumberFormat="1" applyFont="1" applyBorder="1"/>
    <xf numFmtId="0" fontId="3" fillId="0" borderId="4" xfId="1" applyFont="1" applyBorder="1"/>
    <xf numFmtId="37" fontId="4" fillId="0" borderId="5" xfId="2" applyNumberFormat="1" applyFont="1" applyBorder="1" applyAlignment="1">
      <alignment horizontal="center"/>
    </xf>
    <xf numFmtId="37" fontId="4" fillId="0" borderId="6" xfId="2" applyNumberFormat="1" applyFont="1" applyBorder="1" applyAlignment="1">
      <alignment horizontal="center"/>
    </xf>
    <xf numFmtId="37" fontId="3" fillId="0" borderId="7" xfId="1" applyNumberFormat="1" applyFont="1" applyBorder="1"/>
    <xf numFmtId="164" fontId="4" fillId="0" borderId="8" xfId="2" applyNumberFormat="1" applyFont="1" applyBorder="1" applyAlignment="1">
      <alignment horizontal="center"/>
    </xf>
    <xf numFmtId="9" fontId="4" fillId="0" borderId="8" xfId="3" applyFont="1" applyBorder="1" applyAlignment="1">
      <alignment horizontal="center"/>
    </xf>
    <xf numFmtId="37" fontId="3" fillId="0" borderId="0" xfId="4" applyNumberFormat="1" applyFont="1"/>
    <xf numFmtId="0" fontId="3" fillId="0" borderId="9" xfId="1" applyFont="1" applyBorder="1"/>
    <xf numFmtId="37" fontId="4" fillId="0" borderId="8" xfId="2" applyNumberFormat="1" applyFont="1" applyBorder="1" applyAlignment="1">
      <alignment horizontal="center"/>
    </xf>
    <xf numFmtId="37" fontId="4" fillId="0" borderId="0" xfId="2" applyNumberFormat="1" applyFont="1" applyAlignment="1">
      <alignment horizontal="center"/>
    </xf>
    <xf numFmtId="37" fontId="3" fillId="0" borderId="10" xfId="1" applyNumberFormat="1" applyFont="1" applyBorder="1"/>
    <xf numFmtId="164" fontId="6" fillId="0" borderId="8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10" xfId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5" fillId="0" borderId="8" xfId="1" applyFont="1" applyBorder="1"/>
    <xf numFmtId="0" fontId="3" fillId="0" borderId="8" xfId="1" applyFont="1" applyBorder="1" applyAlignment="1">
      <alignment horizontal="center"/>
    </xf>
    <xf numFmtId="0" fontId="2" fillId="0" borderId="0" xfId="5" applyFont="1"/>
    <xf numFmtId="9" fontId="2" fillId="0" borderId="0" xfId="6" applyFont="1" applyAlignment="1">
      <alignment horizontal="center"/>
    </xf>
    <xf numFmtId="37" fontId="2" fillId="0" borderId="0" xfId="5" applyNumberFormat="1" applyFont="1" applyAlignment="1">
      <alignment horizontal="center"/>
    </xf>
    <xf numFmtId="0" fontId="2" fillId="0" borderId="15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17" xfId="5" applyFont="1" applyBorder="1" applyAlignment="1">
      <alignment horizontal="center" vertical="center" wrapText="1"/>
    </xf>
    <xf numFmtId="0" fontId="2" fillId="0" borderId="18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center" vertical="center" wrapText="1"/>
    </xf>
    <xf numFmtId="0" fontId="2" fillId="0" borderId="22" xfId="5" applyFont="1" applyBorder="1" applyAlignment="1">
      <alignment horizontal="center" vertical="center" wrapText="1"/>
    </xf>
    <xf numFmtId="0" fontId="2" fillId="0" borderId="23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9" fillId="0" borderId="0" xfId="7" applyFont="1"/>
    <xf numFmtId="165" fontId="11" fillId="4" borderId="27" xfId="8" applyNumberFormat="1" applyFont="1" applyFill="1" applyBorder="1" applyAlignment="1">
      <alignment horizontal="center"/>
    </xf>
    <xf numFmtId="37" fontId="11" fillId="4" borderId="28" xfId="7" applyNumberFormat="1" applyFont="1" applyFill="1" applyBorder="1" applyAlignment="1">
      <alignment horizontal="center"/>
    </xf>
    <xf numFmtId="0" fontId="11" fillId="4" borderId="29" xfId="7" applyFont="1" applyFill="1" applyBorder="1" applyAlignment="1">
      <alignment horizontal="center"/>
    </xf>
    <xf numFmtId="165" fontId="11" fillId="4" borderId="22" xfId="8" applyNumberFormat="1" applyFont="1" applyFill="1" applyBorder="1" applyAlignment="1">
      <alignment horizontal="center"/>
    </xf>
    <xf numFmtId="37" fontId="11" fillId="4" borderId="23" xfId="7" applyNumberFormat="1" applyFont="1" applyFill="1" applyBorder="1" applyAlignment="1">
      <alignment horizontal="center"/>
    </xf>
    <xf numFmtId="0" fontId="11" fillId="4" borderId="30" xfId="7" applyFont="1" applyFill="1" applyBorder="1" applyAlignment="1">
      <alignment horizontal="center"/>
    </xf>
    <xf numFmtId="165" fontId="12" fillId="4" borderId="22" xfId="8" applyNumberFormat="1" applyFont="1" applyFill="1" applyBorder="1" applyAlignment="1">
      <alignment horizontal="center"/>
    </xf>
    <xf numFmtId="37" fontId="12" fillId="4" borderId="23" xfId="7" applyNumberFormat="1" applyFont="1" applyFill="1" applyBorder="1" applyAlignment="1">
      <alignment horizontal="center"/>
    </xf>
    <xf numFmtId="0" fontId="12" fillId="4" borderId="30" xfId="7" applyFont="1" applyFill="1" applyBorder="1" applyAlignment="1">
      <alignment horizontal="center"/>
    </xf>
    <xf numFmtId="0" fontId="11" fillId="4" borderId="22" xfId="7" applyFont="1" applyFill="1" applyBorder="1" applyAlignment="1">
      <alignment horizontal="center"/>
    </xf>
    <xf numFmtId="0" fontId="11" fillId="4" borderId="23" xfId="7" applyFont="1" applyFill="1" applyBorder="1" applyAlignment="1">
      <alignment horizontal="center"/>
    </xf>
    <xf numFmtId="0" fontId="11" fillId="4" borderId="30" xfId="7" applyFont="1" applyFill="1" applyBorder="1"/>
    <xf numFmtId="0" fontId="11" fillId="0" borderId="0" xfId="7" applyFont="1"/>
    <xf numFmtId="37" fontId="11" fillId="4" borderId="27" xfId="7" applyNumberFormat="1" applyFont="1" applyFill="1" applyBorder="1" applyAlignment="1">
      <alignment horizontal="center"/>
    </xf>
    <xf numFmtId="37" fontId="11" fillId="4" borderId="0" xfId="7" applyNumberFormat="1" applyFont="1" applyFill="1"/>
    <xf numFmtId="0" fontId="11" fillId="4" borderId="0" xfId="7" applyFont="1" applyFill="1" applyAlignment="1">
      <alignment horizontal="center"/>
    </xf>
    <xf numFmtId="37" fontId="11" fillId="4" borderId="27" xfId="8" applyNumberFormat="1" applyFont="1" applyFill="1" applyBorder="1" applyAlignment="1">
      <alignment horizontal="center"/>
    </xf>
    <xf numFmtId="37" fontId="11" fillId="4" borderId="22" xfId="7" applyNumberFormat="1" applyFont="1" applyFill="1" applyBorder="1" applyAlignment="1">
      <alignment horizontal="center"/>
    </xf>
    <xf numFmtId="0" fontId="11" fillId="4" borderId="0" xfId="7" applyFont="1" applyFill="1"/>
    <xf numFmtId="37" fontId="11" fillId="4" borderId="22" xfId="8" applyNumberFormat="1" applyFont="1" applyFill="1" applyBorder="1" applyAlignment="1">
      <alignment horizontal="center"/>
    </xf>
    <xf numFmtId="37" fontId="11" fillId="4" borderId="19" xfId="7" applyNumberFormat="1" applyFont="1" applyFill="1" applyBorder="1" applyAlignment="1">
      <alignment horizontal="center"/>
    </xf>
    <xf numFmtId="0" fontId="13" fillId="0" borderId="0" xfId="7" applyFont="1"/>
    <xf numFmtId="37" fontId="12" fillId="4" borderId="22" xfId="7" applyNumberFormat="1" applyFont="1" applyFill="1" applyBorder="1" applyAlignment="1">
      <alignment horizontal="center"/>
    </xf>
    <xf numFmtId="0" fontId="12" fillId="4" borderId="0" xfId="7" applyFont="1" applyFill="1"/>
    <xf numFmtId="0" fontId="12" fillId="4" borderId="0" xfId="7" applyFont="1" applyFill="1" applyAlignment="1">
      <alignment horizontal="center"/>
    </xf>
    <xf numFmtId="37" fontId="12" fillId="4" borderId="22" xfId="8" applyNumberFormat="1" applyFont="1" applyFill="1" applyBorder="1" applyAlignment="1">
      <alignment horizontal="center"/>
    </xf>
    <xf numFmtId="165" fontId="11" fillId="4" borderId="23" xfId="8" applyNumberFormat="1" applyFont="1" applyFill="1" applyBorder="1" applyAlignment="1">
      <alignment horizontal="center"/>
    </xf>
    <xf numFmtId="37" fontId="11" fillId="4" borderId="23" xfId="8" applyNumberFormat="1" applyFont="1" applyFill="1" applyBorder="1" applyAlignment="1">
      <alignment horizontal="center"/>
    </xf>
    <xf numFmtId="0" fontId="11" fillId="0" borderId="0" xfId="7" applyFont="1" applyAlignment="1">
      <alignment horizontal="center"/>
    </xf>
    <xf numFmtId="0" fontId="14" fillId="0" borderId="0" xfId="9" applyFont="1"/>
    <xf numFmtId="0" fontId="14" fillId="4" borderId="0" xfId="9" applyFont="1" applyFill="1"/>
    <xf numFmtId="1" fontId="14" fillId="4" borderId="0" xfId="9" applyNumberFormat="1" applyFont="1" applyFill="1"/>
    <xf numFmtId="37" fontId="14" fillId="4" borderId="0" xfId="9" applyNumberFormat="1" applyFont="1" applyFill="1"/>
    <xf numFmtId="43" fontId="14" fillId="0" borderId="0" xfId="10" applyFont="1"/>
    <xf numFmtId="43" fontId="14" fillId="4" borderId="0" xfId="10" applyFont="1" applyFill="1"/>
    <xf numFmtId="37" fontId="14" fillId="0" borderId="1" xfId="10" applyNumberFormat="1" applyFont="1" applyBorder="1"/>
    <xf numFmtId="37" fontId="14" fillId="0" borderId="2" xfId="10" applyNumberFormat="1" applyFont="1" applyBorder="1"/>
    <xf numFmtId="37" fontId="14" fillId="4" borderId="3" xfId="10" applyNumberFormat="1" applyFont="1" applyFill="1" applyBorder="1"/>
    <xf numFmtId="0" fontId="14" fillId="0" borderId="0" xfId="10" applyNumberFormat="1" applyFont="1" applyAlignment="1">
      <alignment horizontal="center"/>
    </xf>
    <xf numFmtId="165" fontId="14" fillId="0" borderId="0" xfId="10" applyNumberFormat="1" applyFont="1"/>
    <xf numFmtId="14" fontId="14" fillId="0" borderId="0" xfId="9" applyNumberFormat="1" applyFont="1" applyAlignment="1">
      <alignment horizontal="center"/>
    </xf>
    <xf numFmtId="37" fontId="14" fillId="0" borderId="8" xfId="10" applyNumberFormat="1" applyFont="1" applyBorder="1"/>
    <xf numFmtId="37" fontId="14" fillId="0" borderId="0" xfId="10" applyNumberFormat="1" applyFont="1"/>
    <xf numFmtId="37" fontId="14" fillId="4" borderId="10" xfId="10" applyNumberFormat="1" applyFont="1" applyFill="1" applyBorder="1"/>
    <xf numFmtId="3" fontId="14" fillId="0" borderId="0" xfId="10" applyNumberFormat="1" applyFont="1" applyAlignment="1">
      <alignment horizontal="center"/>
    </xf>
    <xf numFmtId="37" fontId="14" fillId="0" borderId="5" xfId="10" applyNumberFormat="1" applyFont="1" applyBorder="1"/>
    <xf numFmtId="37" fontId="14" fillId="0" borderId="6" xfId="10" applyNumberFormat="1" applyFont="1" applyBorder="1"/>
    <xf numFmtId="37" fontId="14" fillId="4" borderId="7" xfId="10" applyNumberFormat="1" applyFont="1" applyFill="1" applyBorder="1"/>
    <xf numFmtId="3" fontId="14" fillId="0" borderId="6" xfId="10" applyNumberFormat="1" applyFont="1" applyBorder="1" applyAlignment="1">
      <alignment horizontal="center"/>
    </xf>
    <xf numFmtId="165" fontId="14" fillId="0" borderId="6" xfId="10" applyNumberFormat="1" applyFont="1" applyBorder="1"/>
    <xf numFmtId="14" fontId="14" fillId="0" borderId="6" xfId="9" applyNumberFormat="1" applyFont="1" applyBorder="1" applyAlignment="1">
      <alignment horizontal="center"/>
    </xf>
    <xf numFmtId="0" fontId="14" fillId="0" borderId="6" xfId="9" applyFont="1" applyBorder="1"/>
    <xf numFmtId="0" fontId="15" fillId="0" borderId="8" xfId="9" applyFont="1" applyBorder="1"/>
    <xf numFmtId="0" fontId="15" fillId="0" borderId="0" xfId="9" applyFont="1"/>
    <xf numFmtId="0" fontId="14" fillId="0" borderId="8" xfId="9" applyFont="1" applyBorder="1" applyAlignment="1">
      <alignment horizontal="center"/>
    </xf>
    <xf numFmtId="0" fontId="14" fillId="0" borderId="0" xfId="9" applyFont="1" applyAlignment="1">
      <alignment horizontal="center"/>
    </xf>
    <xf numFmtId="0" fontId="14" fillId="4" borderId="10" xfId="9" applyFont="1" applyFill="1" applyBorder="1" applyAlignment="1">
      <alignment horizontal="center"/>
    </xf>
    <xf numFmtId="0" fontId="15" fillId="0" borderId="35" xfId="9" applyFont="1" applyBorder="1"/>
    <xf numFmtId="0" fontId="15" fillId="0" borderId="36" xfId="9" applyFont="1" applyBorder="1"/>
    <xf numFmtId="0" fontId="14" fillId="0" borderId="37" xfId="9" applyFont="1" applyBorder="1" applyAlignment="1">
      <alignment horizontal="center"/>
    </xf>
    <xf numFmtId="0" fontId="14" fillId="0" borderId="38" xfId="9" applyFont="1" applyBorder="1" applyAlignment="1">
      <alignment horizontal="center"/>
    </xf>
    <xf numFmtId="0" fontId="14" fillId="4" borderId="39" xfId="9" applyFont="1" applyFill="1" applyBorder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9" fontId="2" fillId="0" borderId="19" xfId="11" applyFont="1" applyBorder="1" applyAlignment="1">
      <alignment horizontal="center"/>
    </xf>
    <xf numFmtId="0" fontId="8" fillId="0" borderId="19" xfId="1" applyFont="1" applyBorder="1"/>
    <xf numFmtId="9" fontId="2" fillId="0" borderId="19" xfId="11" applyFont="1" applyBorder="1" applyAlignment="1">
      <alignment horizontal="center" vertical="center"/>
    </xf>
    <xf numFmtId="0" fontId="8" fillId="0" borderId="19" xfId="1" applyFont="1" applyBorder="1" applyAlignment="1">
      <alignment wrapText="1"/>
    </xf>
    <xf numFmtId="5" fontId="11" fillId="0" borderId="0" xfId="12" applyNumberFormat="1" applyFont="1" applyAlignment="1">
      <alignment horizontal="center"/>
    </xf>
    <xf numFmtId="9" fontId="11" fillId="0" borderId="0" xfId="12" applyNumberFormat="1" applyFont="1" applyAlignment="1">
      <alignment horizontal="center"/>
    </xf>
    <xf numFmtId="0" fontId="10" fillId="0" borderId="0" xfId="12" applyFont="1"/>
    <xf numFmtId="9" fontId="2" fillId="0" borderId="0" xfId="1" applyNumberFormat="1" applyAlignment="1">
      <alignment horizontal="center"/>
    </xf>
    <xf numFmtId="5" fontId="11" fillId="0" borderId="1" xfId="12" applyNumberFormat="1" applyFont="1" applyBorder="1" applyAlignment="1">
      <alignment horizontal="center"/>
    </xf>
    <xf numFmtId="5" fontId="11" fillId="0" borderId="2" xfId="12" applyNumberFormat="1" applyFont="1" applyBorder="1" applyAlignment="1">
      <alignment horizontal="center"/>
    </xf>
    <xf numFmtId="9" fontId="11" fillId="0" borderId="2" xfId="12" applyNumberFormat="1" applyFont="1" applyBorder="1" applyAlignment="1">
      <alignment horizontal="center"/>
    </xf>
    <xf numFmtId="0" fontId="10" fillId="0" borderId="3" xfId="12" applyFont="1" applyBorder="1"/>
    <xf numFmtId="9" fontId="2" fillId="4" borderId="0" xfId="1" applyNumberFormat="1" applyFill="1" applyAlignment="1">
      <alignment horizontal="center"/>
    </xf>
    <xf numFmtId="9" fontId="10" fillId="0" borderId="8" xfId="11" applyFont="1" applyBorder="1" applyAlignment="1">
      <alignment horizontal="center"/>
    </xf>
    <xf numFmtId="9" fontId="10" fillId="0" borderId="0" xfId="11" applyFont="1" applyAlignment="1">
      <alignment horizontal="center"/>
    </xf>
    <xf numFmtId="0" fontId="11" fillId="0" borderId="0" xfId="12" applyFont="1" applyAlignment="1">
      <alignment horizontal="center"/>
    </xf>
    <xf numFmtId="0" fontId="10" fillId="0" borderId="10" xfId="12" applyFont="1" applyBorder="1"/>
    <xf numFmtId="5" fontId="11" fillId="0" borderId="8" xfId="12" applyNumberFormat="1" applyFont="1" applyBorder="1" applyAlignment="1">
      <alignment horizontal="center"/>
    </xf>
    <xf numFmtId="0" fontId="2" fillId="4" borderId="0" xfId="1" applyFill="1" applyAlignment="1">
      <alignment horizontal="center"/>
    </xf>
    <xf numFmtId="5" fontId="11" fillId="0" borderId="5" xfId="12" applyNumberFormat="1" applyFont="1" applyBorder="1" applyAlignment="1">
      <alignment horizontal="center"/>
    </xf>
    <xf numFmtId="5" fontId="11" fillId="0" borderId="6" xfId="12" applyNumberFormat="1" applyFont="1" applyBorder="1" applyAlignment="1">
      <alignment horizontal="center"/>
    </xf>
    <xf numFmtId="9" fontId="11" fillId="0" borderId="0" xfId="11" applyFont="1" applyAlignment="1">
      <alignment horizontal="center"/>
    </xf>
    <xf numFmtId="0" fontId="10" fillId="0" borderId="7" xfId="12" applyFont="1" applyBorder="1"/>
    <xf numFmtId="5" fontId="11" fillId="0" borderId="40" xfId="12" applyNumberFormat="1" applyFont="1" applyBorder="1" applyAlignment="1">
      <alignment horizontal="center"/>
    </xf>
    <xf numFmtId="5" fontId="11" fillId="0" borderId="11" xfId="12" applyNumberFormat="1" applyFont="1" applyBorder="1" applyAlignment="1">
      <alignment horizontal="center"/>
    </xf>
    <xf numFmtId="9" fontId="11" fillId="0" borderId="11" xfId="11" applyFont="1" applyBorder="1" applyAlignment="1">
      <alignment horizontal="center"/>
    </xf>
    <xf numFmtId="0" fontId="10" fillId="0" borderId="34" xfId="12" applyFont="1" applyBorder="1"/>
    <xf numFmtId="9" fontId="2" fillId="4" borderId="0" xfId="11" applyFont="1" applyFill="1" applyAlignment="1">
      <alignment horizontal="center"/>
    </xf>
    <xf numFmtId="0" fontId="17" fillId="0" borderId="1" xfId="12" applyFont="1" applyBorder="1" applyAlignment="1">
      <alignment horizontal="center"/>
    </xf>
    <xf numFmtId="0" fontId="17" fillId="0" borderId="2" xfId="12" applyFont="1" applyBorder="1" applyAlignment="1">
      <alignment horizontal="center"/>
    </xf>
    <xf numFmtId="0" fontId="11" fillId="0" borderId="3" xfId="12" applyFont="1" applyBorder="1"/>
    <xf numFmtId="0" fontId="18" fillId="4" borderId="0" xfId="1" applyFont="1" applyFill="1" applyAlignment="1">
      <alignment horizontal="center"/>
    </xf>
    <xf numFmtId="9" fontId="10" fillId="0" borderId="0" xfId="11" applyFont="1"/>
    <xf numFmtId="0" fontId="11" fillId="0" borderId="0" xfId="12" applyFont="1"/>
    <xf numFmtId="0" fontId="19" fillId="4" borderId="0" xfId="12" applyFont="1" applyFill="1" applyAlignment="1">
      <alignment horizontal="center"/>
    </xf>
    <xf numFmtId="0" fontId="11" fillId="0" borderId="2" xfId="12" applyFont="1" applyBorder="1"/>
    <xf numFmtId="9" fontId="11" fillId="0" borderId="6" xfId="11" applyFont="1" applyBorder="1" applyAlignment="1">
      <alignment horizontal="center"/>
    </xf>
    <xf numFmtId="0" fontId="20" fillId="4" borderId="0" xfId="1" applyFont="1" applyFill="1"/>
    <xf numFmtId="0" fontId="21" fillId="0" borderId="0" xfId="1" applyFont="1"/>
    <xf numFmtId="9" fontId="11" fillId="4" borderId="0" xfId="11" applyFont="1" applyFill="1" applyAlignment="1">
      <alignment horizontal="center"/>
    </xf>
    <xf numFmtId="0" fontId="10" fillId="0" borderId="11" xfId="12" applyFont="1" applyBorder="1" applyAlignment="1">
      <alignment horizontal="center"/>
    </xf>
    <xf numFmtId="0" fontId="11" fillId="0" borderId="34" xfId="12" applyFont="1" applyBorder="1"/>
    <xf numFmtId="165" fontId="2" fillId="0" borderId="0" xfId="8" applyNumberFormat="1" applyFont="1"/>
    <xf numFmtId="5" fontId="10" fillId="0" borderId="1" xfId="9" applyNumberFormat="1" applyFont="1" applyBorder="1" applyAlignment="1">
      <alignment horizontal="center"/>
    </xf>
    <xf numFmtId="9" fontId="10" fillId="0" borderId="41" xfId="3" applyFont="1" applyBorder="1" applyAlignment="1">
      <alignment horizontal="center"/>
    </xf>
    <xf numFmtId="5" fontId="10" fillId="0" borderId="42" xfId="9" applyNumberFormat="1" applyFont="1" applyBorder="1" applyAlignment="1">
      <alignment horizontal="center"/>
    </xf>
    <xf numFmtId="9" fontId="11" fillId="0" borderId="16" xfId="3" applyFont="1" applyBorder="1" applyAlignment="1">
      <alignment horizontal="center"/>
    </xf>
    <xf numFmtId="5" fontId="10" fillId="4" borderId="2" xfId="2" applyNumberFormat="1" applyFont="1" applyFill="1" applyBorder="1" applyAlignment="1">
      <alignment horizontal="center"/>
    </xf>
    <xf numFmtId="0" fontId="10" fillId="0" borderId="29" xfId="9" applyFont="1" applyBorder="1"/>
    <xf numFmtId="5" fontId="11" fillId="0" borderId="43" xfId="13" applyNumberFormat="1" applyFont="1" applyBorder="1" applyAlignment="1">
      <alignment horizontal="center"/>
    </xf>
    <xf numFmtId="9" fontId="11" fillId="0" borderId="44" xfId="3" applyFont="1" applyBorder="1" applyAlignment="1">
      <alignment horizontal="center"/>
    </xf>
    <xf numFmtId="5" fontId="11" fillId="0" borderId="45" xfId="13" applyNumberFormat="1" applyFont="1" applyBorder="1" applyAlignment="1">
      <alignment horizontal="center"/>
    </xf>
    <xf numFmtId="5" fontId="11" fillId="4" borderId="6" xfId="2" applyNumberFormat="1" applyFont="1" applyFill="1" applyBorder="1" applyAlignment="1">
      <alignment horizontal="center"/>
    </xf>
    <xf numFmtId="0" fontId="10" fillId="4" borderId="46" xfId="14" applyFont="1" applyFill="1" applyBorder="1" applyAlignment="1">
      <alignment horizontal="left"/>
    </xf>
    <xf numFmtId="5" fontId="11" fillId="0" borderId="8" xfId="13" applyNumberFormat="1" applyFont="1" applyBorder="1" applyAlignment="1">
      <alignment horizontal="center"/>
    </xf>
    <xf numFmtId="9" fontId="11" fillId="0" borderId="47" xfId="3" applyFont="1" applyBorder="1" applyAlignment="1">
      <alignment horizontal="center"/>
    </xf>
    <xf numFmtId="5" fontId="11" fillId="0" borderId="47" xfId="13" applyNumberFormat="1" applyFont="1" applyBorder="1" applyAlignment="1">
      <alignment horizontal="center"/>
    </xf>
    <xf numFmtId="5" fontId="11" fillId="4" borderId="0" xfId="2" applyNumberFormat="1" applyFont="1" applyFill="1" applyAlignment="1">
      <alignment horizontal="center"/>
    </xf>
    <xf numFmtId="0" fontId="10" fillId="4" borderId="48" xfId="14" applyFont="1" applyFill="1" applyBorder="1" applyAlignment="1">
      <alignment horizontal="center"/>
    </xf>
    <xf numFmtId="9" fontId="8" fillId="0" borderId="0" xfId="11" applyFont="1" applyAlignment="1">
      <alignment horizontal="center"/>
    </xf>
    <xf numFmtId="5" fontId="8" fillId="0" borderId="0" xfId="1" applyNumberFormat="1" applyFont="1" applyAlignment="1">
      <alignment horizontal="center"/>
    </xf>
    <xf numFmtId="0" fontId="8" fillId="0" borderId="0" xfId="1" applyFont="1"/>
    <xf numFmtId="9" fontId="2" fillId="0" borderId="0" xfId="11" applyFont="1" applyAlignment="1">
      <alignment horizontal="center"/>
    </xf>
    <xf numFmtId="9" fontId="11" fillId="0" borderId="49" xfId="3" applyFont="1" applyBorder="1" applyAlignment="1">
      <alignment horizontal="center"/>
    </xf>
    <xf numFmtId="9" fontId="11" fillId="0" borderId="45" xfId="3" applyFont="1" applyBorder="1" applyAlignment="1">
      <alignment horizontal="center"/>
    </xf>
    <xf numFmtId="5" fontId="11" fillId="0" borderId="44" xfId="13" applyNumberFormat="1" applyFont="1" applyBorder="1" applyAlignment="1">
      <alignment horizontal="center"/>
    </xf>
    <xf numFmtId="0" fontId="10" fillId="4" borderId="48" xfId="14" applyFont="1" applyFill="1" applyBorder="1" applyAlignment="1">
      <alignment horizontal="left"/>
    </xf>
    <xf numFmtId="0" fontId="17" fillId="4" borderId="48" xfId="14" applyFont="1" applyFill="1" applyBorder="1" applyAlignment="1">
      <alignment horizontal="center"/>
    </xf>
    <xf numFmtId="5" fontId="11" fillId="0" borderId="50" xfId="13" applyNumberFormat="1" applyFont="1" applyBorder="1" applyAlignment="1">
      <alignment horizontal="center"/>
    </xf>
    <xf numFmtId="9" fontId="11" fillId="0" borderId="50" xfId="3" applyFont="1" applyBorder="1" applyAlignment="1">
      <alignment horizontal="center"/>
    </xf>
    <xf numFmtId="37" fontId="8" fillId="0" borderId="0" xfId="1" applyNumberFormat="1" applyFont="1" applyAlignment="1">
      <alignment horizontal="center"/>
    </xf>
    <xf numFmtId="5" fontId="11" fillId="0" borderId="5" xfId="13" applyNumberFormat="1" applyFont="1" applyBorder="1" applyAlignment="1">
      <alignment horizontal="center"/>
    </xf>
    <xf numFmtId="9" fontId="8" fillId="0" borderId="1" xfId="11" applyFont="1" applyBorder="1" applyAlignment="1">
      <alignment horizontal="center"/>
    </xf>
    <xf numFmtId="5" fontId="8" fillId="0" borderId="28" xfId="1" applyNumberFormat="1" applyFont="1" applyBorder="1" applyAlignment="1">
      <alignment horizontal="center"/>
    </xf>
    <xf numFmtId="0" fontId="8" fillId="0" borderId="29" xfId="1" applyFont="1" applyBorder="1"/>
    <xf numFmtId="37" fontId="8" fillId="0" borderId="51" xfId="1" applyNumberFormat="1" applyFont="1" applyBorder="1" applyAlignment="1">
      <alignment horizontal="center"/>
    </xf>
    <xf numFmtId="38" fontId="10" fillId="4" borderId="48" xfId="14" applyNumberFormat="1" applyFont="1" applyFill="1" applyBorder="1" applyAlignment="1">
      <alignment horizontal="left"/>
    </xf>
    <xf numFmtId="9" fontId="8" fillId="0" borderId="52" xfId="11" applyFont="1" applyBorder="1" applyAlignment="1">
      <alignment horizontal="center"/>
    </xf>
    <xf numFmtId="5" fontId="8" fillId="0" borderId="53" xfId="1" applyNumberFormat="1" applyFont="1" applyBorder="1" applyAlignment="1">
      <alignment horizontal="center"/>
    </xf>
    <xf numFmtId="0" fontId="8" fillId="0" borderId="54" xfId="1" applyFont="1" applyBorder="1"/>
    <xf numFmtId="37" fontId="8" fillId="0" borderId="53" xfId="1" applyNumberFormat="1" applyFont="1" applyBorder="1" applyAlignment="1">
      <alignment horizontal="center"/>
    </xf>
    <xf numFmtId="9" fontId="8" fillId="0" borderId="24" xfId="11" applyFont="1" applyBorder="1" applyAlignment="1">
      <alignment horizontal="center"/>
    </xf>
    <xf numFmtId="5" fontId="8" fillId="0" borderId="55" xfId="1" applyNumberFormat="1" applyFont="1" applyBorder="1" applyAlignment="1">
      <alignment horizontal="center"/>
    </xf>
    <xf numFmtId="0" fontId="8" fillId="0" borderId="26" xfId="1" applyFont="1" applyBorder="1"/>
    <xf numFmtId="37" fontId="8" fillId="0" borderId="55" xfId="1" applyNumberFormat="1" applyFont="1" applyBorder="1" applyAlignment="1">
      <alignment horizontal="center"/>
    </xf>
    <xf numFmtId="0" fontId="17" fillId="0" borderId="56" xfId="9" applyFont="1" applyBorder="1" applyAlignment="1">
      <alignment horizontal="center"/>
    </xf>
    <xf numFmtId="0" fontId="17" fillId="0" borderId="0" xfId="9" applyFont="1" applyAlignment="1">
      <alignment horizontal="center"/>
    </xf>
    <xf numFmtId="0" fontId="17" fillId="0" borderId="44" xfId="9" applyFont="1" applyBorder="1" applyAlignment="1">
      <alignment horizontal="center"/>
    </xf>
    <xf numFmtId="0" fontId="17" fillId="0" borderId="48" xfId="9" applyFont="1" applyBorder="1" applyAlignment="1">
      <alignment horizontal="center"/>
    </xf>
    <xf numFmtId="0" fontId="22" fillId="4" borderId="31" xfId="1" applyFont="1" applyFill="1" applyBorder="1" applyAlignment="1">
      <alignment horizontal="center"/>
    </xf>
    <xf numFmtId="0" fontId="22" fillId="4" borderId="57" xfId="1" applyFont="1" applyFill="1" applyBorder="1" applyAlignment="1">
      <alignment horizontal="center"/>
    </xf>
    <xf numFmtId="0" fontId="23" fillId="4" borderId="33" xfId="1" applyFont="1" applyFill="1" applyBorder="1" applyAlignment="1">
      <alignment horizontal="center"/>
    </xf>
    <xf numFmtId="0" fontId="22" fillId="0" borderId="13" xfId="9" applyFont="1" applyBorder="1" applyAlignment="1">
      <alignment horizontal="center"/>
    </xf>
    <xf numFmtId="0" fontId="20" fillId="0" borderId="33" xfId="9" applyFont="1" applyBorder="1"/>
    <xf numFmtId="0" fontId="21" fillId="0" borderId="0" xfId="1" applyFont="1" applyAlignment="1">
      <alignment horizontal="center"/>
    </xf>
    <xf numFmtId="164" fontId="2" fillId="0" borderId="0" xfId="1" applyNumberFormat="1"/>
    <xf numFmtId="164" fontId="20" fillId="4" borderId="28" xfId="14" applyNumberFormat="1" applyFont="1" applyFill="1" applyBorder="1"/>
    <xf numFmtId="5" fontId="20" fillId="0" borderId="42" xfId="14" applyNumberFormat="1" applyFont="1" applyBorder="1" applyAlignment="1">
      <alignment horizontal="center"/>
    </xf>
    <xf numFmtId="0" fontId="23" fillId="0" borderId="29" xfId="14" applyFont="1" applyBorder="1" applyAlignment="1">
      <alignment horizontal="right"/>
    </xf>
    <xf numFmtId="164" fontId="20" fillId="0" borderId="59" xfId="14" applyNumberFormat="1" applyFont="1" applyBorder="1"/>
    <xf numFmtId="38" fontId="23" fillId="4" borderId="59" xfId="14" applyNumberFormat="1" applyFont="1" applyFill="1" applyBorder="1" applyAlignment="1">
      <alignment horizontal="left"/>
    </xf>
    <xf numFmtId="38" fontId="23" fillId="4" borderId="54" xfId="14" applyNumberFormat="1" applyFont="1" applyFill="1" applyBorder="1" applyAlignment="1">
      <alignment horizontal="left"/>
    </xf>
    <xf numFmtId="5" fontId="23" fillId="0" borderId="60" xfId="8" applyNumberFormat="1" applyFont="1" applyBorder="1" applyAlignment="1">
      <alignment horizontal="center"/>
    </xf>
    <xf numFmtId="0" fontId="23" fillId="4" borderId="47" xfId="14" applyFont="1" applyFill="1" applyBorder="1" applyAlignment="1">
      <alignment horizontal="center"/>
    </xf>
    <xf numFmtId="0" fontId="23" fillId="4" borderId="23" xfId="14" applyFont="1" applyFill="1" applyBorder="1" applyAlignment="1">
      <alignment horizontal="center"/>
    </xf>
    <xf numFmtId="5" fontId="20" fillId="0" borderId="23" xfId="14" applyNumberFormat="1" applyFont="1" applyBorder="1" applyAlignment="1">
      <alignment horizontal="center" vertical="center"/>
    </xf>
    <xf numFmtId="0" fontId="23" fillId="0" borderId="10" xfId="14" applyFont="1" applyBorder="1" applyAlignment="1">
      <alignment horizontal="center" vertical="center"/>
    </xf>
    <xf numFmtId="165" fontId="23" fillId="0" borderId="27" xfId="8" applyNumberFormat="1" applyFont="1" applyBorder="1" applyAlignment="1">
      <alignment horizontal="center"/>
    </xf>
    <xf numFmtId="0" fontId="23" fillId="4" borderId="28" xfId="14" applyFont="1" applyFill="1" applyBorder="1" applyAlignment="1">
      <alignment horizontal="center"/>
    </xf>
    <xf numFmtId="0" fontId="23" fillId="4" borderId="61" xfId="14" applyFont="1" applyFill="1" applyBorder="1" applyAlignment="1">
      <alignment horizontal="center"/>
    </xf>
    <xf numFmtId="0" fontId="23" fillId="0" borderId="2" xfId="14" applyFont="1" applyBorder="1" applyAlignment="1">
      <alignment horizontal="center"/>
    </xf>
    <xf numFmtId="165" fontId="20" fillId="0" borderId="56" xfId="8" quotePrefix="1" applyNumberFormat="1" applyFont="1" applyBorder="1" applyAlignment="1">
      <alignment horizontal="center"/>
    </xf>
    <xf numFmtId="0" fontId="23" fillId="4" borderId="62" xfId="14" applyFont="1" applyFill="1" applyBorder="1" applyAlignment="1">
      <alignment horizontal="center"/>
    </xf>
    <xf numFmtId="0" fontId="23" fillId="4" borderId="63" xfId="14" applyFont="1" applyFill="1" applyBorder="1" applyAlignment="1">
      <alignment horizontal="center"/>
    </xf>
    <xf numFmtId="0" fontId="23" fillId="0" borderId="11" xfId="14" applyFont="1" applyBorder="1" applyAlignment="1">
      <alignment horizontal="center"/>
    </xf>
    <xf numFmtId="9" fontId="23" fillId="0" borderId="1" xfId="16" applyFont="1" applyBorder="1" applyAlignment="1">
      <alignment horizontal="center"/>
    </xf>
    <xf numFmtId="9" fontId="20" fillId="0" borderId="28" xfId="16" applyFont="1" applyBorder="1" applyAlignment="1">
      <alignment horizontal="center"/>
    </xf>
    <xf numFmtId="9" fontId="20" fillId="0" borderId="28" xfId="3" applyFont="1" applyBorder="1" applyAlignment="1">
      <alignment horizontal="center"/>
    </xf>
    <xf numFmtId="38" fontId="23" fillId="0" borderId="42" xfId="9" applyNumberFormat="1" applyFont="1" applyBorder="1" applyAlignment="1">
      <alignment horizontal="left"/>
    </xf>
    <xf numFmtId="38" fontId="23" fillId="0" borderId="29" xfId="9" applyNumberFormat="1" applyFont="1" applyBorder="1" applyAlignment="1">
      <alignment horizontal="left"/>
    </xf>
    <xf numFmtId="165" fontId="23" fillId="0" borderId="37" xfId="8" applyNumberFormat="1" applyFont="1" applyBorder="1" applyAlignment="1">
      <alignment horizontal="center"/>
    </xf>
    <xf numFmtId="0" fontId="23" fillId="4" borderId="65" xfId="14" applyFont="1" applyFill="1" applyBorder="1" applyAlignment="1">
      <alignment horizontal="center"/>
    </xf>
    <xf numFmtId="9" fontId="20" fillId="0" borderId="19" xfId="11" applyFont="1" applyBorder="1" applyAlignment="1">
      <alignment horizontal="center"/>
    </xf>
    <xf numFmtId="0" fontId="23" fillId="0" borderId="39" xfId="14" applyFont="1" applyBorder="1" applyAlignment="1">
      <alignment horizontal="center"/>
    </xf>
    <xf numFmtId="0" fontId="23" fillId="0" borderId="0" xfId="14" applyFont="1" applyAlignment="1">
      <alignment horizontal="center"/>
    </xf>
    <xf numFmtId="0" fontId="23" fillId="0" borderId="4" xfId="14" applyFont="1" applyBorder="1" applyAlignment="1">
      <alignment horizontal="center"/>
    </xf>
    <xf numFmtId="165" fontId="23" fillId="0" borderId="60" xfId="8" applyNumberFormat="1" applyFont="1" applyBorder="1"/>
    <xf numFmtId="0" fontId="23" fillId="4" borderId="44" xfId="14" applyFont="1" applyFill="1" applyBorder="1" applyAlignment="1">
      <alignment horizontal="center"/>
    </xf>
    <xf numFmtId="0" fontId="23" fillId="4" borderId="66" xfId="14" applyFont="1" applyFill="1" applyBorder="1" applyAlignment="1">
      <alignment horizontal="center"/>
    </xf>
    <xf numFmtId="0" fontId="20" fillId="0" borderId="9" xfId="14" applyFont="1" applyBorder="1"/>
    <xf numFmtId="5" fontId="2" fillId="0" borderId="0" xfId="1" applyNumberFormat="1" applyAlignment="1">
      <alignment horizontal="center"/>
    </xf>
    <xf numFmtId="0" fontId="2" fillId="4" borderId="0" xfId="1" applyFill="1"/>
    <xf numFmtId="9" fontId="8" fillId="4" borderId="0" xfId="3" applyFont="1" applyFill="1" applyAlignment="1">
      <alignment horizontal="center"/>
    </xf>
    <xf numFmtId="167" fontId="8" fillId="4" borderId="0" xfId="2" applyNumberFormat="1" applyFont="1" applyFill="1" applyAlignment="1">
      <alignment horizontal="center"/>
    </xf>
    <xf numFmtId="168" fontId="10" fillId="4" borderId="0" xfId="15" applyNumberFormat="1" applyFont="1" applyFill="1" applyAlignment="1">
      <alignment horizontal="center"/>
    </xf>
    <xf numFmtId="167" fontId="10" fillId="4" borderId="0" xfId="14" applyNumberFormat="1" applyFont="1" applyFill="1" applyAlignment="1">
      <alignment horizontal="center"/>
    </xf>
    <xf numFmtId="168" fontId="8" fillId="4" borderId="0" xfId="3" applyNumberFormat="1" applyFont="1" applyFill="1" applyAlignment="1">
      <alignment horizontal="center"/>
    </xf>
    <xf numFmtId="167" fontId="8" fillId="4" borderId="0" xfId="3" applyNumberFormat="1" applyFont="1" applyFill="1" applyAlignment="1">
      <alignment horizontal="center"/>
    </xf>
    <xf numFmtId="38" fontId="10" fillId="4" borderId="0" xfId="14" applyNumberFormat="1" applyFont="1" applyFill="1" applyAlignment="1">
      <alignment horizontal="center"/>
    </xf>
    <xf numFmtId="43" fontId="2" fillId="4" borderId="0" xfId="1" applyNumberFormat="1" applyFill="1"/>
    <xf numFmtId="168" fontId="2" fillId="4" borderId="0" xfId="1" applyNumberFormat="1" applyFill="1"/>
    <xf numFmtId="9" fontId="2" fillId="4" borderId="0" xfId="11" applyFont="1" applyFill="1"/>
    <xf numFmtId="43" fontId="2" fillId="4" borderId="0" xfId="8" applyFont="1" applyFill="1"/>
    <xf numFmtId="5" fontId="11" fillId="0" borderId="0" xfId="14" applyNumberFormat="1" applyFont="1" applyAlignment="1">
      <alignment horizontal="center"/>
    </xf>
    <xf numFmtId="167" fontId="10" fillId="0" borderId="0" xfId="11" applyNumberFormat="1" applyFont="1" applyAlignment="1">
      <alignment horizontal="center"/>
    </xf>
    <xf numFmtId="5" fontId="10" fillId="0" borderId="0" xfId="11" applyNumberFormat="1" applyFont="1" applyAlignment="1">
      <alignment horizontal="center"/>
    </xf>
    <xf numFmtId="38" fontId="10" fillId="0" borderId="0" xfId="14" applyNumberFormat="1" applyFont="1" applyAlignment="1">
      <alignment horizontal="center"/>
    </xf>
    <xf numFmtId="7" fontId="10" fillId="0" borderId="27" xfId="11" applyNumberFormat="1" applyFont="1" applyBorder="1" applyAlignment="1">
      <alignment horizontal="center"/>
    </xf>
    <xf numFmtId="9" fontId="10" fillId="0" borderId="61" xfId="11" applyFont="1" applyBorder="1" applyAlignment="1">
      <alignment horizontal="center"/>
    </xf>
    <xf numFmtId="167" fontId="10" fillId="0" borderId="28" xfId="11" applyNumberFormat="1" applyFont="1" applyBorder="1" applyAlignment="1">
      <alignment horizontal="center"/>
    </xf>
    <xf numFmtId="5" fontId="10" fillId="0" borderId="28" xfId="11" applyNumberFormat="1" applyFont="1" applyBorder="1" applyAlignment="1">
      <alignment horizontal="center"/>
    </xf>
    <xf numFmtId="38" fontId="10" fillId="0" borderId="29" xfId="14" applyNumberFormat="1" applyFont="1" applyBorder="1" applyAlignment="1">
      <alignment horizontal="center"/>
    </xf>
    <xf numFmtId="7" fontId="10" fillId="0" borderId="58" xfId="11" applyNumberFormat="1" applyFont="1" applyBorder="1" applyAlignment="1">
      <alignment horizontal="center"/>
    </xf>
    <xf numFmtId="9" fontId="10" fillId="0" borderId="67" xfId="11" applyFont="1" applyBorder="1" applyAlignment="1">
      <alignment horizontal="center"/>
    </xf>
    <xf numFmtId="167" fontId="10" fillId="0" borderId="53" xfId="11" applyNumberFormat="1" applyFont="1" applyBorder="1" applyAlignment="1">
      <alignment horizontal="center"/>
    </xf>
    <xf numFmtId="5" fontId="10" fillId="0" borderId="53" xfId="11" applyNumberFormat="1" applyFont="1" applyBorder="1" applyAlignment="1">
      <alignment horizontal="center"/>
    </xf>
    <xf numFmtId="38" fontId="10" fillId="0" borderId="54" xfId="14" applyNumberFormat="1" applyFont="1" applyBorder="1" applyAlignment="1">
      <alignment horizontal="left"/>
    </xf>
    <xf numFmtId="7" fontId="10" fillId="0" borderId="18" xfId="11" applyNumberFormat="1" applyFont="1" applyBorder="1" applyAlignment="1">
      <alignment horizontal="center"/>
    </xf>
    <xf numFmtId="9" fontId="10" fillId="0" borderId="68" xfId="11" applyFont="1" applyBorder="1" applyAlignment="1">
      <alignment horizontal="center"/>
    </xf>
    <xf numFmtId="167" fontId="10" fillId="0" borderId="69" xfId="11" applyNumberFormat="1" applyFont="1" applyBorder="1" applyAlignment="1">
      <alignment horizontal="center"/>
    </xf>
    <xf numFmtId="5" fontId="10" fillId="0" borderId="69" xfId="11" applyNumberFormat="1" applyFont="1" applyBorder="1" applyAlignment="1">
      <alignment horizontal="center"/>
    </xf>
    <xf numFmtId="38" fontId="10" fillId="0" borderId="20" xfId="14" applyNumberFormat="1" applyFont="1" applyBorder="1" applyAlignment="1">
      <alignment horizontal="left"/>
    </xf>
    <xf numFmtId="9" fontId="10" fillId="0" borderId="70" xfId="11" applyFont="1" applyBorder="1" applyAlignment="1">
      <alignment horizontal="center"/>
    </xf>
    <xf numFmtId="167" fontId="10" fillId="0" borderId="19" xfId="11" applyNumberFormat="1" applyFont="1" applyBorder="1" applyAlignment="1">
      <alignment horizontal="center"/>
    </xf>
    <xf numFmtId="5" fontId="10" fillId="0" borderId="19" xfId="11" applyNumberFormat="1" applyFont="1" applyBorder="1" applyAlignment="1">
      <alignment horizontal="center"/>
    </xf>
    <xf numFmtId="0" fontId="10" fillId="0" borderId="21" xfId="14" applyFont="1" applyBorder="1" applyAlignment="1">
      <alignment horizontal="left"/>
    </xf>
    <xf numFmtId="9" fontId="10" fillId="0" borderId="65" xfId="11" applyFont="1" applyBorder="1" applyAlignment="1">
      <alignment horizontal="center"/>
    </xf>
    <xf numFmtId="167" fontId="10" fillId="0" borderId="23" xfId="11" applyNumberFormat="1" applyFont="1" applyBorder="1" applyAlignment="1">
      <alignment horizontal="center"/>
    </xf>
    <xf numFmtId="5" fontId="10" fillId="0" borderId="23" xfId="11" applyNumberFormat="1" applyFont="1" applyBorder="1" applyAlignment="1">
      <alignment horizontal="center"/>
    </xf>
    <xf numFmtId="38" fontId="10" fillId="0" borderId="30" xfId="14" applyNumberFormat="1" applyFont="1" applyBorder="1" applyAlignment="1">
      <alignment horizontal="left"/>
    </xf>
    <xf numFmtId="38" fontId="10" fillId="0" borderId="21" xfId="14" applyNumberFormat="1" applyFont="1" applyBorder="1" applyAlignment="1">
      <alignment horizontal="left"/>
    </xf>
    <xf numFmtId="168" fontId="10" fillId="6" borderId="31" xfId="11" applyNumberFormat="1" applyFont="1" applyFill="1" applyBorder="1" applyAlignment="1">
      <alignment horizontal="center"/>
    </xf>
    <xf numFmtId="167" fontId="8" fillId="4" borderId="71" xfId="1" applyNumberFormat="1" applyFont="1" applyFill="1" applyBorder="1" applyAlignment="1">
      <alignment horizontal="center"/>
    </xf>
    <xf numFmtId="168" fontId="10" fillId="6" borderId="32" xfId="14" applyNumberFormat="1" applyFont="1" applyFill="1" applyBorder="1" applyAlignment="1">
      <alignment horizontal="center"/>
    </xf>
    <xf numFmtId="167" fontId="10" fillId="4" borderId="32" xfId="14" applyNumberFormat="1" applyFont="1" applyFill="1" applyBorder="1" applyAlignment="1">
      <alignment horizontal="center"/>
    </xf>
    <xf numFmtId="0" fontId="10" fillId="6" borderId="32" xfId="14" applyFont="1" applyFill="1" applyBorder="1" applyAlignment="1">
      <alignment horizontal="center"/>
    </xf>
    <xf numFmtId="5" fontId="8" fillId="4" borderId="32" xfId="1" applyNumberFormat="1" applyFont="1" applyFill="1" applyBorder="1" applyAlignment="1">
      <alignment horizontal="center"/>
    </xf>
    <xf numFmtId="0" fontId="10" fillId="4" borderId="33" xfId="14" applyFont="1" applyFill="1" applyBorder="1" applyAlignment="1">
      <alignment horizontal="center"/>
    </xf>
    <xf numFmtId="0" fontId="10" fillId="6" borderId="27" xfId="14" applyFont="1" applyFill="1" applyBorder="1" applyAlignment="1">
      <alignment horizontal="center"/>
    </xf>
    <xf numFmtId="0" fontId="8" fillId="4" borderId="61" xfId="1" applyFont="1" applyFill="1" applyBorder="1" applyAlignment="1">
      <alignment horizontal="center"/>
    </xf>
    <xf numFmtId="0" fontId="10" fillId="6" borderId="28" xfId="14" applyFont="1" applyFill="1" applyBorder="1" applyAlignment="1">
      <alignment horizontal="center"/>
    </xf>
    <xf numFmtId="0" fontId="10" fillId="4" borderId="28" xfId="14" applyFont="1" applyFill="1" applyBorder="1" applyAlignment="1">
      <alignment horizontal="center"/>
    </xf>
    <xf numFmtId="0" fontId="8" fillId="4" borderId="28" xfId="1" applyFont="1" applyFill="1" applyBorder="1" applyAlignment="1">
      <alignment horizontal="center"/>
    </xf>
    <xf numFmtId="0" fontId="10" fillId="4" borderId="29" xfId="14" applyFont="1" applyFill="1" applyBorder="1" applyAlignment="1">
      <alignment horizontal="center"/>
    </xf>
    <xf numFmtId="9" fontId="10" fillId="0" borderId="44" xfId="11" applyFont="1" applyBorder="1" applyAlignment="1">
      <alignment horizontal="center"/>
    </xf>
    <xf numFmtId="9" fontId="10" fillId="0" borderId="23" xfId="11" applyFont="1" applyBorder="1" applyAlignment="1">
      <alignment horizontal="center"/>
    </xf>
    <xf numFmtId="38" fontId="10" fillId="0" borderId="39" xfId="14" applyNumberFormat="1" applyFont="1" applyBorder="1" applyAlignment="1">
      <alignment horizontal="center"/>
    </xf>
    <xf numFmtId="0" fontId="10" fillId="6" borderId="56" xfId="14" applyFont="1" applyFill="1" applyBorder="1" applyAlignment="1">
      <alignment horizontal="center"/>
    </xf>
    <xf numFmtId="0" fontId="10" fillId="4" borderId="63" xfId="14" applyFont="1" applyFill="1" applyBorder="1" applyAlignment="1">
      <alignment horizontal="center"/>
    </xf>
    <xf numFmtId="0" fontId="10" fillId="6" borderId="62" xfId="14" applyFont="1" applyFill="1" applyBorder="1" applyAlignment="1">
      <alignment horizontal="center"/>
    </xf>
    <xf numFmtId="0" fontId="10" fillId="4" borderId="62" xfId="14" applyFont="1" applyFill="1" applyBorder="1" applyAlignment="1">
      <alignment horizontal="center"/>
    </xf>
    <xf numFmtId="0" fontId="10" fillId="4" borderId="72" xfId="14" applyFont="1" applyFill="1" applyBorder="1" applyAlignment="1">
      <alignment horizontal="center"/>
    </xf>
    <xf numFmtId="38" fontId="10" fillId="0" borderId="10" xfId="14" applyNumberFormat="1" applyFont="1" applyBorder="1" applyAlignment="1">
      <alignment horizontal="center"/>
    </xf>
    <xf numFmtId="5" fontId="11" fillId="0" borderId="0" xfId="15" applyNumberFormat="1" applyFont="1" applyAlignment="1">
      <alignment horizontal="center"/>
    </xf>
    <xf numFmtId="0" fontId="16" fillId="0" borderId="0" xfId="12"/>
    <xf numFmtId="7" fontId="11" fillId="0" borderId="27" xfId="12" applyNumberFormat="1" applyFont="1" applyBorder="1" applyAlignment="1">
      <alignment horizontal="center"/>
    </xf>
    <xf numFmtId="7" fontId="11" fillId="0" borderId="28" xfId="15" applyNumberFormat="1" applyFont="1" applyBorder="1" applyAlignment="1">
      <alignment horizontal="center"/>
    </xf>
    <xf numFmtId="0" fontId="11" fillId="0" borderId="29" xfId="12" applyFont="1" applyBorder="1" applyAlignment="1">
      <alignment horizontal="center"/>
    </xf>
    <xf numFmtId="5" fontId="11" fillId="0" borderId="31" xfId="14" applyNumberFormat="1" applyFont="1" applyBorder="1" applyAlignment="1">
      <alignment horizontal="center"/>
    </xf>
    <xf numFmtId="5" fontId="11" fillId="4" borderId="32" xfId="14" applyNumberFormat="1" applyFont="1" applyFill="1" applyBorder="1" applyAlignment="1">
      <alignment horizontal="center"/>
    </xf>
    <xf numFmtId="0" fontId="10" fillId="0" borderId="33" xfId="14" applyFont="1" applyBorder="1" applyAlignment="1">
      <alignment horizontal="centerContinuous"/>
    </xf>
    <xf numFmtId="0" fontId="10" fillId="0" borderId="27" xfId="14" applyFont="1" applyBorder="1" applyAlignment="1">
      <alignment horizontal="center"/>
    </xf>
    <xf numFmtId="0" fontId="10" fillId="0" borderId="2" xfId="14" applyFont="1" applyBorder="1" applyAlignment="1">
      <alignment horizontal="center"/>
    </xf>
    <xf numFmtId="0" fontId="10" fillId="0" borderId="42" xfId="14" applyFont="1" applyBorder="1" applyAlignment="1">
      <alignment horizontal="center"/>
    </xf>
    <xf numFmtId="0" fontId="10" fillId="4" borderId="42" xfId="14" applyFont="1" applyFill="1" applyBorder="1" applyAlignment="1">
      <alignment horizontal="center"/>
    </xf>
    <xf numFmtId="0" fontId="10" fillId="4" borderId="61" xfId="14" applyFont="1" applyFill="1" applyBorder="1" applyAlignment="1">
      <alignment horizontal="center"/>
    </xf>
    <xf numFmtId="0" fontId="10" fillId="0" borderId="29" xfId="14" applyFont="1" applyBorder="1" applyAlignment="1">
      <alignment horizontal="centerContinuous"/>
    </xf>
    <xf numFmtId="0" fontId="10" fillId="0" borderId="56" xfId="14" applyFont="1" applyBorder="1" applyAlignment="1">
      <alignment horizontal="center"/>
    </xf>
    <xf numFmtId="0" fontId="10" fillId="0" borderId="11" xfId="14" applyFont="1" applyBorder="1" applyAlignment="1">
      <alignment horizontal="center"/>
    </xf>
    <xf numFmtId="0" fontId="10" fillId="0" borderId="73" xfId="14" applyFont="1" applyBorder="1" applyAlignment="1">
      <alignment horizontal="center"/>
    </xf>
    <xf numFmtId="0" fontId="10" fillId="4" borderId="73" xfId="14" applyFont="1" applyFill="1" applyBorder="1" applyAlignment="1">
      <alignment horizontal="center"/>
    </xf>
    <xf numFmtId="0" fontId="10" fillId="0" borderId="72" xfId="14" applyFont="1" applyBorder="1" applyAlignment="1">
      <alignment horizontal="center"/>
    </xf>
    <xf numFmtId="0" fontId="11" fillId="0" borderId="9" xfId="14" applyFont="1" applyBorder="1"/>
    <xf numFmtId="9" fontId="11" fillId="0" borderId="24" xfId="11" applyFont="1" applyBorder="1" applyAlignment="1">
      <alignment horizontal="center"/>
    </xf>
    <xf numFmtId="9" fontId="11" fillId="0" borderId="55" xfId="11" applyFont="1" applyBorder="1" applyAlignment="1">
      <alignment horizontal="center"/>
    </xf>
    <xf numFmtId="9" fontId="11" fillId="4" borderId="74" xfId="11" applyFont="1" applyFill="1" applyBorder="1" applyAlignment="1">
      <alignment horizontal="center"/>
    </xf>
    <xf numFmtId="9" fontId="11" fillId="4" borderId="32" xfId="11" applyFont="1" applyFill="1" applyBorder="1" applyAlignment="1">
      <alignment horizontal="center"/>
    </xf>
    <xf numFmtId="9" fontId="11" fillId="4" borderId="75" xfId="11" applyFont="1" applyFill="1" applyBorder="1" applyAlignment="1">
      <alignment horizontal="center"/>
    </xf>
    <xf numFmtId="9" fontId="11" fillId="4" borderId="25" xfId="11" applyFont="1" applyFill="1" applyBorder="1" applyAlignment="1">
      <alignment horizontal="center"/>
    </xf>
    <xf numFmtId="9" fontId="11" fillId="4" borderId="47" xfId="11" applyFont="1" applyFill="1" applyBorder="1" applyAlignment="1">
      <alignment horizontal="center"/>
    </xf>
    <xf numFmtId="9" fontId="11" fillId="4" borderId="44" xfId="11" applyFont="1" applyFill="1" applyBorder="1" applyAlignment="1">
      <alignment horizontal="center"/>
    </xf>
    <xf numFmtId="9" fontId="11" fillId="4" borderId="0" xfId="14" applyNumberFormat="1" applyFont="1" applyFill="1" applyAlignment="1">
      <alignment horizontal="center"/>
    </xf>
    <xf numFmtId="9" fontId="11" fillId="4" borderId="25" xfId="14" applyNumberFormat="1" applyFont="1" applyFill="1" applyBorder="1" applyAlignment="1">
      <alignment horizontal="center"/>
    </xf>
    <xf numFmtId="9" fontId="11" fillId="4" borderId="44" xfId="14" applyNumberFormat="1" applyFont="1" applyFill="1" applyBorder="1" applyAlignment="1">
      <alignment horizontal="center"/>
    </xf>
    <xf numFmtId="0" fontId="10" fillId="0" borderId="48" xfId="14" applyFont="1" applyBorder="1" applyAlignment="1">
      <alignment horizontal="centerContinuous"/>
    </xf>
    <xf numFmtId="0" fontId="11" fillId="0" borderId="64" xfId="14" applyFont="1" applyBorder="1"/>
    <xf numFmtId="5" fontId="11" fillId="0" borderId="24" xfId="15" applyNumberFormat="1" applyFont="1" applyBorder="1" applyAlignment="1">
      <alignment horizontal="center"/>
    </xf>
    <xf numFmtId="5" fontId="11" fillId="0" borderId="55" xfId="15" applyNumberFormat="1" applyFont="1" applyBorder="1" applyAlignment="1">
      <alignment horizontal="center"/>
    </xf>
    <xf numFmtId="5" fontId="11" fillId="0" borderId="25" xfId="15" applyNumberFormat="1" applyFont="1" applyBorder="1" applyAlignment="1">
      <alignment horizontal="center"/>
    </xf>
    <xf numFmtId="5" fontId="11" fillId="0" borderId="75" xfId="15" applyNumberFormat="1" applyFont="1" applyBorder="1" applyAlignment="1">
      <alignment horizontal="center"/>
    </xf>
    <xf numFmtId="0" fontId="10" fillId="0" borderId="26" xfId="14" applyFont="1" applyBorder="1"/>
    <xf numFmtId="5" fontId="23" fillId="0" borderId="58" xfId="15" applyNumberFormat="1" applyFont="1" applyBorder="1" applyAlignment="1">
      <alignment horizontal="center"/>
    </xf>
    <xf numFmtId="5" fontId="23" fillId="0" borderId="27" xfId="14" applyNumberFormat="1" applyFont="1" applyBorder="1" applyAlignment="1">
      <alignment horizontal="center"/>
    </xf>
    <xf numFmtId="37" fontId="3" fillId="0" borderId="7" xfId="4" applyNumberFormat="1" applyFont="1" applyBorder="1"/>
    <xf numFmtId="0" fontId="7" fillId="3" borderId="14" xfId="5" applyFont="1" applyFill="1" applyBorder="1" applyAlignment="1">
      <alignment horizontal="center"/>
    </xf>
    <xf numFmtId="0" fontId="7" fillId="3" borderId="13" xfId="5" applyFont="1" applyFill="1" applyBorder="1" applyAlignment="1">
      <alignment horizontal="center"/>
    </xf>
    <xf numFmtId="0" fontId="7" fillId="3" borderId="12" xfId="5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10" fillId="0" borderId="0" xfId="7" applyFont="1" applyAlignment="1">
      <alignment horizontal="center"/>
    </xf>
    <xf numFmtId="0" fontId="7" fillId="2" borderId="34" xfId="7" applyFont="1" applyFill="1" applyBorder="1" applyAlignment="1">
      <alignment horizontal="center"/>
    </xf>
    <xf numFmtId="0" fontId="7" fillId="2" borderId="11" xfId="7" applyFont="1" applyFill="1" applyBorder="1" applyAlignment="1">
      <alignment horizontal="center"/>
    </xf>
    <xf numFmtId="0" fontId="10" fillId="5" borderId="33" xfId="7" applyFont="1" applyFill="1" applyBorder="1" applyAlignment="1">
      <alignment horizontal="center"/>
    </xf>
    <xf numFmtId="0" fontId="10" fillId="5" borderId="32" xfId="7" applyFont="1" applyFill="1" applyBorder="1" applyAlignment="1">
      <alignment horizontal="center"/>
    </xf>
    <xf numFmtId="0" fontId="10" fillId="5" borderId="31" xfId="7" applyFont="1" applyFill="1" applyBorder="1" applyAlignment="1">
      <alignment horizontal="center"/>
    </xf>
    <xf numFmtId="0" fontId="10" fillId="5" borderId="14" xfId="7" applyFont="1" applyFill="1" applyBorder="1" applyAlignment="1">
      <alignment horizontal="center"/>
    </xf>
    <xf numFmtId="0" fontId="10" fillId="5" borderId="13" xfId="7" applyFont="1" applyFill="1" applyBorder="1" applyAlignment="1">
      <alignment horizontal="center"/>
    </xf>
    <xf numFmtId="0" fontId="10" fillId="5" borderId="12" xfId="7" applyFont="1" applyFill="1" applyBorder="1" applyAlignment="1">
      <alignment horizontal="center"/>
    </xf>
    <xf numFmtId="5" fontId="10" fillId="5" borderId="14" xfId="7" applyNumberFormat="1" applyFont="1" applyFill="1" applyBorder="1" applyAlignment="1">
      <alignment horizontal="center"/>
    </xf>
    <xf numFmtId="5" fontId="10" fillId="5" borderId="13" xfId="7" applyNumberFormat="1" applyFont="1" applyFill="1" applyBorder="1" applyAlignment="1">
      <alignment horizontal="center"/>
    </xf>
    <xf numFmtId="5" fontId="10" fillId="5" borderId="12" xfId="7" applyNumberFormat="1" applyFont="1" applyFill="1" applyBorder="1" applyAlignment="1">
      <alignment horizontal="center"/>
    </xf>
    <xf numFmtId="166" fontId="14" fillId="0" borderId="34" xfId="10" applyNumberFormat="1" applyFont="1" applyBorder="1" applyAlignment="1">
      <alignment horizontal="center"/>
    </xf>
    <xf numFmtId="166" fontId="14" fillId="0" borderId="11" xfId="10" applyNumberFormat="1" applyFont="1" applyBorder="1" applyAlignment="1">
      <alignment horizontal="center"/>
    </xf>
    <xf numFmtId="166" fontId="14" fillId="0" borderId="40" xfId="10" applyNumberFormat="1" applyFont="1" applyBorder="1" applyAlignment="1">
      <alignment horizontal="center"/>
    </xf>
    <xf numFmtId="0" fontId="17" fillId="0" borderId="11" xfId="12" applyFont="1" applyBorder="1" applyAlignment="1">
      <alignment horizontal="center"/>
    </xf>
    <xf numFmtId="0" fontId="17" fillId="0" borderId="40" xfId="12" applyFont="1" applyBorder="1" applyAlignment="1">
      <alignment horizontal="center"/>
    </xf>
    <xf numFmtId="0" fontId="19" fillId="3" borderId="34" xfId="12" applyFont="1" applyFill="1" applyBorder="1" applyAlignment="1">
      <alignment horizontal="center"/>
    </xf>
    <xf numFmtId="0" fontId="19" fillId="3" borderId="11" xfId="12" applyFont="1" applyFill="1" applyBorder="1" applyAlignment="1">
      <alignment horizontal="center"/>
    </xf>
    <xf numFmtId="0" fontId="19" fillId="3" borderId="40" xfId="12" applyFont="1" applyFill="1" applyBorder="1" applyAlignment="1">
      <alignment horizontal="center"/>
    </xf>
    <xf numFmtId="0" fontId="17" fillId="0" borderId="0" xfId="12" applyFont="1" applyAlignment="1">
      <alignment horizontal="center"/>
    </xf>
    <xf numFmtId="0" fontId="17" fillId="0" borderId="8" xfId="12" applyFont="1" applyBorder="1" applyAlignment="1">
      <alignment horizontal="center"/>
    </xf>
    <xf numFmtId="0" fontId="19" fillId="3" borderId="34" xfId="1" applyFont="1" applyFill="1" applyBorder="1" applyAlignment="1">
      <alignment horizontal="center"/>
    </xf>
    <xf numFmtId="0" fontId="19" fillId="3" borderId="11" xfId="1" applyFont="1" applyFill="1" applyBorder="1" applyAlignment="1">
      <alignment horizontal="center"/>
    </xf>
    <xf numFmtId="0" fontId="19" fillId="3" borderId="40" xfId="1" applyFont="1" applyFill="1" applyBorder="1" applyAlignment="1">
      <alignment horizontal="center"/>
    </xf>
    <xf numFmtId="0" fontId="22" fillId="0" borderId="33" xfId="9" applyFont="1" applyBorder="1" applyAlignment="1">
      <alignment horizontal="center"/>
    </xf>
    <xf numFmtId="0" fontId="22" fillId="0" borderId="31" xfId="9" applyFont="1" applyBorder="1" applyAlignment="1">
      <alignment horizontal="center"/>
    </xf>
    <xf numFmtId="0" fontId="22" fillId="0" borderId="13" xfId="9" applyFont="1" applyBorder="1" applyAlignment="1">
      <alignment horizontal="center"/>
    </xf>
    <xf numFmtId="0" fontId="22" fillId="0" borderId="12" xfId="9" applyFont="1" applyBorder="1" applyAlignment="1">
      <alignment horizontal="center"/>
    </xf>
    <xf numFmtId="0" fontId="19" fillId="3" borderId="14" xfId="12" applyFont="1" applyFill="1" applyBorder="1" applyAlignment="1">
      <alignment horizontal="center"/>
    </xf>
    <xf numFmtId="0" fontId="19" fillId="3" borderId="13" xfId="12" applyFont="1" applyFill="1" applyBorder="1" applyAlignment="1">
      <alignment horizontal="center"/>
    </xf>
    <xf numFmtId="0" fontId="19" fillId="3" borderId="12" xfId="12" applyFont="1" applyFill="1" applyBorder="1" applyAlignment="1">
      <alignment horizontal="center"/>
    </xf>
    <xf numFmtId="0" fontId="19" fillId="3" borderId="14" xfId="9" applyFont="1" applyFill="1" applyBorder="1" applyAlignment="1">
      <alignment horizontal="center"/>
    </xf>
    <xf numFmtId="0" fontId="19" fillId="3" borderId="13" xfId="9" applyFont="1" applyFill="1" applyBorder="1" applyAlignment="1">
      <alignment horizontal="center"/>
    </xf>
    <xf numFmtId="0" fontId="19" fillId="3" borderId="11" xfId="9" applyFont="1" applyFill="1" applyBorder="1" applyAlignment="1">
      <alignment horizontal="center"/>
    </xf>
    <xf numFmtId="0" fontId="19" fillId="3" borderId="12" xfId="9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25" fillId="0" borderId="2" xfId="1" applyFont="1" applyBorder="1" applyAlignment="1">
      <alignment horizontal="center"/>
    </xf>
    <xf numFmtId="0" fontId="24" fillId="3" borderId="14" xfId="14" applyFont="1" applyFill="1" applyBorder="1" applyAlignment="1">
      <alignment horizontal="center"/>
    </xf>
    <xf numFmtId="0" fontId="24" fillId="3" borderId="13" xfId="14" applyFont="1" applyFill="1" applyBorder="1" applyAlignment="1">
      <alignment horizontal="center"/>
    </xf>
    <xf numFmtId="0" fontId="24" fillId="3" borderId="12" xfId="14" applyFont="1" applyFill="1" applyBorder="1" applyAlignment="1">
      <alignment horizontal="center"/>
    </xf>
    <xf numFmtId="0" fontId="23" fillId="0" borderId="64" xfId="14" applyFont="1" applyBorder="1" applyAlignment="1">
      <alignment horizontal="center" vertical="center"/>
    </xf>
    <xf numFmtId="0" fontId="23" fillId="0" borderId="4" xfId="14" applyFont="1" applyBorder="1" applyAlignment="1">
      <alignment horizontal="center" vertical="center"/>
    </xf>
    <xf numFmtId="0" fontId="26" fillId="5" borderId="14" xfId="14" applyFont="1" applyFill="1" applyBorder="1" applyAlignment="1">
      <alignment horizontal="center"/>
    </xf>
    <xf numFmtId="0" fontId="26" fillId="5" borderId="13" xfId="14" applyFont="1" applyFill="1" applyBorder="1" applyAlignment="1">
      <alignment horizontal="center"/>
    </xf>
    <xf numFmtId="0" fontId="26" fillId="5" borderId="12" xfId="14" applyFont="1" applyFill="1" applyBorder="1" applyAlignment="1">
      <alignment horizontal="center"/>
    </xf>
    <xf numFmtId="0" fontId="23" fillId="5" borderId="14" xfId="14" applyFont="1" applyFill="1" applyBorder="1" applyAlignment="1">
      <alignment horizontal="center"/>
    </xf>
    <xf numFmtId="0" fontId="23" fillId="5" borderId="13" xfId="14" applyFont="1" applyFill="1" applyBorder="1" applyAlignment="1">
      <alignment horizontal="center"/>
    </xf>
    <xf numFmtId="0" fontId="23" fillId="5" borderId="12" xfId="14" applyFont="1" applyFill="1" applyBorder="1" applyAlignment="1">
      <alignment horizontal="center"/>
    </xf>
    <xf numFmtId="38" fontId="23" fillId="5" borderId="14" xfId="14" applyNumberFormat="1" applyFont="1" applyFill="1" applyBorder="1" applyAlignment="1">
      <alignment horizontal="center"/>
    </xf>
    <xf numFmtId="38" fontId="23" fillId="5" borderId="13" xfId="14" applyNumberFormat="1" applyFont="1" applyFill="1" applyBorder="1" applyAlignment="1">
      <alignment horizontal="center"/>
    </xf>
    <xf numFmtId="38" fontId="23" fillId="5" borderId="12" xfId="14" applyNumberFormat="1" applyFont="1" applyFill="1" applyBorder="1" applyAlignment="1">
      <alignment horizontal="center"/>
    </xf>
    <xf numFmtId="0" fontId="19" fillId="3" borderId="14" xfId="1" applyFont="1" applyFill="1" applyBorder="1" applyAlignment="1">
      <alignment horizontal="center"/>
    </xf>
    <xf numFmtId="0" fontId="19" fillId="3" borderId="13" xfId="1" applyFont="1" applyFill="1" applyBorder="1" applyAlignment="1">
      <alignment horizontal="center"/>
    </xf>
    <xf numFmtId="0" fontId="19" fillId="3" borderId="12" xfId="1" applyFont="1" applyFill="1" applyBorder="1" applyAlignment="1">
      <alignment horizontal="center"/>
    </xf>
    <xf numFmtId="9" fontId="10" fillId="0" borderId="22" xfId="11" applyFont="1" applyBorder="1" applyAlignment="1">
      <alignment horizontal="center" wrapText="1"/>
    </xf>
    <xf numFmtId="9" fontId="10" fillId="0" borderId="18" xfId="11" applyFont="1" applyBorder="1" applyAlignment="1">
      <alignment horizontal="center"/>
    </xf>
    <xf numFmtId="38" fontId="10" fillId="4" borderId="0" xfId="14" applyNumberFormat="1" applyFont="1" applyFill="1" applyAlignment="1">
      <alignment horizontal="center"/>
    </xf>
  </cellXfs>
  <cellStyles count="17">
    <cellStyle name="Comma 2 2" xfId="8"/>
    <cellStyle name="Comma 4 2" xfId="10"/>
    <cellStyle name="Currency 2 2" xfId="15"/>
    <cellStyle name="Currency 4 2" xfId="13"/>
    <cellStyle name="Currency 9" xfId="2"/>
    <cellStyle name="Normal" xfId="0" builtinId="0"/>
    <cellStyle name="Normal 12 2" xfId="4"/>
    <cellStyle name="Normal 15" xfId="5"/>
    <cellStyle name="Normal 2" xfId="12"/>
    <cellStyle name="Normal 2 2" xfId="14"/>
    <cellStyle name="Normal 3 2" xfId="7"/>
    <cellStyle name="Normal 5 2" xfId="9"/>
    <cellStyle name="Normal 9 2" xfId="1"/>
    <cellStyle name="Percent 10" xfId="3"/>
    <cellStyle name="Percent 12" xfId="6"/>
    <cellStyle name="Percent 2" xfId="11"/>
    <cellStyle name="Percent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Arial Narrow" panose="020B0606020202030204" pitchFamily="34" charset="0"/>
              </a:rPr>
              <a:t>Inside Water Debt</a:t>
            </a:r>
            <a:r>
              <a:rPr lang="en-US" sz="1200" b="1" baseline="0">
                <a:solidFill>
                  <a:schemeClr val="tx1"/>
                </a:solidFill>
                <a:latin typeface="Arial Narrow" panose="020B0606020202030204" pitchFamily="34" charset="0"/>
              </a:rPr>
              <a:t> Service</a:t>
            </a:r>
            <a:endParaRPr lang="en-US" sz="1200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333571488819096"/>
          <c:y val="0.12558479532163744"/>
          <c:w val="0.80302655929823519"/>
          <c:h val="0.64311675952786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'I-Wt debt '!$G$11</c:f>
              <c:strCache>
                <c:ptCount val="1"/>
                <c:pt idx="0">
                  <c:v>Principal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9F-4B15-BCBE-C96975F9E13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9F-4B15-BCBE-C96975F9E13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9F-4B15-BCBE-C96975F9E13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9F-4B15-BCBE-C96975F9E13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89F-4B15-BCBE-C96975F9E13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89F-4B15-BCBE-C96975F9E138}"/>
              </c:ext>
            </c:extLst>
          </c:dPt>
          <c:cat>
            <c:numRef>
              <c:f>'I-Wt debt '!$F$12:$F$16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'I-Wt debt '!$G$12:$G$16</c:f>
              <c:numCache>
                <c:formatCode>#,##0_);\(#,##0\)</c:formatCode>
                <c:ptCount val="5"/>
                <c:pt idx="0">
                  <c:v>125000</c:v>
                </c:pt>
                <c:pt idx="1">
                  <c:v>130000</c:v>
                </c:pt>
                <c:pt idx="2">
                  <c:v>130000</c:v>
                </c:pt>
                <c:pt idx="3">
                  <c:v>173800</c:v>
                </c:pt>
                <c:pt idx="4">
                  <c:v>231400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89F-4B15-BCBE-C96975F9E138}"/>
            </c:ext>
          </c:extLst>
        </c:ser>
        <c:ser>
          <c:idx val="1"/>
          <c:order val="1"/>
          <c:tx>
            <c:strRef>
              <c:f>'I-Wt debt '!$H$11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9F-4B15-BCBE-C96975F9E13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C89F-4B15-BCBE-C96975F9E13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C89F-4B15-BCBE-C96975F9E138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C89F-4B15-BCBE-C96975F9E138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C89F-4B15-BCBE-C96975F9E138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8-C89F-4B15-BCBE-C96975F9E138}"/>
              </c:ext>
            </c:extLst>
          </c:dPt>
          <c:cat>
            <c:numRef>
              <c:f>'I-Wt debt '!$F$12:$F$16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'I-Wt debt '!$H$12:$H$16</c:f>
              <c:numCache>
                <c:formatCode>#,##0_);\(#,##0\)</c:formatCode>
                <c:ptCount val="5"/>
                <c:pt idx="0">
                  <c:v>21887.5</c:v>
                </c:pt>
                <c:pt idx="1">
                  <c:v>31047.836000000003</c:v>
                </c:pt>
                <c:pt idx="2">
                  <c:v>75350.5</c:v>
                </c:pt>
                <c:pt idx="3">
                  <c:v>78708.147999999986</c:v>
                </c:pt>
                <c:pt idx="4">
                  <c:v>83357.004000000015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C89F-4B15-BCBE-C96975F9E138}"/>
            </c:ext>
          </c:extLst>
        </c:ser>
        <c:ser>
          <c:idx val="2"/>
          <c:order val="2"/>
          <c:tx>
            <c:strRef>
              <c:f>'I-Wt debt '!$I$11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89F-4B15-BCBE-C96975F9E13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C89F-4B15-BCBE-C96975F9E138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C89F-4B15-BCBE-C96975F9E138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C89F-4B15-BCBE-C96975F9E138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C89F-4B15-BCBE-C96975F9E138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C89F-4B15-BCBE-C96975F9E138}"/>
              </c:ext>
            </c:extLst>
          </c:dPt>
          <c:cat>
            <c:numRef>
              <c:f>'I-Wt debt '!$F$12:$F$16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'I-Wt debt '!$I$12:$I$16</c:f>
              <c:numCache>
                <c:formatCode>_(* #,##0_);_(* \(#,##0\);_(* "-"??_);_(@_)</c:formatCode>
                <c:ptCount val="5"/>
                <c:pt idx="0">
                  <c:v>146887.5</c:v>
                </c:pt>
                <c:pt idx="1">
                  <c:v>161047.83600000001</c:v>
                </c:pt>
                <c:pt idx="2">
                  <c:v>205350.5</c:v>
                </c:pt>
                <c:pt idx="3">
                  <c:v>252508.14799999999</c:v>
                </c:pt>
                <c:pt idx="4">
                  <c:v>314757.00400000002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C89F-4B15-BCBE-C96975F9E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-25"/>
        <c:axId val="44113280"/>
        <c:axId val="44131456"/>
      </c:barChart>
      <c:catAx>
        <c:axId val="441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4131456"/>
        <c:crosses val="autoZero"/>
        <c:auto val="1"/>
        <c:lblAlgn val="ctr"/>
        <c:lblOffset val="100"/>
        <c:noMultiLvlLbl val="0"/>
      </c:catAx>
      <c:valAx>
        <c:axId val="44131456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4113280"/>
        <c:crosses val="autoZero"/>
        <c:crossBetween val="between"/>
        <c:majorUnit val="100000"/>
      </c:valAx>
      <c:spPr>
        <a:solidFill>
          <a:schemeClr val="bg1"/>
        </a:solidFill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17</xdr:row>
      <xdr:rowOff>0</xdr:rowOff>
    </xdr:from>
    <xdr:to>
      <xdr:col>11</xdr:col>
      <xdr:colOff>175260</xdr:colOff>
      <xdr:row>31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1716EC2-3C62-4C89-A90D-DE5188739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34f1e6dc7e755e2/Documents/My%20Documents/RateStudies/Pikeville%20PSC/Pikeville%20COS%204%20A%20-%20Wholesale%20Final%20-%20Copy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wner/Documents/My%20Documents/RateStudies/Dayton/Option%203%20no%20Pikeville,%20new%20ind,%20new%20WW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Wt debt (2)"/>
      <sheetName val="Sheet2 (2)"/>
      <sheetName val="Meters"/>
      <sheetName val="I-Wt Exp F&amp;V (3)"/>
      <sheetName val="Sheet1"/>
      <sheetName val="Rev Proj"/>
      <sheetName val="I-Wt debt"/>
      <sheetName val="I-Wt exp"/>
      <sheetName val="I-Wt Exp F&amp;V"/>
      <sheetName val="Dep &amp; Debt (2)"/>
      <sheetName val="I-Wt Base"/>
      <sheetName val="I-Wt Alloc"/>
      <sheetName val="Sheet2"/>
      <sheetName val="I-Wt dist"/>
      <sheetName val="I-Wt Cash A"/>
      <sheetName val="I-Wt Cash A (2)"/>
      <sheetName val="Sheet3 (2)"/>
      <sheetName val="wt-Proj"/>
      <sheetName val="Sw-Proj"/>
      <sheetName val="I-Wt cap imp"/>
      <sheetName val="O-Wt cap imp"/>
      <sheetName val="I-Sw cap imp"/>
      <sheetName val="O-Sw cap imp"/>
      <sheetName val="I-Wt DepA"/>
      <sheetName val="I-Sw DepA"/>
      <sheetName val="O-Wt debt"/>
      <sheetName val="I-SW debt"/>
      <sheetName val="O-Sw debt"/>
      <sheetName val="Exp Summary"/>
      <sheetName val="I-Wt Cash A (3)"/>
      <sheetName val="I-Wt Proj"/>
      <sheetName val="I-Wt Cash"/>
      <sheetName val="I-Wt Cash (2)"/>
      <sheetName val="I-Wt Cash Chart"/>
      <sheetName val="O-Wt Cash"/>
      <sheetName val="O-Wt Cash Chart"/>
      <sheetName val="I-Sw Cash"/>
      <sheetName val="I-SW Cash Chart"/>
      <sheetName val="O-Sw Cash"/>
      <sheetName val="O-Sw Cash Chart"/>
      <sheetName val="I-Wt Net Position"/>
      <sheetName val="O-Wt Net Position"/>
      <sheetName val="I-Sw Net Position"/>
      <sheetName val="O-Sw Net Position"/>
      <sheetName val="DSCR"/>
      <sheetName val="I-Wt Cash Chart (2)"/>
      <sheetName val="I-Wt Net Position (2)"/>
      <sheetName val="DSCR 1"/>
      <sheetName val="O-Wt Cash (2)"/>
      <sheetName val="O-Wt Cash Chart (2)"/>
      <sheetName val="O-Wt Net Position (2)"/>
      <sheetName val="DSCR 2"/>
      <sheetName val="profile 1 (2)"/>
      <sheetName val="profile 2 (2)"/>
      <sheetName val="profile 3 (2)"/>
      <sheetName val="I-Wt Comparison"/>
      <sheetName val="Sw Comparison"/>
      <sheetName val="Rates 2 (3)"/>
      <sheetName val="Wholesale"/>
      <sheetName val="Rates 2 (4)"/>
      <sheetName val="Rates 2 (5)"/>
      <sheetName val="I-Wt inc"/>
      <sheetName val="I-Sw Proj"/>
      <sheetName val="I-Sw inc"/>
      <sheetName val="I-Sw exp"/>
      <sheetName val="I-Sw Cash (2)"/>
      <sheetName val="I-SW Cash Chart (2)"/>
      <sheetName val="I-Sw Net Position (2)"/>
      <sheetName val="I-Sw DSCR"/>
      <sheetName val="O-Wt Proj"/>
      <sheetName val="O-Wt inc"/>
      <sheetName val="O-Wt exp"/>
      <sheetName val="O-Wt Dep"/>
      <sheetName val="generic 20 (4)"/>
      <sheetName val="O-Wt DepA"/>
      <sheetName val="O-Wt DSCR"/>
      <sheetName val="O-Sw Proj"/>
      <sheetName val="O-Sw inc"/>
      <sheetName val="O-Sw exp"/>
      <sheetName val="O-Sw DepA"/>
      <sheetName val="O-Sw Dep"/>
      <sheetName val="O-Sw Cash (2)"/>
      <sheetName val="O-Sw Net Position (2)"/>
      <sheetName val="O-Sw DSCR"/>
      <sheetName val="I-WtSw comp. fees"/>
      <sheetName val="cpi-u chart"/>
      <sheetName val="I-I"/>
      <sheetName val="CIP-U"/>
      <sheetName val="BLS Data Series"/>
      <sheetName val="R&amp;C"/>
      <sheetName val="Sheet7"/>
      <sheetName val="I-Wt Dep"/>
      <sheetName val="generic 40 (2)"/>
      <sheetName val="generic 40 (1)"/>
      <sheetName val="Loans"/>
      <sheetName val="I-Wt Res &amp; Comm"/>
      <sheetName val="I-Wt Res Rate"/>
      <sheetName val="I-Sw Res Rate"/>
      <sheetName val="generic 20 (3)"/>
      <sheetName val="I-SW Dep"/>
      <sheetName val="generic 12"/>
      <sheetName val="ACTUAL I-Wt"/>
      <sheetName val="Complete Report I-Wt"/>
      <sheetName val="Rainfall"/>
      <sheetName val="Actual I-Sw"/>
      <sheetName val="Complete Report I-Sw"/>
      <sheetName val="Actual O-wt"/>
      <sheetName val="Complete Report O-wt"/>
      <sheetName val="Actual O-Sw"/>
      <sheetName val="Complete Report O-Sw"/>
      <sheetName val="I-Wt 2017"/>
    </sheetNames>
    <sheetDataSet>
      <sheetData sheetId="0"/>
      <sheetData sheetId="1"/>
      <sheetData sheetId="2"/>
      <sheetData sheetId="3"/>
      <sheetData sheetId="4"/>
      <sheetData sheetId="5">
        <row r="9">
          <cell r="F9">
            <v>729785.4</v>
          </cell>
        </row>
      </sheetData>
      <sheetData sheetId="6">
        <row r="6">
          <cell r="D6">
            <v>148362.5</v>
          </cell>
        </row>
      </sheetData>
      <sheetData sheetId="7"/>
      <sheetData sheetId="8">
        <row r="30">
          <cell r="K30">
            <v>119758.11300000001</v>
          </cell>
        </row>
      </sheetData>
      <sheetData sheetId="9"/>
      <sheetData sheetId="10">
        <row r="3">
          <cell r="I3">
            <v>463.4</v>
          </cell>
        </row>
      </sheetData>
      <sheetData sheetId="11">
        <row r="17">
          <cell r="C17">
            <v>205728.98214000004</v>
          </cell>
        </row>
      </sheetData>
      <sheetData sheetId="12">
        <row r="12">
          <cell r="B12">
            <v>362721.81381227949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18">
          <cell r="A18" t="str">
            <v>Water Lines</v>
          </cell>
        </row>
        <row r="72">
          <cell r="A72" t="str">
            <v>Pump Stations &amp; Tanks</v>
          </cell>
        </row>
        <row r="98">
          <cell r="A98" t="str">
            <v>Water Plant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2)"/>
      <sheetName val="Summary A (2)"/>
      <sheetName val="Sheet5"/>
      <sheetName val="Sheet2 (2)"/>
      <sheetName val="Sheet2"/>
      <sheetName val="Cover"/>
      <sheetName val="Total WtSw"/>
      <sheetName val="WtCharts"/>
      <sheetName val="Sw Charts"/>
      <sheetName val=" Cap Imp"/>
      <sheetName val="Dep (2)"/>
      <sheetName val="wt debt"/>
      <sheetName val="sw debt"/>
      <sheetName val="WtSw exp"/>
      <sheetName val="Wt Cash B"/>
      <sheetName val="Sw Cash B"/>
      <sheetName val="Wt Net B"/>
      <sheetName val="Sw Net B"/>
      <sheetName val="Sw Cash C"/>
      <sheetName val="Sw Net C"/>
      <sheetName val="WtSw Cash B"/>
      <sheetName val="WtSw Net B"/>
      <sheetName val="WtSw Cash C"/>
      <sheetName val="WtSw Net C"/>
      <sheetName val="Sw minimum bill"/>
      <sheetName val="Sw cost dist"/>
      <sheetName val="Sw Cost Alloc"/>
      <sheetName val="Wt comp chart"/>
      <sheetName val="Wt minimum bill"/>
      <sheetName val="Wt cost dist"/>
      <sheetName val="Wt cost alloc"/>
      <sheetName val="Ind. chart"/>
      <sheetName val="Wt Cash A"/>
      <sheetName val="Wt Cash C"/>
      <sheetName val="Wt Net A"/>
      <sheetName val="Wt Net C"/>
      <sheetName val="Sw Cash A"/>
      <sheetName val="Sw Net A"/>
      <sheetName val="WtSw Cash A"/>
      <sheetName val="WtSw Net A"/>
      <sheetName val="Misc Inc"/>
      <sheetName val="Water"/>
      <sheetName val="Wt inc"/>
      <sheetName val="Wt exp"/>
      <sheetName val="Wt Dep"/>
      <sheetName val="Sewer"/>
      <sheetName val="Sw inc"/>
      <sheetName val="Sw exp"/>
      <sheetName val="Sw Dep"/>
      <sheetName val="generic 40 A"/>
      <sheetName val="generic 40 B"/>
      <sheetName val="Wt cost of service"/>
      <sheetName val="Sheet1 (2)"/>
      <sheetName val="Sheet3"/>
      <sheetName val="Sheet1"/>
      <sheetName val="Sw cost of service"/>
      <sheetName val="Wt Rates"/>
      <sheetName val="Summary"/>
      <sheetName val="WtSw Summary"/>
      <sheetName val="comp. fees (3)"/>
      <sheetName val="Sheet10"/>
      <sheetName val="Rainfall"/>
      <sheetName val="WtSw 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 t="str">
            <v>Water Treatment Plant</v>
          </cell>
        </row>
        <row r="6">
          <cell r="A6" t="str">
            <v>Distribution System</v>
          </cell>
        </row>
      </sheetData>
      <sheetData sheetId="29">
        <row r="5">
          <cell r="A5" t="str">
            <v>Water Treatment Plant</v>
          </cell>
        </row>
        <row r="6">
          <cell r="A6" t="str">
            <v>Distribution System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5"/>
  <sheetViews>
    <sheetView showGridLines="0" workbookViewId="0">
      <selection activeCell="E8" sqref="E8"/>
    </sheetView>
  </sheetViews>
  <sheetFormatPr defaultColWidth="8.85546875" defaultRowHeight="15.75" x14ac:dyDescent="0.25"/>
  <cols>
    <col min="1" max="2" width="8.85546875" style="41"/>
    <col min="3" max="3" width="11.85546875" style="41" customWidth="1"/>
    <col min="4" max="4" width="28.5703125" style="41" customWidth="1"/>
    <col min="5" max="5" width="11.7109375" style="41" customWidth="1"/>
    <col min="6" max="6" width="26" style="41" customWidth="1"/>
    <col min="7" max="16384" width="8.85546875" style="41"/>
  </cols>
  <sheetData>
    <row r="2" spans="3:7" ht="16.149999999999999" thickBot="1" x14ac:dyDescent="0.35"/>
    <row r="3" spans="3:7" ht="16.149999999999999" thickBot="1" x14ac:dyDescent="0.35">
      <c r="C3" s="355" t="s">
        <v>66</v>
      </c>
      <c r="D3" s="356"/>
      <c r="E3" s="357"/>
    </row>
    <row r="4" spans="3:7" ht="15.6" x14ac:dyDescent="0.3">
      <c r="C4" s="55" t="s">
        <v>65</v>
      </c>
      <c r="D4" s="54" t="s">
        <v>64</v>
      </c>
      <c r="E4" s="53" t="s">
        <v>63</v>
      </c>
    </row>
    <row r="5" spans="3:7" ht="15.6" x14ac:dyDescent="0.3">
      <c r="C5" s="50" t="s">
        <v>62</v>
      </c>
      <c r="D5" s="48" t="s">
        <v>61</v>
      </c>
      <c r="E5" s="47" t="s">
        <v>60</v>
      </c>
    </row>
    <row r="6" spans="3:7" ht="15.6" x14ac:dyDescent="0.3">
      <c r="C6" s="50" t="s">
        <v>59</v>
      </c>
      <c r="D6" s="48" t="s">
        <v>58</v>
      </c>
      <c r="E6" s="47" t="s">
        <v>57</v>
      </c>
    </row>
    <row r="7" spans="3:7" ht="15.6" x14ac:dyDescent="0.3">
      <c r="C7" s="50" t="s">
        <v>56</v>
      </c>
      <c r="D7" s="48" t="s">
        <v>55</v>
      </c>
      <c r="E7" s="47" t="s">
        <v>41</v>
      </c>
    </row>
    <row r="8" spans="3:7" ht="15.6" x14ac:dyDescent="0.3">
      <c r="C8" s="50" t="s">
        <v>54</v>
      </c>
      <c r="D8" s="52" t="s">
        <v>53</v>
      </c>
      <c r="E8" s="51" t="s">
        <v>41</v>
      </c>
    </row>
    <row r="9" spans="3:7" ht="15.6" x14ac:dyDescent="0.3">
      <c r="C9" s="50" t="s">
        <v>52</v>
      </c>
      <c r="D9" s="48" t="s">
        <v>51</v>
      </c>
      <c r="E9" s="47" t="s">
        <v>46</v>
      </c>
    </row>
    <row r="10" spans="3:7" ht="15.6" x14ac:dyDescent="0.3">
      <c r="C10" s="50" t="s">
        <v>50</v>
      </c>
      <c r="D10" s="48" t="s">
        <v>49</v>
      </c>
      <c r="E10" s="47" t="s">
        <v>46</v>
      </c>
    </row>
    <row r="11" spans="3:7" ht="15.6" x14ac:dyDescent="0.3">
      <c r="C11" s="50" t="s">
        <v>48</v>
      </c>
      <c r="D11" s="48" t="s">
        <v>47</v>
      </c>
      <c r="E11" s="47" t="s">
        <v>46</v>
      </c>
    </row>
    <row r="12" spans="3:7" ht="15.6" x14ac:dyDescent="0.3">
      <c r="C12" s="50" t="s">
        <v>45</v>
      </c>
      <c r="D12" s="48" t="s">
        <v>44</v>
      </c>
      <c r="E12" s="47" t="s">
        <v>41</v>
      </c>
    </row>
    <row r="13" spans="3:7" ht="15.6" x14ac:dyDescent="0.3">
      <c r="C13" s="49" t="s">
        <v>43</v>
      </c>
      <c r="D13" s="48" t="s">
        <v>42</v>
      </c>
      <c r="E13" s="47" t="s">
        <v>41</v>
      </c>
    </row>
    <row r="14" spans="3:7" ht="16.149999999999999" thickBot="1" x14ac:dyDescent="0.35">
      <c r="C14" s="46" t="s">
        <v>40</v>
      </c>
      <c r="D14" s="45" t="s">
        <v>39</v>
      </c>
      <c r="E14" s="44" t="s">
        <v>38</v>
      </c>
    </row>
    <row r="15" spans="3:7" ht="15.6" x14ac:dyDescent="0.3">
      <c r="F15" s="43"/>
      <c r="G15" s="42"/>
    </row>
  </sheetData>
  <mergeCells count="1">
    <mergeCell ref="C3:E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zoomScaleNormal="100" workbookViewId="0">
      <pane xSplit="2" topLeftCell="C1" activePane="topRight" state="frozen"/>
      <selection activeCell="F23" sqref="F23"/>
      <selection pane="topRight" activeCell="B30" sqref="B30"/>
    </sheetView>
  </sheetViews>
  <sheetFormatPr defaultColWidth="8.85546875" defaultRowHeight="12.75" x14ac:dyDescent="0.2"/>
  <cols>
    <col min="1" max="1" width="15.5703125" style="1" bestFit="1" customWidth="1"/>
    <col min="2" max="2" width="8.42578125" style="4" bestFit="1" customWidth="1"/>
    <col min="3" max="5" width="5.7109375" style="3" bestFit="1" customWidth="1"/>
    <col min="6" max="6" width="5.7109375" style="3" customWidth="1"/>
    <col min="7" max="7" width="1.7109375" style="1" customWidth="1"/>
    <col min="8" max="8" width="7.140625" style="1" bestFit="1" customWidth="1"/>
    <col min="9" max="9" width="5.7109375" style="3" bestFit="1" customWidth="1"/>
    <col min="10" max="10" width="7" style="3" bestFit="1" customWidth="1"/>
    <col min="11" max="11" width="8.28515625" style="2" bestFit="1" customWidth="1"/>
    <col min="12" max="12" width="8.140625" style="2" bestFit="1" customWidth="1"/>
    <col min="13" max="13" width="1.5703125" style="2" customWidth="1"/>
    <col min="14" max="14" width="7.140625" style="1" bestFit="1" customWidth="1"/>
    <col min="15" max="15" width="5.7109375" style="1" bestFit="1" customWidth="1"/>
    <col min="16" max="16" width="7" style="1" bestFit="1" customWidth="1"/>
    <col min="17" max="17" width="7.28515625" style="1" bestFit="1" customWidth="1"/>
    <col min="18" max="18" width="8.28515625" style="1" bestFit="1" customWidth="1"/>
    <col min="19" max="19" width="1.42578125" style="1" customWidth="1"/>
    <col min="20" max="20" width="8.42578125" style="1" bestFit="1" customWidth="1"/>
    <col min="21" max="21" width="5.7109375" style="1" bestFit="1" customWidth="1"/>
    <col min="22" max="22" width="7" style="1" bestFit="1" customWidth="1"/>
    <col min="23" max="23" width="7.28515625" style="1" bestFit="1" customWidth="1"/>
    <col min="24" max="24" width="8.42578125" style="1" bestFit="1" customWidth="1"/>
    <col min="25" max="16384" width="8.85546875" style="1"/>
  </cols>
  <sheetData>
    <row r="1" spans="1:24" ht="16.149999999999999" thickBot="1" x14ac:dyDescent="0.35">
      <c r="A1" s="359" t="s">
        <v>37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1"/>
    </row>
    <row r="2" spans="1:24" ht="13.9" x14ac:dyDescent="0.3">
      <c r="A2" s="27"/>
      <c r="B2" s="1"/>
      <c r="C2" s="362" t="s">
        <v>1</v>
      </c>
      <c r="D2" s="362"/>
      <c r="E2" s="362"/>
      <c r="F2" s="40"/>
      <c r="H2" s="363" t="s">
        <v>36</v>
      </c>
      <c r="I2" s="364"/>
      <c r="J2" s="364"/>
      <c r="K2" s="364"/>
      <c r="L2" s="365"/>
      <c r="M2" s="39"/>
      <c r="N2" s="363" t="s">
        <v>35</v>
      </c>
      <c r="O2" s="364"/>
      <c r="P2" s="364"/>
      <c r="Q2" s="364"/>
      <c r="R2" s="365"/>
      <c r="T2" s="363" t="s">
        <v>34</v>
      </c>
      <c r="U2" s="364"/>
      <c r="V2" s="364"/>
      <c r="W2" s="364"/>
      <c r="X2" s="365"/>
    </row>
    <row r="3" spans="1:24" s="3" customFormat="1" ht="13.9" x14ac:dyDescent="0.3">
      <c r="A3" s="38">
        <v>2017</v>
      </c>
      <c r="B3" s="33" t="s">
        <v>30</v>
      </c>
      <c r="C3" s="33" t="s">
        <v>33</v>
      </c>
      <c r="D3" s="33" t="s">
        <v>32</v>
      </c>
      <c r="E3" s="33" t="s">
        <v>31</v>
      </c>
      <c r="F3" s="37"/>
      <c r="H3" s="34" t="s">
        <v>30</v>
      </c>
      <c r="I3" s="33" t="s">
        <v>29</v>
      </c>
      <c r="J3" s="33" t="s">
        <v>28</v>
      </c>
      <c r="K3" s="32" t="s">
        <v>29</v>
      </c>
      <c r="L3" s="31" t="s">
        <v>28</v>
      </c>
      <c r="M3" s="36"/>
      <c r="N3" s="34" t="s">
        <v>30</v>
      </c>
      <c r="O3" s="33" t="s">
        <v>29</v>
      </c>
      <c r="P3" s="33" t="s">
        <v>28</v>
      </c>
      <c r="Q3" s="32" t="s">
        <v>29</v>
      </c>
      <c r="R3" s="31" t="s">
        <v>28</v>
      </c>
      <c r="S3" s="35"/>
      <c r="T3" s="34" t="s">
        <v>30</v>
      </c>
      <c r="U3" s="33" t="s">
        <v>29</v>
      </c>
      <c r="V3" s="33" t="s">
        <v>28</v>
      </c>
      <c r="W3" s="32" t="s">
        <v>29</v>
      </c>
      <c r="X3" s="31" t="s">
        <v>28</v>
      </c>
    </row>
    <row r="4" spans="1:24" ht="13.9" x14ac:dyDescent="0.3">
      <c r="A4" s="27" t="s">
        <v>27</v>
      </c>
      <c r="B4" s="26">
        <v>144173.71</v>
      </c>
      <c r="C4" s="6">
        <v>0</v>
      </c>
      <c r="D4" s="6">
        <v>0.1</v>
      </c>
      <c r="E4" s="6">
        <v>0.9</v>
      </c>
      <c r="F4" s="25">
        <f t="shared" ref="F4:F29" si="0">SUM(C4:E4)</f>
        <v>1</v>
      </c>
      <c r="H4" s="30">
        <f t="shared" ref="H4:H29" si="1">+$B4*C4</f>
        <v>0</v>
      </c>
      <c r="I4" s="6">
        <v>1</v>
      </c>
      <c r="J4" s="6">
        <f t="shared" ref="J4:J29" si="2">IF(I4=0,100%,1-I4)</f>
        <v>0</v>
      </c>
      <c r="K4" s="29">
        <f t="shared" ref="K4:K29" si="3">+H4*I4</f>
        <v>0</v>
      </c>
      <c r="L4" s="28">
        <f t="shared" ref="L4:L29" si="4">+H4*J4</f>
        <v>0</v>
      </c>
      <c r="M4" s="24"/>
      <c r="N4" s="30">
        <f t="shared" ref="N4:N29" si="5">+$B4*D4</f>
        <v>14417.370999999999</v>
      </c>
      <c r="O4" s="6">
        <v>0.5</v>
      </c>
      <c r="P4" s="6">
        <f t="shared" ref="P4:P29" si="6">IF(O4=0,100%,1-O4)</f>
        <v>0.5</v>
      </c>
      <c r="Q4" s="29">
        <f t="shared" ref="Q4:Q29" si="7">+N4*O4</f>
        <v>7208.6854999999996</v>
      </c>
      <c r="R4" s="28">
        <f t="shared" ref="R4:R29" si="8">+N4*P4</f>
        <v>7208.6854999999996</v>
      </c>
      <c r="S4" s="2"/>
      <c r="T4" s="30">
        <f t="shared" ref="T4:T29" si="9">+$B4*E4</f>
        <v>129756.33899999999</v>
      </c>
      <c r="U4" s="6">
        <v>0.2</v>
      </c>
      <c r="V4" s="6">
        <f t="shared" ref="V4:V29" si="10">IF(U4=0,100%,1-U4)</f>
        <v>0.8</v>
      </c>
      <c r="W4" s="29">
        <f t="shared" ref="W4:W29" si="11">+T4*U4</f>
        <v>25951.267800000001</v>
      </c>
      <c r="X4" s="28">
        <f t="shared" ref="X4:X29" si="12">+T4*V4</f>
        <v>103805.07120000001</v>
      </c>
    </row>
    <row r="5" spans="1:24" ht="13.9" x14ac:dyDescent="0.3">
      <c r="A5" s="27" t="s">
        <v>26</v>
      </c>
      <c r="B5" s="26">
        <v>3889.81</v>
      </c>
      <c r="C5" s="6">
        <v>1</v>
      </c>
      <c r="D5" s="6">
        <v>0</v>
      </c>
      <c r="E5" s="6">
        <v>0</v>
      </c>
      <c r="F5" s="25">
        <f t="shared" si="0"/>
        <v>1</v>
      </c>
      <c r="H5" s="30">
        <f t="shared" si="1"/>
        <v>3889.81</v>
      </c>
      <c r="I5" s="6">
        <v>1</v>
      </c>
      <c r="J5" s="6">
        <f t="shared" si="2"/>
        <v>0</v>
      </c>
      <c r="K5" s="29">
        <f t="shared" si="3"/>
        <v>3889.81</v>
      </c>
      <c r="L5" s="28">
        <f t="shared" si="4"/>
        <v>0</v>
      </c>
      <c r="M5" s="24"/>
      <c r="N5" s="30">
        <f t="shared" si="5"/>
        <v>0</v>
      </c>
      <c r="O5" s="6">
        <v>0</v>
      </c>
      <c r="P5" s="6">
        <f t="shared" si="6"/>
        <v>1</v>
      </c>
      <c r="Q5" s="29">
        <f t="shared" si="7"/>
        <v>0</v>
      </c>
      <c r="R5" s="28">
        <f t="shared" si="8"/>
        <v>0</v>
      </c>
      <c r="S5" s="2"/>
      <c r="T5" s="30">
        <f t="shared" si="9"/>
        <v>0</v>
      </c>
      <c r="U5" s="6">
        <v>0</v>
      </c>
      <c r="V5" s="6">
        <f t="shared" si="10"/>
        <v>1</v>
      </c>
      <c r="W5" s="29">
        <f t="shared" si="11"/>
        <v>0</v>
      </c>
      <c r="X5" s="28">
        <f t="shared" si="12"/>
        <v>0</v>
      </c>
    </row>
    <row r="6" spans="1:24" ht="13.9" x14ac:dyDescent="0.3">
      <c r="A6" s="27" t="s">
        <v>25</v>
      </c>
      <c r="B6" s="26">
        <v>867.77</v>
      </c>
      <c r="C6" s="6">
        <v>1</v>
      </c>
      <c r="D6" s="6">
        <v>0</v>
      </c>
      <c r="E6" s="6">
        <v>0</v>
      </c>
      <c r="F6" s="25">
        <f t="shared" si="0"/>
        <v>1</v>
      </c>
      <c r="H6" s="30">
        <f t="shared" si="1"/>
        <v>867.77</v>
      </c>
      <c r="I6" s="6">
        <v>1</v>
      </c>
      <c r="J6" s="6">
        <f t="shared" si="2"/>
        <v>0</v>
      </c>
      <c r="K6" s="29">
        <f t="shared" si="3"/>
        <v>867.77</v>
      </c>
      <c r="L6" s="28">
        <f t="shared" si="4"/>
        <v>0</v>
      </c>
      <c r="M6" s="24"/>
      <c r="N6" s="30">
        <f t="shared" si="5"/>
        <v>0</v>
      </c>
      <c r="O6" s="6">
        <v>0</v>
      </c>
      <c r="P6" s="6">
        <f t="shared" si="6"/>
        <v>1</v>
      </c>
      <c r="Q6" s="29">
        <f t="shared" si="7"/>
        <v>0</v>
      </c>
      <c r="R6" s="28">
        <f t="shared" si="8"/>
        <v>0</v>
      </c>
      <c r="S6" s="2"/>
      <c r="T6" s="30">
        <f t="shared" si="9"/>
        <v>0</v>
      </c>
      <c r="U6" s="6">
        <v>0</v>
      </c>
      <c r="V6" s="6">
        <f t="shared" si="10"/>
        <v>1</v>
      </c>
      <c r="W6" s="29">
        <f t="shared" si="11"/>
        <v>0</v>
      </c>
      <c r="X6" s="28">
        <f t="shared" si="12"/>
        <v>0</v>
      </c>
    </row>
    <row r="7" spans="1:24" ht="13.9" x14ac:dyDescent="0.3">
      <c r="A7" s="27" t="s">
        <v>24</v>
      </c>
      <c r="B7" s="26">
        <v>850</v>
      </c>
      <c r="C7" s="6">
        <v>1</v>
      </c>
      <c r="D7" s="6">
        <v>0</v>
      </c>
      <c r="E7" s="6">
        <v>0</v>
      </c>
      <c r="F7" s="25">
        <f t="shared" si="0"/>
        <v>1</v>
      </c>
      <c r="H7" s="30">
        <f t="shared" si="1"/>
        <v>850</v>
      </c>
      <c r="I7" s="6">
        <v>1</v>
      </c>
      <c r="J7" s="6">
        <f t="shared" si="2"/>
        <v>0</v>
      </c>
      <c r="K7" s="29">
        <f t="shared" si="3"/>
        <v>850</v>
      </c>
      <c r="L7" s="28">
        <f t="shared" si="4"/>
        <v>0</v>
      </c>
      <c r="M7" s="24"/>
      <c r="N7" s="30">
        <f t="shared" si="5"/>
        <v>0</v>
      </c>
      <c r="O7" s="6">
        <v>1</v>
      </c>
      <c r="P7" s="6">
        <f t="shared" si="6"/>
        <v>0</v>
      </c>
      <c r="Q7" s="29">
        <f t="shared" si="7"/>
        <v>0</v>
      </c>
      <c r="R7" s="28">
        <f t="shared" si="8"/>
        <v>0</v>
      </c>
      <c r="S7" s="2"/>
      <c r="T7" s="30">
        <f t="shared" si="9"/>
        <v>0</v>
      </c>
      <c r="U7" s="6">
        <v>0</v>
      </c>
      <c r="V7" s="6">
        <f t="shared" si="10"/>
        <v>1</v>
      </c>
      <c r="W7" s="29">
        <f t="shared" si="11"/>
        <v>0</v>
      </c>
      <c r="X7" s="28">
        <f t="shared" si="12"/>
        <v>0</v>
      </c>
    </row>
    <row r="8" spans="1:24" ht="13.9" x14ac:dyDescent="0.3">
      <c r="A8" s="27" t="s">
        <v>23</v>
      </c>
      <c r="B8" s="26">
        <v>1349.44</v>
      </c>
      <c r="C8" s="6">
        <v>1</v>
      </c>
      <c r="D8" s="6">
        <v>0</v>
      </c>
      <c r="E8" s="6">
        <v>0</v>
      </c>
      <c r="F8" s="25">
        <f t="shared" si="0"/>
        <v>1</v>
      </c>
      <c r="H8" s="30">
        <f t="shared" si="1"/>
        <v>1349.44</v>
      </c>
      <c r="I8" s="6">
        <v>1</v>
      </c>
      <c r="J8" s="6">
        <f t="shared" si="2"/>
        <v>0</v>
      </c>
      <c r="K8" s="29">
        <f t="shared" si="3"/>
        <v>1349.44</v>
      </c>
      <c r="L8" s="28">
        <f t="shared" si="4"/>
        <v>0</v>
      </c>
      <c r="M8" s="24"/>
      <c r="N8" s="30">
        <f t="shared" si="5"/>
        <v>0</v>
      </c>
      <c r="O8" s="6">
        <v>0</v>
      </c>
      <c r="P8" s="6">
        <f t="shared" si="6"/>
        <v>1</v>
      </c>
      <c r="Q8" s="29">
        <f t="shared" si="7"/>
        <v>0</v>
      </c>
      <c r="R8" s="28">
        <f t="shared" si="8"/>
        <v>0</v>
      </c>
      <c r="S8" s="2"/>
      <c r="T8" s="30">
        <f t="shared" si="9"/>
        <v>0</v>
      </c>
      <c r="U8" s="6">
        <v>0</v>
      </c>
      <c r="V8" s="6">
        <f t="shared" si="10"/>
        <v>1</v>
      </c>
      <c r="W8" s="29">
        <f t="shared" si="11"/>
        <v>0</v>
      </c>
      <c r="X8" s="28">
        <f t="shared" si="12"/>
        <v>0</v>
      </c>
    </row>
    <row r="9" spans="1:24" ht="13.9" x14ac:dyDescent="0.3">
      <c r="A9" s="27" t="s">
        <v>22</v>
      </c>
      <c r="B9" s="26">
        <v>2443.0300000000002</v>
      </c>
      <c r="C9" s="6">
        <v>0</v>
      </c>
      <c r="D9" s="6">
        <v>0.1</v>
      </c>
      <c r="E9" s="6">
        <v>0.9</v>
      </c>
      <c r="F9" s="25">
        <f t="shared" si="0"/>
        <v>1</v>
      </c>
      <c r="H9" s="30">
        <f t="shared" si="1"/>
        <v>0</v>
      </c>
      <c r="I9" s="6">
        <v>1</v>
      </c>
      <c r="J9" s="6">
        <f t="shared" si="2"/>
        <v>0</v>
      </c>
      <c r="K9" s="29">
        <f t="shared" si="3"/>
        <v>0</v>
      </c>
      <c r="L9" s="28">
        <f t="shared" si="4"/>
        <v>0</v>
      </c>
      <c r="M9" s="24"/>
      <c r="N9" s="30">
        <f t="shared" si="5"/>
        <v>244.30300000000003</v>
      </c>
      <c r="O9" s="6">
        <v>1</v>
      </c>
      <c r="P9" s="6">
        <f t="shared" si="6"/>
        <v>0</v>
      </c>
      <c r="Q9" s="29">
        <f t="shared" si="7"/>
        <v>244.30300000000003</v>
      </c>
      <c r="R9" s="28">
        <f t="shared" si="8"/>
        <v>0</v>
      </c>
      <c r="S9" s="2"/>
      <c r="T9" s="30">
        <f t="shared" si="9"/>
        <v>2198.7270000000003</v>
      </c>
      <c r="U9" s="6">
        <v>1</v>
      </c>
      <c r="V9" s="6">
        <f t="shared" si="10"/>
        <v>0</v>
      </c>
      <c r="W9" s="29">
        <f t="shared" si="11"/>
        <v>2198.7270000000003</v>
      </c>
      <c r="X9" s="28">
        <f t="shared" si="12"/>
        <v>0</v>
      </c>
    </row>
    <row r="10" spans="1:24" ht="13.9" x14ac:dyDescent="0.3">
      <c r="A10" s="27" t="s">
        <v>21</v>
      </c>
      <c r="B10" s="26">
        <v>26436.47</v>
      </c>
      <c r="C10" s="6">
        <v>0.1</v>
      </c>
      <c r="D10" s="6">
        <v>0.3</v>
      </c>
      <c r="E10" s="6">
        <v>0.6</v>
      </c>
      <c r="F10" s="25">
        <f t="shared" si="0"/>
        <v>1</v>
      </c>
      <c r="H10" s="30">
        <f t="shared" si="1"/>
        <v>2643.6470000000004</v>
      </c>
      <c r="I10" s="6">
        <v>1</v>
      </c>
      <c r="J10" s="6">
        <f t="shared" si="2"/>
        <v>0</v>
      </c>
      <c r="K10" s="29">
        <f t="shared" si="3"/>
        <v>2643.6470000000004</v>
      </c>
      <c r="L10" s="28">
        <f t="shared" si="4"/>
        <v>0</v>
      </c>
      <c r="M10" s="24"/>
      <c r="N10" s="30">
        <f t="shared" si="5"/>
        <v>7930.9409999999998</v>
      </c>
      <c r="O10" s="6">
        <v>1</v>
      </c>
      <c r="P10" s="6">
        <f t="shared" si="6"/>
        <v>0</v>
      </c>
      <c r="Q10" s="29">
        <f t="shared" si="7"/>
        <v>7930.9409999999998</v>
      </c>
      <c r="R10" s="28">
        <f t="shared" si="8"/>
        <v>0</v>
      </c>
      <c r="S10" s="2"/>
      <c r="T10" s="30">
        <f t="shared" si="9"/>
        <v>15861.882</v>
      </c>
      <c r="U10" s="6">
        <v>1</v>
      </c>
      <c r="V10" s="6">
        <f t="shared" si="10"/>
        <v>0</v>
      </c>
      <c r="W10" s="29">
        <f t="shared" si="11"/>
        <v>15861.882</v>
      </c>
      <c r="X10" s="28">
        <f t="shared" si="12"/>
        <v>0</v>
      </c>
    </row>
    <row r="11" spans="1:24" ht="13.9" x14ac:dyDescent="0.3">
      <c r="A11" s="27" t="s">
        <v>20</v>
      </c>
      <c r="B11" s="26">
        <v>254.5</v>
      </c>
      <c r="C11" s="6">
        <v>0.1</v>
      </c>
      <c r="D11" s="6">
        <v>0.3</v>
      </c>
      <c r="E11" s="6">
        <v>0.6</v>
      </c>
      <c r="F11" s="25">
        <f t="shared" si="0"/>
        <v>1</v>
      </c>
      <c r="H11" s="30">
        <f t="shared" si="1"/>
        <v>25.450000000000003</v>
      </c>
      <c r="I11" s="6">
        <v>1</v>
      </c>
      <c r="J11" s="6">
        <f t="shared" si="2"/>
        <v>0</v>
      </c>
      <c r="K11" s="29">
        <f t="shared" si="3"/>
        <v>25.450000000000003</v>
      </c>
      <c r="L11" s="28">
        <f t="shared" si="4"/>
        <v>0</v>
      </c>
      <c r="M11" s="24"/>
      <c r="N11" s="30">
        <f t="shared" si="5"/>
        <v>76.349999999999994</v>
      </c>
      <c r="O11" s="6">
        <v>1</v>
      </c>
      <c r="P11" s="6">
        <f t="shared" si="6"/>
        <v>0</v>
      </c>
      <c r="Q11" s="29">
        <f t="shared" si="7"/>
        <v>76.349999999999994</v>
      </c>
      <c r="R11" s="28">
        <f t="shared" si="8"/>
        <v>0</v>
      </c>
      <c r="S11" s="2"/>
      <c r="T11" s="30">
        <f t="shared" si="9"/>
        <v>152.69999999999999</v>
      </c>
      <c r="U11" s="6">
        <v>1</v>
      </c>
      <c r="V11" s="6">
        <f t="shared" si="10"/>
        <v>0</v>
      </c>
      <c r="W11" s="29">
        <f t="shared" si="11"/>
        <v>152.69999999999999</v>
      </c>
      <c r="X11" s="28">
        <f t="shared" si="12"/>
        <v>0</v>
      </c>
    </row>
    <row r="12" spans="1:24" ht="13.9" x14ac:dyDescent="0.3">
      <c r="A12" s="27" t="s">
        <v>19</v>
      </c>
      <c r="B12" s="26">
        <v>2488.8000000000002</v>
      </c>
      <c r="C12" s="6">
        <v>1</v>
      </c>
      <c r="D12" s="6">
        <v>0</v>
      </c>
      <c r="E12" s="6">
        <v>0</v>
      </c>
      <c r="F12" s="25">
        <f t="shared" si="0"/>
        <v>1</v>
      </c>
      <c r="H12" s="30">
        <f t="shared" si="1"/>
        <v>2488.8000000000002</v>
      </c>
      <c r="I12" s="6">
        <v>1</v>
      </c>
      <c r="J12" s="6">
        <f t="shared" si="2"/>
        <v>0</v>
      </c>
      <c r="K12" s="29">
        <f t="shared" si="3"/>
        <v>2488.8000000000002</v>
      </c>
      <c r="L12" s="28">
        <f t="shared" si="4"/>
        <v>0</v>
      </c>
      <c r="M12" s="24"/>
      <c r="N12" s="30">
        <f t="shared" si="5"/>
        <v>0</v>
      </c>
      <c r="O12" s="6">
        <v>0</v>
      </c>
      <c r="P12" s="6">
        <f t="shared" si="6"/>
        <v>1</v>
      </c>
      <c r="Q12" s="29">
        <f t="shared" si="7"/>
        <v>0</v>
      </c>
      <c r="R12" s="28">
        <f t="shared" si="8"/>
        <v>0</v>
      </c>
      <c r="S12" s="2"/>
      <c r="T12" s="30">
        <f t="shared" si="9"/>
        <v>0</v>
      </c>
      <c r="U12" s="6">
        <v>0</v>
      </c>
      <c r="V12" s="6">
        <f t="shared" si="10"/>
        <v>1</v>
      </c>
      <c r="W12" s="29">
        <f t="shared" si="11"/>
        <v>0</v>
      </c>
      <c r="X12" s="28">
        <f t="shared" si="12"/>
        <v>0</v>
      </c>
    </row>
    <row r="13" spans="1:24" ht="13.9" x14ac:dyDescent="0.3">
      <c r="A13" s="27" t="s">
        <v>18</v>
      </c>
      <c r="B13" s="26">
        <v>1162039.92</v>
      </c>
      <c r="C13" s="6">
        <v>0.05</v>
      </c>
      <c r="D13" s="6">
        <v>0.4</v>
      </c>
      <c r="E13" s="6">
        <v>0.55000000000000004</v>
      </c>
      <c r="F13" s="25">
        <f t="shared" si="0"/>
        <v>1</v>
      </c>
      <c r="H13" s="30">
        <f t="shared" si="1"/>
        <v>58101.995999999999</v>
      </c>
      <c r="I13" s="6">
        <v>1</v>
      </c>
      <c r="J13" s="6">
        <f t="shared" si="2"/>
        <v>0</v>
      </c>
      <c r="K13" s="29">
        <f t="shared" si="3"/>
        <v>58101.995999999999</v>
      </c>
      <c r="L13" s="28">
        <f t="shared" si="4"/>
        <v>0</v>
      </c>
      <c r="M13" s="24"/>
      <c r="N13" s="30">
        <f t="shared" si="5"/>
        <v>464815.96799999999</v>
      </c>
      <c r="O13" s="6">
        <v>0.05</v>
      </c>
      <c r="P13" s="6">
        <f t="shared" si="6"/>
        <v>0.95</v>
      </c>
      <c r="Q13" s="29">
        <f t="shared" si="7"/>
        <v>23240.7984</v>
      </c>
      <c r="R13" s="28">
        <f t="shared" si="8"/>
        <v>441575.16959999996</v>
      </c>
      <c r="S13" s="2"/>
      <c r="T13" s="30">
        <f t="shared" si="9"/>
        <v>639121.95600000001</v>
      </c>
      <c r="U13" s="6">
        <v>0.05</v>
      </c>
      <c r="V13" s="6">
        <f t="shared" si="10"/>
        <v>0.95</v>
      </c>
      <c r="W13" s="29">
        <f t="shared" si="11"/>
        <v>31956.097800000003</v>
      </c>
      <c r="X13" s="28">
        <f t="shared" si="12"/>
        <v>607165.85820000002</v>
      </c>
    </row>
    <row r="14" spans="1:24" ht="13.9" x14ac:dyDescent="0.3">
      <c r="A14" s="27" t="s">
        <v>17</v>
      </c>
      <c r="B14" s="26">
        <v>776.6</v>
      </c>
      <c r="C14" s="6">
        <v>1</v>
      </c>
      <c r="D14" s="6">
        <v>0</v>
      </c>
      <c r="E14" s="6">
        <v>0</v>
      </c>
      <c r="F14" s="25">
        <f t="shared" si="0"/>
        <v>1</v>
      </c>
      <c r="H14" s="30">
        <f t="shared" si="1"/>
        <v>776.6</v>
      </c>
      <c r="I14" s="6">
        <v>1</v>
      </c>
      <c r="J14" s="6">
        <f t="shared" si="2"/>
        <v>0</v>
      </c>
      <c r="K14" s="29">
        <f t="shared" si="3"/>
        <v>776.6</v>
      </c>
      <c r="L14" s="28">
        <f t="shared" si="4"/>
        <v>0</v>
      </c>
      <c r="M14" s="24"/>
      <c r="N14" s="30">
        <f t="shared" si="5"/>
        <v>0</v>
      </c>
      <c r="O14" s="6">
        <v>0.5</v>
      </c>
      <c r="P14" s="6">
        <f t="shared" si="6"/>
        <v>0.5</v>
      </c>
      <c r="Q14" s="29">
        <f t="shared" si="7"/>
        <v>0</v>
      </c>
      <c r="R14" s="28">
        <f t="shared" si="8"/>
        <v>0</v>
      </c>
      <c r="S14" s="2"/>
      <c r="T14" s="30">
        <f t="shared" si="9"/>
        <v>0</v>
      </c>
      <c r="U14" s="6">
        <v>0.5</v>
      </c>
      <c r="V14" s="6">
        <f t="shared" si="10"/>
        <v>0.5</v>
      </c>
      <c r="W14" s="29">
        <f t="shared" si="11"/>
        <v>0</v>
      </c>
      <c r="X14" s="28">
        <f t="shared" si="12"/>
        <v>0</v>
      </c>
    </row>
    <row r="15" spans="1:24" ht="13.9" x14ac:dyDescent="0.3">
      <c r="A15" s="27" t="s">
        <v>16</v>
      </c>
      <c r="B15" s="26">
        <v>3803.08</v>
      </c>
      <c r="C15" s="6">
        <v>1</v>
      </c>
      <c r="D15" s="6">
        <v>0</v>
      </c>
      <c r="E15" s="6">
        <v>0</v>
      </c>
      <c r="F15" s="25">
        <f t="shared" si="0"/>
        <v>1</v>
      </c>
      <c r="H15" s="30">
        <f t="shared" si="1"/>
        <v>3803.08</v>
      </c>
      <c r="I15" s="6">
        <v>1</v>
      </c>
      <c r="J15" s="6">
        <f t="shared" si="2"/>
        <v>0</v>
      </c>
      <c r="K15" s="29">
        <f t="shared" si="3"/>
        <v>3803.08</v>
      </c>
      <c r="L15" s="28">
        <f t="shared" si="4"/>
        <v>0</v>
      </c>
      <c r="M15" s="24"/>
      <c r="N15" s="30">
        <f t="shared" si="5"/>
        <v>0</v>
      </c>
      <c r="O15" s="6">
        <v>0</v>
      </c>
      <c r="P15" s="6">
        <f t="shared" si="6"/>
        <v>1</v>
      </c>
      <c r="Q15" s="29">
        <f t="shared" si="7"/>
        <v>0</v>
      </c>
      <c r="R15" s="28">
        <f t="shared" si="8"/>
        <v>0</v>
      </c>
      <c r="S15" s="2"/>
      <c r="T15" s="30">
        <f t="shared" si="9"/>
        <v>0</v>
      </c>
      <c r="U15" s="6">
        <v>0</v>
      </c>
      <c r="V15" s="6">
        <f t="shared" si="10"/>
        <v>1</v>
      </c>
      <c r="W15" s="29">
        <f t="shared" si="11"/>
        <v>0</v>
      </c>
      <c r="X15" s="28">
        <f t="shared" si="12"/>
        <v>0</v>
      </c>
    </row>
    <row r="16" spans="1:24" ht="13.9" x14ac:dyDescent="0.3">
      <c r="A16" s="27" t="s">
        <v>15</v>
      </c>
      <c r="B16" s="26">
        <v>141565.34</v>
      </c>
      <c r="C16" s="6">
        <v>0</v>
      </c>
      <c r="D16" s="6">
        <v>0.4</v>
      </c>
      <c r="E16" s="6">
        <v>0.6</v>
      </c>
      <c r="F16" s="25">
        <f t="shared" si="0"/>
        <v>1</v>
      </c>
      <c r="H16" s="30">
        <f t="shared" si="1"/>
        <v>0</v>
      </c>
      <c r="I16" s="6">
        <v>1</v>
      </c>
      <c r="J16" s="6">
        <f t="shared" si="2"/>
        <v>0</v>
      </c>
      <c r="K16" s="29">
        <f t="shared" si="3"/>
        <v>0</v>
      </c>
      <c r="L16" s="28">
        <f t="shared" si="4"/>
        <v>0</v>
      </c>
      <c r="M16" s="24"/>
      <c r="N16" s="30">
        <f t="shared" si="5"/>
        <v>56626.135999999999</v>
      </c>
      <c r="O16" s="6">
        <v>0.05</v>
      </c>
      <c r="P16" s="6">
        <f t="shared" si="6"/>
        <v>0.95</v>
      </c>
      <c r="Q16" s="29">
        <f t="shared" si="7"/>
        <v>2831.3068000000003</v>
      </c>
      <c r="R16" s="28">
        <f t="shared" si="8"/>
        <v>53794.829199999993</v>
      </c>
      <c r="S16" s="2"/>
      <c r="T16" s="30">
        <f t="shared" si="9"/>
        <v>84939.203999999998</v>
      </c>
      <c r="U16" s="6">
        <v>0.05</v>
      </c>
      <c r="V16" s="6">
        <f t="shared" si="10"/>
        <v>0.95</v>
      </c>
      <c r="W16" s="29">
        <f t="shared" si="11"/>
        <v>4246.9602000000004</v>
      </c>
      <c r="X16" s="28">
        <f t="shared" si="12"/>
        <v>80692.243799999997</v>
      </c>
    </row>
    <row r="17" spans="1:24" ht="13.9" x14ac:dyDescent="0.3">
      <c r="A17" s="27" t="s">
        <v>14</v>
      </c>
      <c r="B17" s="26">
        <v>376</v>
      </c>
      <c r="C17" s="6">
        <v>1</v>
      </c>
      <c r="D17" s="6">
        <v>0</v>
      </c>
      <c r="E17" s="6">
        <v>0</v>
      </c>
      <c r="F17" s="25">
        <f t="shared" si="0"/>
        <v>1</v>
      </c>
      <c r="H17" s="30">
        <f t="shared" si="1"/>
        <v>376</v>
      </c>
      <c r="I17" s="6">
        <v>1</v>
      </c>
      <c r="J17" s="6">
        <f t="shared" si="2"/>
        <v>0</v>
      </c>
      <c r="K17" s="29">
        <f t="shared" si="3"/>
        <v>376</v>
      </c>
      <c r="L17" s="28">
        <f t="shared" si="4"/>
        <v>0</v>
      </c>
      <c r="M17" s="24"/>
      <c r="N17" s="30">
        <f t="shared" si="5"/>
        <v>0</v>
      </c>
      <c r="O17" s="6">
        <v>0</v>
      </c>
      <c r="P17" s="6">
        <f t="shared" si="6"/>
        <v>1</v>
      </c>
      <c r="Q17" s="29">
        <f t="shared" si="7"/>
        <v>0</v>
      </c>
      <c r="R17" s="28">
        <f t="shared" si="8"/>
        <v>0</v>
      </c>
      <c r="S17" s="2"/>
      <c r="T17" s="30">
        <f t="shared" si="9"/>
        <v>0</v>
      </c>
      <c r="U17" s="6">
        <v>0</v>
      </c>
      <c r="V17" s="6">
        <f t="shared" si="10"/>
        <v>1</v>
      </c>
      <c r="W17" s="29">
        <f t="shared" si="11"/>
        <v>0</v>
      </c>
      <c r="X17" s="28">
        <f t="shared" si="12"/>
        <v>0</v>
      </c>
    </row>
    <row r="18" spans="1:24" ht="13.9" x14ac:dyDescent="0.3">
      <c r="A18" s="27" t="s">
        <v>13</v>
      </c>
      <c r="B18" s="26">
        <v>1844.52</v>
      </c>
      <c r="C18" s="6">
        <v>1</v>
      </c>
      <c r="D18" s="6">
        <v>0</v>
      </c>
      <c r="E18" s="6">
        <v>0</v>
      </c>
      <c r="F18" s="25">
        <f t="shared" si="0"/>
        <v>1</v>
      </c>
      <c r="H18" s="30">
        <f t="shared" si="1"/>
        <v>1844.52</v>
      </c>
      <c r="I18" s="6">
        <v>1</v>
      </c>
      <c r="J18" s="6">
        <f t="shared" si="2"/>
        <v>0</v>
      </c>
      <c r="K18" s="29">
        <f t="shared" si="3"/>
        <v>1844.52</v>
      </c>
      <c r="L18" s="28">
        <f t="shared" si="4"/>
        <v>0</v>
      </c>
      <c r="M18" s="24"/>
      <c r="N18" s="30">
        <f t="shared" si="5"/>
        <v>0</v>
      </c>
      <c r="O18" s="6">
        <v>0</v>
      </c>
      <c r="P18" s="6">
        <f t="shared" si="6"/>
        <v>1</v>
      </c>
      <c r="Q18" s="29">
        <f t="shared" si="7"/>
        <v>0</v>
      </c>
      <c r="R18" s="28">
        <f t="shared" si="8"/>
        <v>0</v>
      </c>
      <c r="S18" s="2"/>
      <c r="T18" s="30">
        <f t="shared" si="9"/>
        <v>0</v>
      </c>
      <c r="U18" s="6">
        <v>0</v>
      </c>
      <c r="V18" s="6">
        <f t="shared" si="10"/>
        <v>1</v>
      </c>
      <c r="W18" s="29">
        <f t="shared" si="11"/>
        <v>0</v>
      </c>
      <c r="X18" s="28">
        <f t="shared" si="12"/>
        <v>0</v>
      </c>
    </row>
    <row r="19" spans="1:24" ht="13.9" x14ac:dyDescent="0.3">
      <c r="A19" s="27" t="s">
        <v>12</v>
      </c>
      <c r="B19" s="26">
        <v>139076.81</v>
      </c>
      <c r="C19" s="6">
        <v>0</v>
      </c>
      <c r="D19" s="6">
        <v>0</v>
      </c>
      <c r="E19" s="6">
        <v>1</v>
      </c>
      <c r="F19" s="25">
        <f t="shared" si="0"/>
        <v>1</v>
      </c>
      <c r="H19" s="30">
        <f t="shared" si="1"/>
        <v>0</v>
      </c>
      <c r="I19" s="6">
        <v>1</v>
      </c>
      <c r="J19" s="6">
        <f t="shared" si="2"/>
        <v>0</v>
      </c>
      <c r="K19" s="29">
        <f t="shared" si="3"/>
        <v>0</v>
      </c>
      <c r="L19" s="28">
        <f t="shared" si="4"/>
        <v>0</v>
      </c>
      <c r="M19" s="24"/>
      <c r="N19" s="30">
        <f t="shared" si="5"/>
        <v>0</v>
      </c>
      <c r="O19" s="6">
        <v>0</v>
      </c>
      <c r="P19" s="6">
        <f t="shared" si="6"/>
        <v>1</v>
      </c>
      <c r="Q19" s="29">
        <f t="shared" si="7"/>
        <v>0</v>
      </c>
      <c r="R19" s="28">
        <f t="shared" si="8"/>
        <v>0</v>
      </c>
      <c r="S19" s="2"/>
      <c r="T19" s="30">
        <f t="shared" si="9"/>
        <v>139076.81</v>
      </c>
      <c r="U19" s="6">
        <v>0.05</v>
      </c>
      <c r="V19" s="6">
        <f t="shared" si="10"/>
        <v>0.95</v>
      </c>
      <c r="W19" s="29">
        <f t="shared" si="11"/>
        <v>6953.8405000000002</v>
      </c>
      <c r="X19" s="28">
        <f t="shared" si="12"/>
        <v>132122.96949999998</v>
      </c>
    </row>
    <row r="20" spans="1:24" ht="13.9" x14ac:dyDescent="0.3">
      <c r="A20" s="27" t="s">
        <v>11</v>
      </c>
      <c r="B20" s="26">
        <v>30632</v>
      </c>
      <c r="C20" s="6">
        <v>0</v>
      </c>
      <c r="D20" s="6">
        <v>1</v>
      </c>
      <c r="E20" s="6">
        <v>0</v>
      </c>
      <c r="F20" s="25">
        <f t="shared" si="0"/>
        <v>1</v>
      </c>
      <c r="H20" s="30">
        <f t="shared" si="1"/>
        <v>0</v>
      </c>
      <c r="I20" s="6">
        <v>1</v>
      </c>
      <c r="J20" s="6">
        <f t="shared" si="2"/>
        <v>0</v>
      </c>
      <c r="K20" s="29">
        <f t="shared" si="3"/>
        <v>0</v>
      </c>
      <c r="L20" s="28">
        <f t="shared" si="4"/>
        <v>0</v>
      </c>
      <c r="M20" s="24"/>
      <c r="N20" s="30">
        <f t="shared" si="5"/>
        <v>30632</v>
      </c>
      <c r="O20" s="6">
        <v>0</v>
      </c>
      <c r="P20" s="6">
        <f t="shared" si="6"/>
        <v>1</v>
      </c>
      <c r="Q20" s="29">
        <f t="shared" si="7"/>
        <v>0</v>
      </c>
      <c r="R20" s="28">
        <f t="shared" si="8"/>
        <v>30632</v>
      </c>
      <c r="S20" s="2"/>
      <c r="T20" s="30">
        <f t="shared" si="9"/>
        <v>0</v>
      </c>
      <c r="U20" s="6">
        <v>0</v>
      </c>
      <c r="V20" s="6">
        <f t="shared" si="10"/>
        <v>1</v>
      </c>
      <c r="W20" s="29">
        <f t="shared" si="11"/>
        <v>0</v>
      </c>
      <c r="X20" s="28">
        <f t="shared" si="12"/>
        <v>0</v>
      </c>
    </row>
    <row r="21" spans="1:24" ht="13.9" x14ac:dyDescent="0.3">
      <c r="A21" s="27" t="s">
        <v>10</v>
      </c>
      <c r="B21" s="26">
        <v>8205.92</v>
      </c>
      <c r="C21" s="6">
        <v>1</v>
      </c>
      <c r="D21" s="6">
        <v>0</v>
      </c>
      <c r="E21" s="6">
        <v>0</v>
      </c>
      <c r="F21" s="25">
        <f t="shared" si="0"/>
        <v>1</v>
      </c>
      <c r="H21" s="30">
        <f t="shared" si="1"/>
        <v>8205.92</v>
      </c>
      <c r="I21" s="6">
        <v>1</v>
      </c>
      <c r="J21" s="6">
        <f t="shared" si="2"/>
        <v>0</v>
      </c>
      <c r="K21" s="29">
        <f t="shared" si="3"/>
        <v>8205.92</v>
      </c>
      <c r="L21" s="28">
        <f t="shared" si="4"/>
        <v>0</v>
      </c>
      <c r="M21" s="24"/>
      <c r="N21" s="30">
        <f t="shared" si="5"/>
        <v>0</v>
      </c>
      <c r="O21" s="6">
        <v>1</v>
      </c>
      <c r="P21" s="6">
        <f t="shared" si="6"/>
        <v>0</v>
      </c>
      <c r="Q21" s="29">
        <f t="shared" si="7"/>
        <v>0</v>
      </c>
      <c r="R21" s="28">
        <f t="shared" si="8"/>
        <v>0</v>
      </c>
      <c r="S21" s="2"/>
      <c r="T21" s="30">
        <f t="shared" si="9"/>
        <v>0</v>
      </c>
      <c r="U21" s="6">
        <v>0</v>
      </c>
      <c r="V21" s="6">
        <f t="shared" si="10"/>
        <v>1</v>
      </c>
      <c r="W21" s="29">
        <f t="shared" si="11"/>
        <v>0</v>
      </c>
      <c r="X21" s="28">
        <f t="shared" si="12"/>
        <v>0</v>
      </c>
    </row>
    <row r="22" spans="1:24" ht="13.9" x14ac:dyDescent="0.3">
      <c r="A22" s="27" t="s">
        <v>9</v>
      </c>
      <c r="B22" s="26">
        <v>299596.48</v>
      </c>
      <c r="C22" s="6">
        <v>0</v>
      </c>
      <c r="D22" s="6">
        <v>0.65</v>
      </c>
      <c r="E22" s="6">
        <v>0.35</v>
      </c>
      <c r="F22" s="25">
        <f t="shared" si="0"/>
        <v>1</v>
      </c>
      <c r="H22" s="30">
        <f t="shared" si="1"/>
        <v>0</v>
      </c>
      <c r="I22" s="6">
        <v>1</v>
      </c>
      <c r="J22" s="6">
        <f t="shared" si="2"/>
        <v>0</v>
      </c>
      <c r="K22" s="29">
        <f t="shared" si="3"/>
        <v>0</v>
      </c>
      <c r="L22" s="28">
        <f t="shared" si="4"/>
        <v>0</v>
      </c>
      <c r="M22" s="24"/>
      <c r="N22" s="30">
        <f t="shared" si="5"/>
        <v>194737.712</v>
      </c>
      <c r="O22" s="6">
        <v>0</v>
      </c>
      <c r="P22" s="6">
        <f t="shared" si="6"/>
        <v>1</v>
      </c>
      <c r="Q22" s="29">
        <f t="shared" si="7"/>
        <v>0</v>
      </c>
      <c r="R22" s="28">
        <f t="shared" si="8"/>
        <v>194737.712</v>
      </c>
      <c r="S22" s="2"/>
      <c r="T22" s="30">
        <f t="shared" si="9"/>
        <v>104858.76799999998</v>
      </c>
      <c r="U22" s="6">
        <v>0</v>
      </c>
      <c r="V22" s="6">
        <f t="shared" si="10"/>
        <v>1</v>
      </c>
      <c r="W22" s="29">
        <f t="shared" si="11"/>
        <v>0</v>
      </c>
      <c r="X22" s="28">
        <f t="shared" si="12"/>
        <v>104858.76799999998</v>
      </c>
    </row>
    <row r="23" spans="1:24" ht="13.9" x14ac:dyDescent="0.3">
      <c r="A23" s="27" t="s">
        <v>8</v>
      </c>
      <c r="B23" s="26">
        <v>4445.42</v>
      </c>
      <c r="C23" s="6">
        <v>0</v>
      </c>
      <c r="D23" s="6">
        <v>1</v>
      </c>
      <c r="E23" s="6">
        <v>0</v>
      </c>
      <c r="F23" s="25">
        <f t="shared" si="0"/>
        <v>1</v>
      </c>
      <c r="H23" s="30">
        <f t="shared" si="1"/>
        <v>0</v>
      </c>
      <c r="I23" s="6">
        <v>1</v>
      </c>
      <c r="J23" s="6">
        <f t="shared" si="2"/>
        <v>0</v>
      </c>
      <c r="K23" s="29">
        <f t="shared" si="3"/>
        <v>0</v>
      </c>
      <c r="L23" s="28">
        <f t="shared" si="4"/>
        <v>0</v>
      </c>
      <c r="M23" s="24"/>
      <c r="N23" s="30">
        <f t="shared" si="5"/>
        <v>4445.42</v>
      </c>
      <c r="O23" s="6">
        <v>1</v>
      </c>
      <c r="P23" s="6">
        <f t="shared" si="6"/>
        <v>0</v>
      </c>
      <c r="Q23" s="29">
        <f t="shared" si="7"/>
        <v>4445.42</v>
      </c>
      <c r="R23" s="28">
        <f t="shared" si="8"/>
        <v>0</v>
      </c>
      <c r="S23" s="2"/>
      <c r="T23" s="30">
        <f t="shared" si="9"/>
        <v>0</v>
      </c>
      <c r="U23" s="6">
        <v>0</v>
      </c>
      <c r="V23" s="6">
        <f t="shared" si="10"/>
        <v>1</v>
      </c>
      <c r="W23" s="29">
        <f t="shared" si="11"/>
        <v>0</v>
      </c>
      <c r="X23" s="28">
        <f t="shared" si="12"/>
        <v>0</v>
      </c>
    </row>
    <row r="24" spans="1:24" ht="13.9" x14ac:dyDescent="0.3">
      <c r="A24" s="27" t="s">
        <v>7</v>
      </c>
      <c r="B24" s="26">
        <v>285.75</v>
      </c>
      <c r="C24" s="6">
        <v>1</v>
      </c>
      <c r="D24" s="6">
        <v>0</v>
      </c>
      <c r="E24" s="6">
        <v>0</v>
      </c>
      <c r="F24" s="25">
        <f t="shared" si="0"/>
        <v>1</v>
      </c>
      <c r="H24" s="30">
        <f t="shared" si="1"/>
        <v>285.75</v>
      </c>
      <c r="I24" s="6">
        <v>1</v>
      </c>
      <c r="J24" s="6">
        <f t="shared" si="2"/>
        <v>0</v>
      </c>
      <c r="K24" s="29">
        <f t="shared" si="3"/>
        <v>285.75</v>
      </c>
      <c r="L24" s="28">
        <f t="shared" si="4"/>
        <v>0</v>
      </c>
      <c r="M24" s="24"/>
      <c r="N24" s="30">
        <f t="shared" si="5"/>
        <v>0</v>
      </c>
      <c r="O24" s="6">
        <v>0</v>
      </c>
      <c r="P24" s="6">
        <f t="shared" si="6"/>
        <v>1</v>
      </c>
      <c r="Q24" s="29">
        <f t="shared" si="7"/>
        <v>0</v>
      </c>
      <c r="R24" s="28">
        <f t="shared" si="8"/>
        <v>0</v>
      </c>
      <c r="S24" s="2"/>
      <c r="T24" s="30">
        <f t="shared" si="9"/>
        <v>0</v>
      </c>
      <c r="U24" s="6">
        <v>0</v>
      </c>
      <c r="V24" s="6">
        <f t="shared" si="10"/>
        <v>1</v>
      </c>
      <c r="W24" s="29">
        <f t="shared" si="11"/>
        <v>0</v>
      </c>
      <c r="X24" s="28">
        <f t="shared" si="12"/>
        <v>0</v>
      </c>
    </row>
    <row r="25" spans="1:24" ht="13.9" x14ac:dyDescent="0.3">
      <c r="A25" s="27" t="s">
        <v>6</v>
      </c>
      <c r="B25" s="26">
        <v>21293.81</v>
      </c>
      <c r="C25" s="6">
        <v>1</v>
      </c>
      <c r="D25" s="6">
        <v>0</v>
      </c>
      <c r="E25" s="6">
        <v>0</v>
      </c>
      <c r="F25" s="25">
        <f t="shared" si="0"/>
        <v>1</v>
      </c>
      <c r="H25" s="30">
        <f t="shared" si="1"/>
        <v>21293.81</v>
      </c>
      <c r="I25" s="6">
        <v>1</v>
      </c>
      <c r="J25" s="6">
        <f t="shared" si="2"/>
        <v>0</v>
      </c>
      <c r="K25" s="29">
        <f t="shared" si="3"/>
        <v>21293.81</v>
      </c>
      <c r="L25" s="28">
        <f t="shared" si="4"/>
        <v>0</v>
      </c>
      <c r="M25" s="24"/>
      <c r="N25" s="30">
        <f t="shared" si="5"/>
        <v>0</v>
      </c>
      <c r="O25" s="6">
        <v>0</v>
      </c>
      <c r="P25" s="6">
        <f t="shared" si="6"/>
        <v>1</v>
      </c>
      <c r="Q25" s="29">
        <f t="shared" si="7"/>
        <v>0</v>
      </c>
      <c r="R25" s="28">
        <f t="shared" si="8"/>
        <v>0</v>
      </c>
      <c r="S25" s="2"/>
      <c r="T25" s="30">
        <f t="shared" si="9"/>
        <v>0</v>
      </c>
      <c r="U25" s="6">
        <v>0</v>
      </c>
      <c r="V25" s="6">
        <f t="shared" si="10"/>
        <v>1</v>
      </c>
      <c r="W25" s="29">
        <f t="shared" si="11"/>
        <v>0</v>
      </c>
      <c r="X25" s="28">
        <f t="shared" si="12"/>
        <v>0</v>
      </c>
    </row>
    <row r="26" spans="1:24" ht="13.9" x14ac:dyDescent="0.3">
      <c r="A26" s="27" t="s">
        <v>5</v>
      </c>
      <c r="B26" s="26">
        <v>1628.99</v>
      </c>
      <c r="C26" s="6">
        <v>1</v>
      </c>
      <c r="D26" s="6">
        <v>0</v>
      </c>
      <c r="E26" s="6">
        <v>0</v>
      </c>
      <c r="F26" s="25">
        <f t="shared" si="0"/>
        <v>1</v>
      </c>
      <c r="H26" s="30">
        <f t="shared" si="1"/>
        <v>1628.99</v>
      </c>
      <c r="I26" s="6">
        <v>1</v>
      </c>
      <c r="J26" s="6">
        <f t="shared" si="2"/>
        <v>0</v>
      </c>
      <c r="K26" s="29">
        <f t="shared" si="3"/>
        <v>1628.99</v>
      </c>
      <c r="L26" s="28">
        <f t="shared" si="4"/>
        <v>0</v>
      </c>
      <c r="M26" s="24"/>
      <c r="N26" s="30">
        <f t="shared" si="5"/>
        <v>0</v>
      </c>
      <c r="O26" s="6">
        <v>0</v>
      </c>
      <c r="P26" s="6">
        <f t="shared" si="6"/>
        <v>1</v>
      </c>
      <c r="Q26" s="29">
        <f t="shared" si="7"/>
        <v>0</v>
      </c>
      <c r="R26" s="28">
        <f t="shared" si="8"/>
        <v>0</v>
      </c>
      <c r="S26" s="2"/>
      <c r="T26" s="30">
        <f t="shared" si="9"/>
        <v>0</v>
      </c>
      <c r="U26" s="6">
        <v>0</v>
      </c>
      <c r="V26" s="6">
        <f t="shared" si="10"/>
        <v>1</v>
      </c>
      <c r="W26" s="29">
        <f t="shared" si="11"/>
        <v>0</v>
      </c>
      <c r="X26" s="28">
        <f t="shared" si="12"/>
        <v>0</v>
      </c>
    </row>
    <row r="27" spans="1:24" ht="13.9" x14ac:dyDescent="0.3">
      <c r="A27" s="27" t="s">
        <v>4</v>
      </c>
      <c r="B27" s="26">
        <v>7566.81</v>
      </c>
      <c r="C27" s="6">
        <v>1</v>
      </c>
      <c r="D27" s="6">
        <v>0</v>
      </c>
      <c r="E27" s="6">
        <v>0</v>
      </c>
      <c r="F27" s="25">
        <f t="shared" si="0"/>
        <v>1</v>
      </c>
      <c r="H27" s="30">
        <f t="shared" si="1"/>
        <v>7566.81</v>
      </c>
      <c r="I27" s="6">
        <v>1</v>
      </c>
      <c r="J27" s="6">
        <f t="shared" si="2"/>
        <v>0</v>
      </c>
      <c r="K27" s="29">
        <f t="shared" si="3"/>
        <v>7566.81</v>
      </c>
      <c r="L27" s="28">
        <f t="shared" si="4"/>
        <v>0</v>
      </c>
      <c r="M27" s="24"/>
      <c r="N27" s="30">
        <f t="shared" si="5"/>
        <v>0</v>
      </c>
      <c r="O27" s="6">
        <v>0</v>
      </c>
      <c r="P27" s="6">
        <f t="shared" si="6"/>
        <v>1</v>
      </c>
      <c r="Q27" s="29">
        <f t="shared" si="7"/>
        <v>0</v>
      </c>
      <c r="R27" s="28">
        <f t="shared" si="8"/>
        <v>0</v>
      </c>
      <c r="S27" s="2"/>
      <c r="T27" s="30">
        <f t="shared" si="9"/>
        <v>0</v>
      </c>
      <c r="U27" s="6">
        <v>0</v>
      </c>
      <c r="V27" s="6">
        <f t="shared" si="10"/>
        <v>1</v>
      </c>
      <c r="W27" s="29">
        <f t="shared" si="11"/>
        <v>0</v>
      </c>
      <c r="X27" s="28">
        <f t="shared" si="12"/>
        <v>0</v>
      </c>
    </row>
    <row r="28" spans="1:24" ht="13.9" x14ac:dyDescent="0.3">
      <c r="A28" s="27" t="s">
        <v>3</v>
      </c>
      <c r="B28" s="26">
        <v>3632.74</v>
      </c>
      <c r="C28" s="6">
        <v>1</v>
      </c>
      <c r="D28" s="6">
        <v>0</v>
      </c>
      <c r="E28" s="6">
        <v>0</v>
      </c>
      <c r="F28" s="25">
        <f t="shared" si="0"/>
        <v>1</v>
      </c>
      <c r="H28" s="30">
        <f t="shared" si="1"/>
        <v>3632.74</v>
      </c>
      <c r="I28" s="6">
        <v>1</v>
      </c>
      <c r="J28" s="6">
        <f t="shared" si="2"/>
        <v>0</v>
      </c>
      <c r="K28" s="29">
        <f t="shared" si="3"/>
        <v>3632.74</v>
      </c>
      <c r="L28" s="28">
        <f t="shared" si="4"/>
        <v>0</v>
      </c>
      <c r="M28" s="24"/>
      <c r="N28" s="30">
        <f t="shared" si="5"/>
        <v>0</v>
      </c>
      <c r="O28" s="6">
        <v>0</v>
      </c>
      <c r="P28" s="6">
        <f t="shared" si="6"/>
        <v>1</v>
      </c>
      <c r="Q28" s="29">
        <f t="shared" si="7"/>
        <v>0</v>
      </c>
      <c r="R28" s="28">
        <f t="shared" si="8"/>
        <v>0</v>
      </c>
      <c r="S28" s="2"/>
      <c r="T28" s="30">
        <f t="shared" si="9"/>
        <v>0</v>
      </c>
      <c r="U28" s="6">
        <v>0</v>
      </c>
      <c r="V28" s="6">
        <f t="shared" si="10"/>
        <v>1</v>
      </c>
      <c r="W28" s="29">
        <f t="shared" si="11"/>
        <v>0</v>
      </c>
      <c r="X28" s="28">
        <f t="shared" si="12"/>
        <v>0</v>
      </c>
    </row>
    <row r="29" spans="1:24" ht="14.45" thickBot="1" x14ac:dyDescent="0.35">
      <c r="A29" s="27" t="s">
        <v>2</v>
      </c>
      <c r="B29" s="354">
        <v>126.98</v>
      </c>
      <c r="C29" s="6">
        <v>1</v>
      </c>
      <c r="D29" s="6">
        <v>0</v>
      </c>
      <c r="E29" s="6">
        <v>0</v>
      </c>
      <c r="F29" s="25">
        <f t="shared" si="0"/>
        <v>1</v>
      </c>
      <c r="H29" s="23">
        <f t="shared" si="1"/>
        <v>126.98</v>
      </c>
      <c r="I29" s="6">
        <v>1</v>
      </c>
      <c r="J29" s="6">
        <f t="shared" si="2"/>
        <v>0</v>
      </c>
      <c r="K29" s="22">
        <f t="shared" si="3"/>
        <v>126.98</v>
      </c>
      <c r="L29" s="21">
        <f t="shared" si="4"/>
        <v>0</v>
      </c>
      <c r="M29" s="24"/>
      <c r="N29" s="23">
        <f t="shared" si="5"/>
        <v>0</v>
      </c>
      <c r="O29" s="6">
        <v>0</v>
      </c>
      <c r="P29" s="6">
        <f t="shared" si="6"/>
        <v>1</v>
      </c>
      <c r="Q29" s="22">
        <f t="shared" si="7"/>
        <v>0</v>
      </c>
      <c r="R29" s="21">
        <f t="shared" si="8"/>
        <v>0</v>
      </c>
      <c r="S29" s="2"/>
      <c r="T29" s="23">
        <f t="shared" si="9"/>
        <v>0</v>
      </c>
      <c r="U29" s="6">
        <v>0</v>
      </c>
      <c r="V29" s="6">
        <f t="shared" si="10"/>
        <v>1</v>
      </c>
      <c r="W29" s="22">
        <f t="shared" si="11"/>
        <v>0</v>
      </c>
      <c r="X29" s="21">
        <f t="shared" si="12"/>
        <v>0</v>
      </c>
    </row>
    <row r="30" spans="1:24" ht="15" thickTop="1" thickBot="1" x14ac:dyDescent="0.35">
      <c r="A30" s="20" t="s">
        <v>1</v>
      </c>
      <c r="B30" s="19">
        <f>SUM(B4:B29)</f>
        <v>2009650.7000000002</v>
      </c>
      <c r="C30" s="18"/>
      <c r="D30" s="18"/>
      <c r="E30" s="18"/>
      <c r="F30" s="17"/>
      <c r="G30" s="10"/>
      <c r="H30" s="12">
        <f>SUM(H4:H29)</f>
        <v>119758.11300000001</v>
      </c>
      <c r="I30" s="16"/>
      <c r="J30" s="16"/>
      <c r="K30" s="15">
        <f>SUM(K4:K29)</f>
        <v>119758.11300000001</v>
      </c>
      <c r="L30" s="14">
        <f>SUM(L4:L29)</f>
        <v>0</v>
      </c>
      <c r="M30" s="13"/>
      <c r="N30" s="12">
        <f>SUM(N4:N29)</f>
        <v>773926.201</v>
      </c>
      <c r="O30" s="11"/>
      <c r="P30" s="11"/>
      <c r="Q30" s="9">
        <f>SUM(Q4:Q29)</f>
        <v>45977.804699999993</v>
      </c>
      <c r="R30" s="8">
        <f>SUM(R4:R29)</f>
        <v>727948.39629999991</v>
      </c>
      <c r="S30" s="11"/>
      <c r="T30" s="12">
        <f>SUM(T4:T29)</f>
        <v>1115966.3859999999</v>
      </c>
      <c r="U30" s="11"/>
      <c r="V30" s="10"/>
      <c r="W30" s="9">
        <f>SUM(W4:W29)</f>
        <v>87321.475300000006</v>
      </c>
      <c r="X30" s="8">
        <f>SUM(X4:X29)</f>
        <v>1028644.9107000001</v>
      </c>
    </row>
    <row r="31" spans="1:24" ht="13.9" x14ac:dyDescent="0.3">
      <c r="I31" s="6"/>
      <c r="J31" s="6"/>
      <c r="Q31" s="5"/>
      <c r="W31" s="7"/>
    </row>
    <row r="32" spans="1:24" ht="13.9" x14ac:dyDescent="0.3">
      <c r="I32" s="6"/>
      <c r="J32" s="6"/>
    </row>
    <row r="33" spans="1:24" ht="13.9" x14ac:dyDescent="0.3">
      <c r="B33" s="5"/>
      <c r="C33" s="1"/>
      <c r="D33" s="1"/>
      <c r="E33" s="1"/>
      <c r="F33" s="1"/>
      <c r="T33" s="5"/>
      <c r="W33" s="5"/>
    </row>
    <row r="34" spans="1:24" ht="13.9" x14ac:dyDescent="0.3">
      <c r="B34" s="5"/>
      <c r="C34" s="1"/>
      <c r="D34" s="1"/>
      <c r="E34" s="1"/>
      <c r="F34" s="1"/>
      <c r="O34" s="5"/>
    </row>
    <row r="35" spans="1:24" ht="13.9" x14ac:dyDescent="0.3">
      <c r="B35" s="5"/>
      <c r="C35" s="1"/>
      <c r="D35" s="1"/>
      <c r="E35" s="1"/>
      <c r="F35" s="1"/>
    </row>
    <row r="36" spans="1:24" ht="13.9" x14ac:dyDescent="0.3">
      <c r="B36" s="5"/>
      <c r="C36" s="1"/>
      <c r="D36" s="1"/>
      <c r="E36" s="1"/>
      <c r="F36" s="1"/>
    </row>
    <row r="37" spans="1:24" ht="13.9" x14ac:dyDescent="0.3">
      <c r="C37" s="1"/>
      <c r="D37" s="1"/>
      <c r="E37" s="1"/>
      <c r="F37" s="1"/>
    </row>
    <row r="43" spans="1:24" ht="13.9" x14ac:dyDescent="0.3">
      <c r="A43" s="358" t="s">
        <v>0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</row>
  </sheetData>
  <mergeCells count="6">
    <mergeCell ref="A43:X43"/>
    <mergeCell ref="A1:X1"/>
    <mergeCell ref="C2:E2"/>
    <mergeCell ref="H2:L2"/>
    <mergeCell ref="N2:R2"/>
    <mergeCell ref="T2:X2"/>
  </mergeCells>
  <printOptions horizontalCentered="1" verticalCentered="1"/>
  <pageMargins left="0.2" right="0.2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7"/>
  <sheetViews>
    <sheetView showGridLines="0" zoomScaleNormal="100" workbookViewId="0">
      <selection activeCell="I6" sqref="I6"/>
    </sheetView>
  </sheetViews>
  <sheetFormatPr defaultColWidth="8.85546875" defaultRowHeight="12.75" x14ac:dyDescent="0.2"/>
  <cols>
    <col min="1" max="1" width="5.7109375" style="56" bestFit="1" customWidth="1"/>
    <col min="2" max="2" width="8.7109375" style="56" bestFit="1" customWidth="1"/>
    <col min="3" max="3" width="7.7109375" style="56" bestFit="1" customWidth="1"/>
    <col min="4" max="4" width="8.7109375" style="56" bestFit="1" customWidth="1"/>
    <col min="5" max="5" width="2.28515625" style="56" customWidth="1"/>
    <col min="6" max="6" width="5.7109375" style="56" bestFit="1" customWidth="1"/>
    <col min="7" max="7" width="8.7109375" style="56" bestFit="1" customWidth="1"/>
    <col min="8" max="8" width="7.7109375" style="56" bestFit="1" customWidth="1"/>
    <col min="9" max="9" width="9.28515625" style="56" bestFit="1" customWidth="1"/>
    <col min="10" max="10" width="2.28515625" style="56" customWidth="1"/>
    <col min="11" max="11" width="5.7109375" style="56" bestFit="1" customWidth="1"/>
    <col min="12" max="12" width="7.7109375" style="56" bestFit="1" customWidth="1"/>
    <col min="13" max="14" width="7.140625" style="56" bestFit="1" customWidth="1"/>
    <col min="15" max="16384" width="8.85546875" style="56"/>
  </cols>
  <sheetData>
    <row r="1" spans="1:14" ht="16.149999999999999" thickBot="1" x14ac:dyDescent="0.35">
      <c r="A1" s="367" t="s">
        <v>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ht="16.149999999999999" thickBot="1" x14ac:dyDescent="0.35">
      <c r="A2" s="369" t="s">
        <v>72</v>
      </c>
      <c r="B2" s="370"/>
      <c r="C2" s="370"/>
      <c r="D2" s="371"/>
      <c r="E2" s="85"/>
      <c r="F2" s="372" t="s">
        <v>71</v>
      </c>
      <c r="G2" s="373"/>
      <c r="H2" s="373"/>
      <c r="I2" s="374"/>
      <c r="J2" s="69"/>
      <c r="K2" s="372" t="s">
        <v>70</v>
      </c>
      <c r="L2" s="373"/>
      <c r="M2" s="373"/>
      <c r="N2" s="374"/>
    </row>
    <row r="3" spans="1:14" s="69" customFormat="1" ht="15.6" x14ac:dyDescent="0.3">
      <c r="A3" s="68"/>
      <c r="B3" s="67" t="s">
        <v>68</v>
      </c>
      <c r="C3" s="67" t="s">
        <v>67</v>
      </c>
      <c r="D3" s="66" t="s">
        <v>1</v>
      </c>
      <c r="E3" s="72"/>
      <c r="F3" s="68"/>
      <c r="G3" s="67" t="s">
        <v>68</v>
      </c>
      <c r="H3" s="67" t="s">
        <v>67</v>
      </c>
      <c r="I3" s="66" t="s">
        <v>1</v>
      </c>
      <c r="J3" s="75"/>
      <c r="K3" s="68"/>
      <c r="L3" s="67" t="s">
        <v>68</v>
      </c>
      <c r="M3" s="67" t="s">
        <v>67</v>
      </c>
      <c r="N3" s="66" t="s">
        <v>1</v>
      </c>
    </row>
    <row r="4" spans="1:14" s="69" customFormat="1" ht="15.6" x14ac:dyDescent="0.3">
      <c r="A4" s="62">
        <v>2015</v>
      </c>
      <c r="B4" s="84">
        <v>125000</v>
      </c>
      <c r="C4" s="84">
        <f>11256.25+10631.25</f>
        <v>21887.5</v>
      </c>
      <c r="D4" s="76">
        <f>SUM(B4:C4)</f>
        <v>146887.5</v>
      </c>
      <c r="E4" s="72"/>
      <c r="F4" s="62">
        <f>+A4</f>
        <v>2015</v>
      </c>
      <c r="G4" s="83"/>
      <c r="H4" s="83"/>
      <c r="I4" s="60"/>
      <c r="J4" s="75"/>
      <c r="K4" s="62">
        <f>+F4</f>
        <v>2015</v>
      </c>
      <c r="L4" s="83"/>
      <c r="M4" s="83"/>
      <c r="N4" s="60"/>
    </row>
    <row r="5" spans="1:14" s="69" customFormat="1" ht="15.6" x14ac:dyDescent="0.3">
      <c r="A5" s="62">
        <f>+A4+1</f>
        <v>2016</v>
      </c>
      <c r="B5" s="61">
        <v>130000</v>
      </c>
      <c r="C5" s="61">
        <f>10631.25+9331.25</f>
        <v>19962.5</v>
      </c>
      <c r="D5" s="76">
        <f>SUM(B5:C5)</f>
        <v>149962.5</v>
      </c>
      <c r="E5" s="72"/>
      <c r="F5" s="62">
        <f>+A5</f>
        <v>2016</v>
      </c>
      <c r="G5" s="61"/>
      <c r="H5" s="61">
        <f>13856.67*0.8</f>
        <v>11085.336000000001</v>
      </c>
      <c r="I5" s="76">
        <f>SUM(G5:H5)</f>
        <v>11085.336000000001</v>
      </c>
      <c r="J5" s="75"/>
      <c r="K5" s="62">
        <f>+F5</f>
        <v>2016</v>
      </c>
      <c r="L5" s="61"/>
      <c r="M5" s="61"/>
      <c r="N5" s="60"/>
    </row>
    <row r="6" spans="1:14" s="78" customFormat="1" ht="15.6" x14ac:dyDescent="0.3">
      <c r="A6" s="65">
        <f>+A5+1</f>
        <v>2017</v>
      </c>
      <c r="B6" s="64">
        <v>130000</v>
      </c>
      <c r="C6" s="64">
        <f>9331.25+9031.25</f>
        <v>18362.5</v>
      </c>
      <c r="D6" s="82">
        <f>SUM(B6:C6)</f>
        <v>148362.5</v>
      </c>
      <c r="E6" s="81"/>
      <c r="F6" s="65">
        <f>+A6</f>
        <v>2017</v>
      </c>
      <c r="G6" s="64"/>
      <c r="H6" s="64">
        <f>(35617.5+35617.5)*0.8</f>
        <v>56988</v>
      </c>
      <c r="I6" s="79">
        <f>SUM(G6:H6)</f>
        <v>56988</v>
      </c>
      <c r="J6" s="80"/>
      <c r="K6" s="65">
        <f>+F6</f>
        <v>2017</v>
      </c>
      <c r="L6" s="64"/>
      <c r="M6" s="64"/>
      <c r="N6" s="79"/>
    </row>
    <row r="7" spans="1:14" s="69" customFormat="1" ht="15.6" x14ac:dyDescent="0.3">
      <c r="A7" s="62">
        <f>+A6+1</f>
        <v>2018</v>
      </c>
      <c r="B7" s="61">
        <v>135000</v>
      </c>
      <c r="C7" s="77">
        <f>8031.25+6681.25</f>
        <v>14712.5</v>
      </c>
      <c r="D7" s="76">
        <f>SUM(B7:C7)</f>
        <v>149712.5</v>
      </c>
      <c r="E7" s="72"/>
      <c r="F7" s="62">
        <f>+A7</f>
        <v>2018</v>
      </c>
      <c r="G7" s="61">
        <f>48500*0.8</f>
        <v>38800</v>
      </c>
      <c r="H7" s="61">
        <f>(35617.5+35071.56)*0.8</f>
        <v>56551.248</v>
      </c>
      <c r="I7" s="74">
        <f>SUM(G7:H7)</f>
        <v>95351.247999999992</v>
      </c>
      <c r="J7" s="75"/>
      <c r="K7" s="62">
        <f>+F7</f>
        <v>2018</v>
      </c>
      <c r="L7" s="61"/>
      <c r="M7" s="61">
        <f>10060*0.74</f>
        <v>7444.4</v>
      </c>
      <c r="N7" s="74">
        <f>SUM(L7:M7)</f>
        <v>7444.4</v>
      </c>
    </row>
    <row r="8" spans="1:14" s="69" customFormat="1" ht="16.149999999999999" thickBot="1" x14ac:dyDescent="0.35">
      <c r="A8" s="59">
        <f>+A7+1</f>
        <v>2019</v>
      </c>
      <c r="B8" s="58">
        <v>140000</v>
      </c>
      <c r="C8" s="58">
        <f>6681.25+5281.25</f>
        <v>11962.5</v>
      </c>
      <c r="D8" s="73">
        <f>SUM(B8:C8)</f>
        <v>151962.5</v>
      </c>
      <c r="E8" s="72"/>
      <c r="F8" s="59">
        <f>+A8</f>
        <v>2019</v>
      </c>
      <c r="G8" s="58">
        <f>49500*0.8</f>
        <v>39600</v>
      </c>
      <c r="H8" s="58">
        <f>(35071.88+34515)*0.8</f>
        <v>55669.504000000008</v>
      </c>
      <c r="I8" s="70">
        <f>SUM(G8:H8)</f>
        <v>95269.504000000015</v>
      </c>
      <c r="J8" s="71"/>
      <c r="K8" s="59">
        <f>+F8</f>
        <v>2019</v>
      </c>
      <c r="L8" s="58">
        <f>70000*0.74</f>
        <v>51800</v>
      </c>
      <c r="M8" s="58">
        <f>(10975+10275)*0.74</f>
        <v>15725</v>
      </c>
      <c r="N8" s="70">
        <f>SUM(L8:M8)</f>
        <v>67525</v>
      </c>
    </row>
    <row r="9" spans="1:14" ht="14.45" thickBot="1" x14ac:dyDescent="0.35"/>
    <row r="10" spans="1:14" ht="16.149999999999999" thickBot="1" x14ac:dyDescent="0.35">
      <c r="F10" s="375" t="s">
        <v>69</v>
      </c>
      <c r="G10" s="376"/>
      <c r="H10" s="376"/>
      <c r="I10" s="377"/>
    </row>
    <row r="11" spans="1:14" ht="15.6" x14ac:dyDescent="0.3">
      <c r="F11" s="68"/>
      <c r="G11" s="67" t="s">
        <v>68</v>
      </c>
      <c r="H11" s="67" t="s">
        <v>67</v>
      </c>
      <c r="I11" s="66" t="s">
        <v>1</v>
      </c>
    </row>
    <row r="12" spans="1:14" ht="15.6" x14ac:dyDescent="0.3">
      <c r="F12" s="62">
        <f>+F4</f>
        <v>2015</v>
      </c>
      <c r="G12" s="61">
        <f t="shared" ref="G12:H16" si="0">+B4+G4+L4</f>
        <v>125000</v>
      </c>
      <c r="H12" s="61">
        <f t="shared" si="0"/>
        <v>21887.5</v>
      </c>
      <c r="I12" s="60">
        <f>SUM(G12:H12)</f>
        <v>146887.5</v>
      </c>
    </row>
    <row r="13" spans="1:14" ht="15.6" x14ac:dyDescent="0.3">
      <c r="F13" s="62">
        <f>+F5</f>
        <v>2016</v>
      </c>
      <c r="G13" s="61">
        <f t="shared" si="0"/>
        <v>130000</v>
      </c>
      <c r="H13" s="61">
        <f t="shared" si="0"/>
        <v>31047.836000000003</v>
      </c>
      <c r="I13" s="60">
        <f>SUM(G13:H13)</f>
        <v>161047.83600000001</v>
      </c>
    </row>
    <row r="14" spans="1:14" ht="15.6" x14ac:dyDescent="0.3">
      <c r="F14" s="65">
        <f>+F6</f>
        <v>2017</v>
      </c>
      <c r="G14" s="64">
        <f t="shared" si="0"/>
        <v>130000</v>
      </c>
      <c r="H14" s="64">
        <f t="shared" si="0"/>
        <v>75350.5</v>
      </c>
      <c r="I14" s="63">
        <f>SUM(G14:H14)</f>
        <v>205350.5</v>
      </c>
    </row>
    <row r="15" spans="1:14" ht="15.6" x14ac:dyDescent="0.3">
      <c r="F15" s="62">
        <f>+F7</f>
        <v>2018</v>
      </c>
      <c r="G15" s="61">
        <f t="shared" si="0"/>
        <v>173800</v>
      </c>
      <c r="H15" s="61">
        <f t="shared" si="0"/>
        <v>78708.147999999986</v>
      </c>
      <c r="I15" s="60">
        <f>SUM(G15:H15)</f>
        <v>252508.14799999999</v>
      </c>
    </row>
    <row r="16" spans="1:14" ht="16.149999999999999" thickBot="1" x14ac:dyDescent="0.35">
      <c r="F16" s="59">
        <f>+F8</f>
        <v>2019</v>
      </c>
      <c r="G16" s="58">
        <f t="shared" si="0"/>
        <v>231400</v>
      </c>
      <c r="H16" s="58">
        <f t="shared" si="0"/>
        <v>83357.004000000015</v>
      </c>
      <c r="I16" s="57">
        <f>SUM(G16:H16)</f>
        <v>314757.00400000002</v>
      </c>
    </row>
    <row r="26" spans="1:14" ht="15.6" x14ac:dyDescent="0.3">
      <c r="A26" s="366"/>
      <c r="B26" s="366"/>
      <c r="C26" s="366"/>
      <c r="D26" s="366"/>
      <c r="E26" s="366"/>
      <c r="F26" s="366"/>
      <c r="G26" s="366"/>
      <c r="H26" s="366"/>
      <c r="I26" s="366"/>
      <c r="J26" s="366"/>
    </row>
    <row r="27" spans="1:14" ht="15.6" x14ac:dyDescent="0.3">
      <c r="A27" s="366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</row>
  </sheetData>
  <mergeCells count="7">
    <mergeCell ref="A27:N27"/>
    <mergeCell ref="A1:N1"/>
    <mergeCell ref="A2:D2"/>
    <mergeCell ref="F2:I2"/>
    <mergeCell ref="K2:N2"/>
    <mergeCell ref="F10:I10"/>
    <mergeCell ref="A26:J26"/>
  </mergeCells>
  <printOptions horizontalCentered="1" verticalCentered="1"/>
  <pageMargins left="0.25" right="0.25" top="0.75" bottom="0.5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tabSelected="1" zoomScale="120" zoomScaleNormal="120" workbookViewId="0">
      <pane ySplit="3" topLeftCell="A4" activePane="bottomLeft" state="frozen"/>
      <selection pane="bottomLeft" activeCell="E90" sqref="E90"/>
    </sheetView>
  </sheetViews>
  <sheetFormatPr defaultColWidth="9.140625" defaultRowHeight="12.75" x14ac:dyDescent="0.25"/>
  <cols>
    <col min="1" max="1" width="16.140625" style="86" bestFit="1" customWidth="1"/>
    <col min="2" max="2" width="7.5703125" style="86" bestFit="1" customWidth="1"/>
    <col min="3" max="3" width="7.7109375" style="86" bestFit="1" customWidth="1"/>
    <col min="4" max="4" width="4.140625" style="86" bestFit="1" customWidth="1"/>
    <col min="5" max="5" width="6.28515625" style="87" bestFit="1" customWidth="1"/>
    <col min="6" max="7" width="7.28515625" style="86" bestFit="1" customWidth="1"/>
    <col min="8" max="16384" width="9.140625" style="86"/>
  </cols>
  <sheetData>
    <row r="1" spans="1:7" ht="10.15" x14ac:dyDescent="0.2">
      <c r="E1" s="378">
        <v>2017</v>
      </c>
      <c r="F1" s="379"/>
      <c r="G1" s="380"/>
    </row>
    <row r="2" spans="1:7" ht="10.15" x14ac:dyDescent="0.2">
      <c r="A2" s="112"/>
      <c r="B2" s="112" t="s">
        <v>174</v>
      </c>
      <c r="C2" s="112"/>
      <c r="D2" s="112" t="s">
        <v>173</v>
      </c>
      <c r="E2" s="113" t="s">
        <v>172</v>
      </c>
      <c r="F2" s="112" t="s">
        <v>171</v>
      </c>
      <c r="G2" s="111" t="s">
        <v>170</v>
      </c>
    </row>
    <row r="3" spans="1:7" ht="10.15" x14ac:dyDescent="0.2">
      <c r="A3" s="117"/>
      <c r="B3" s="117" t="s">
        <v>169</v>
      </c>
      <c r="C3" s="117" t="s">
        <v>30</v>
      </c>
      <c r="D3" s="117" t="s">
        <v>168</v>
      </c>
      <c r="E3" s="118" t="s">
        <v>167</v>
      </c>
      <c r="F3" s="117" t="s">
        <v>166</v>
      </c>
      <c r="G3" s="116" t="s">
        <v>165</v>
      </c>
    </row>
    <row r="4" spans="1:7" ht="10.15" x14ac:dyDescent="0.2">
      <c r="A4" s="115" t="s">
        <v>164</v>
      </c>
      <c r="B4" s="115"/>
      <c r="C4" s="115"/>
      <c r="D4" s="114"/>
      <c r="E4" s="113"/>
      <c r="F4" s="112"/>
      <c r="G4" s="111"/>
    </row>
    <row r="5" spans="1:7" ht="10.15" x14ac:dyDescent="0.2">
      <c r="A5" s="86" t="s">
        <v>163</v>
      </c>
      <c r="B5" s="97">
        <v>41156</v>
      </c>
      <c r="C5" s="96">
        <v>6150</v>
      </c>
      <c r="D5" s="101">
        <v>5</v>
      </c>
      <c r="E5" s="100">
        <f>+C5/D5</f>
        <v>1230</v>
      </c>
      <c r="F5" s="99">
        <v>5945</v>
      </c>
      <c r="G5" s="98">
        <f t="shared" ref="G5:G15" si="0">+C5-F5</f>
        <v>205</v>
      </c>
    </row>
    <row r="6" spans="1:7" ht="10.15" x14ac:dyDescent="0.2">
      <c r="A6" s="86" t="s">
        <v>162</v>
      </c>
      <c r="B6" s="97">
        <v>41078</v>
      </c>
      <c r="C6" s="96">
        <v>4611.95</v>
      </c>
      <c r="D6" s="101">
        <v>5</v>
      </c>
      <c r="E6" s="100">
        <f>+C6/D6</f>
        <v>922.39</v>
      </c>
      <c r="F6" s="99">
        <v>4611.95</v>
      </c>
      <c r="G6" s="98">
        <f t="shared" si="0"/>
        <v>0</v>
      </c>
    </row>
    <row r="7" spans="1:7" ht="10.15" x14ac:dyDescent="0.2">
      <c r="A7" s="86" t="s">
        <v>161</v>
      </c>
      <c r="B7" s="97">
        <v>41297</v>
      </c>
      <c r="C7" s="96">
        <v>1805</v>
      </c>
      <c r="D7" s="101">
        <v>5</v>
      </c>
      <c r="E7" s="100">
        <f>+C7/D7</f>
        <v>361</v>
      </c>
      <c r="F7" s="99">
        <v>1595</v>
      </c>
      <c r="G7" s="98">
        <f t="shared" si="0"/>
        <v>210</v>
      </c>
    </row>
    <row r="8" spans="1:7" ht="10.15" x14ac:dyDescent="0.2">
      <c r="A8" s="86" t="s">
        <v>160</v>
      </c>
      <c r="B8" s="97">
        <v>42353</v>
      </c>
      <c r="C8" s="96">
        <v>10200</v>
      </c>
      <c r="D8" s="101">
        <v>5</v>
      </c>
      <c r="E8" s="100">
        <f>+C8/D8</f>
        <v>2040</v>
      </c>
      <c r="F8" s="99">
        <v>3230</v>
      </c>
      <c r="G8" s="98">
        <f t="shared" si="0"/>
        <v>6970</v>
      </c>
    </row>
    <row r="9" spans="1:7" ht="10.15" x14ac:dyDescent="0.2">
      <c r="A9" s="86" t="s">
        <v>159</v>
      </c>
      <c r="B9" s="97">
        <v>42632</v>
      </c>
      <c r="C9" s="96">
        <v>27735</v>
      </c>
      <c r="D9" s="101">
        <v>10</v>
      </c>
      <c r="E9" s="100">
        <v>2080</v>
      </c>
      <c r="F9" s="99">
        <v>2080</v>
      </c>
      <c r="G9" s="98">
        <f t="shared" si="0"/>
        <v>25655</v>
      </c>
    </row>
    <row r="10" spans="1:7" ht="10.15" x14ac:dyDescent="0.2">
      <c r="A10" s="86" t="s">
        <v>158</v>
      </c>
      <c r="B10" s="97">
        <v>42853</v>
      </c>
      <c r="C10" s="96">
        <v>5830</v>
      </c>
      <c r="D10" s="101">
        <v>5</v>
      </c>
      <c r="E10" s="100">
        <v>194</v>
      </c>
      <c r="F10" s="99">
        <v>194</v>
      </c>
      <c r="G10" s="98">
        <f t="shared" si="0"/>
        <v>5636</v>
      </c>
    </row>
    <row r="11" spans="1:7" ht="10.15" x14ac:dyDescent="0.2">
      <c r="A11" s="86" t="s">
        <v>157</v>
      </c>
      <c r="B11" s="97">
        <v>42874</v>
      </c>
      <c r="C11" s="96">
        <v>66500</v>
      </c>
      <c r="D11" s="101">
        <v>5</v>
      </c>
      <c r="E11" s="100">
        <v>1108</v>
      </c>
      <c r="F11" s="99">
        <v>1108</v>
      </c>
      <c r="G11" s="98">
        <f t="shared" si="0"/>
        <v>65392</v>
      </c>
    </row>
    <row r="12" spans="1:7" ht="10.15" x14ac:dyDescent="0.2">
      <c r="A12" s="86" t="s">
        <v>156</v>
      </c>
      <c r="B12" s="97">
        <v>42773</v>
      </c>
      <c r="C12" s="96">
        <v>24167.5</v>
      </c>
      <c r="D12" s="101">
        <v>5</v>
      </c>
      <c r="E12" s="100">
        <v>2014</v>
      </c>
      <c r="F12" s="99">
        <v>2014</v>
      </c>
      <c r="G12" s="98">
        <f t="shared" si="0"/>
        <v>22153.5</v>
      </c>
    </row>
    <row r="13" spans="1:7" ht="10.15" x14ac:dyDescent="0.2">
      <c r="A13" s="86" t="s">
        <v>155</v>
      </c>
      <c r="B13" s="97">
        <v>42773</v>
      </c>
      <c r="C13" s="96">
        <v>57047.5</v>
      </c>
      <c r="D13" s="101">
        <v>5</v>
      </c>
      <c r="E13" s="100">
        <v>4754</v>
      </c>
      <c r="F13" s="99">
        <v>4754</v>
      </c>
      <c r="G13" s="98">
        <f t="shared" si="0"/>
        <v>52293.5</v>
      </c>
    </row>
    <row r="14" spans="1:7" ht="10.15" x14ac:dyDescent="0.2">
      <c r="A14" s="86" t="s">
        <v>154</v>
      </c>
      <c r="B14" s="97">
        <v>42867</v>
      </c>
      <c r="C14" s="96">
        <v>60000</v>
      </c>
      <c r="D14" s="101">
        <v>20</v>
      </c>
      <c r="E14" s="100">
        <v>500</v>
      </c>
      <c r="F14" s="99">
        <v>500</v>
      </c>
      <c r="G14" s="98">
        <f t="shared" si="0"/>
        <v>59500</v>
      </c>
    </row>
    <row r="15" spans="1:7" ht="10.9" thickBot="1" x14ac:dyDescent="0.25">
      <c r="A15" s="108" t="s">
        <v>154</v>
      </c>
      <c r="B15" s="107">
        <v>42867</v>
      </c>
      <c r="C15" s="106">
        <v>60000</v>
      </c>
      <c r="D15" s="105">
        <v>20</v>
      </c>
      <c r="E15" s="104">
        <v>500</v>
      </c>
      <c r="F15" s="103">
        <v>500</v>
      </c>
      <c r="G15" s="102">
        <f t="shared" si="0"/>
        <v>59500</v>
      </c>
    </row>
    <row r="16" spans="1:7" ht="10.9" thickTop="1" x14ac:dyDescent="0.2">
      <c r="B16" s="97"/>
      <c r="C16" s="96"/>
      <c r="D16" s="101"/>
      <c r="E16" s="100">
        <f>SUM(E5:E15)</f>
        <v>15703.39</v>
      </c>
      <c r="F16" s="99"/>
      <c r="G16" s="98"/>
    </row>
    <row r="17" spans="1:7" ht="10.15" x14ac:dyDescent="0.2">
      <c r="B17" s="97"/>
      <c r="C17" s="96"/>
      <c r="D17" s="101"/>
      <c r="E17" s="100"/>
      <c r="F17" s="99"/>
      <c r="G17" s="98"/>
    </row>
    <row r="18" spans="1:7" ht="10.15" x14ac:dyDescent="0.2">
      <c r="A18" s="110" t="s">
        <v>153</v>
      </c>
      <c r="B18" s="110"/>
      <c r="C18" s="110"/>
      <c r="D18" s="109"/>
      <c r="E18" s="100"/>
      <c r="F18" s="99"/>
      <c r="G18" s="98"/>
    </row>
    <row r="19" spans="1:7" ht="10.15" x14ac:dyDescent="0.2">
      <c r="A19" s="86" t="s">
        <v>152</v>
      </c>
      <c r="B19" s="97">
        <v>30497</v>
      </c>
      <c r="C19" s="96">
        <v>22700</v>
      </c>
      <c r="D19" s="101">
        <v>40</v>
      </c>
      <c r="E19" s="100">
        <f t="shared" ref="E19:E26" si="1">+C19/D19</f>
        <v>567.5</v>
      </c>
      <c r="F19" s="99">
        <v>19295</v>
      </c>
      <c r="G19" s="98">
        <f t="shared" ref="G19:G31" si="2">+C19-F19</f>
        <v>3405</v>
      </c>
    </row>
    <row r="20" spans="1:7" ht="10.15" x14ac:dyDescent="0.2">
      <c r="A20" s="86" t="s">
        <v>151</v>
      </c>
      <c r="B20" s="97">
        <v>30531</v>
      </c>
      <c r="C20" s="96">
        <v>138561</v>
      </c>
      <c r="D20" s="101">
        <v>40</v>
      </c>
      <c r="E20" s="100">
        <f t="shared" si="1"/>
        <v>3464.0250000000001</v>
      </c>
      <c r="F20" s="99">
        <v>117488</v>
      </c>
      <c r="G20" s="98">
        <f t="shared" si="2"/>
        <v>21073</v>
      </c>
    </row>
    <row r="21" spans="1:7" ht="10.15" x14ac:dyDescent="0.2">
      <c r="A21" s="86" t="s">
        <v>145</v>
      </c>
      <c r="B21" s="97">
        <v>30756</v>
      </c>
      <c r="C21" s="96">
        <v>92167</v>
      </c>
      <c r="D21" s="101">
        <v>40</v>
      </c>
      <c r="E21" s="100">
        <f t="shared" si="1"/>
        <v>2304.1750000000002</v>
      </c>
      <c r="F21" s="99">
        <v>76806</v>
      </c>
      <c r="G21" s="98">
        <f t="shared" si="2"/>
        <v>15361</v>
      </c>
    </row>
    <row r="22" spans="1:7" ht="10.15" x14ac:dyDescent="0.2">
      <c r="A22" s="86" t="s">
        <v>150</v>
      </c>
      <c r="B22" s="97">
        <v>30825</v>
      </c>
      <c r="C22" s="96">
        <v>38852</v>
      </c>
      <c r="D22" s="101">
        <v>40</v>
      </c>
      <c r="E22" s="100">
        <f t="shared" si="1"/>
        <v>971.3</v>
      </c>
      <c r="F22" s="99">
        <v>32134</v>
      </c>
      <c r="G22" s="98">
        <f t="shared" si="2"/>
        <v>6718</v>
      </c>
    </row>
    <row r="23" spans="1:7" ht="10.15" x14ac:dyDescent="0.2">
      <c r="A23" s="86" t="s">
        <v>149</v>
      </c>
      <c r="B23" s="97">
        <v>31133</v>
      </c>
      <c r="C23" s="96">
        <v>30038</v>
      </c>
      <c r="D23" s="101">
        <v>40</v>
      </c>
      <c r="E23" s="100">
        <f t="shared" si="1"/>
        <v>750.95</v>
      </c>
      <c r="F23" s="99">
        <v>24218</v>
      </c>
      <c r="G23" s="98">
        <f t="shared" si="2"/>
        <v>5820</v>
      </c>
    </row>
    <row r="24" spans="1:7" ht="10.15" x14ac:dyDescent="0.2">
      <c r="A24" s="86" t="s">
        <v>149</v>
      </c>
      <c r="B24" s="97">
        <v>31959</v>
      </c>
      <c r="C24" s="96">
        <v>32615</v>
      </c>
      <c r="D24" s="101">
        <v>40</v>
      </c>
      <c r="E24" s="100">
        <f t="shared" si="1"/>
        <v>815.375</v>
      </c>
      <c r="F24" s="99">
        <v>24461</v>
      </c>
      <c r="G24" s="98">
        <f t="shared" si="2"/>
        <v>8154</v>
      </c>
    </row>
    <row r="25" spans="1:7" ht="10.15" x14ac:dyDescent="0.2">
      <c r="A25" s="86" t="s">
        <v>148</v>
      </c>
      <c r="B25" s="97">
        <v>31532</v>
      </c>
      <c r="C25" s="96">
        <v>31422</v>
      </c>
      <c r="D25" s="101">
        <v>40</v>
      </c>
      <c r="E25" s="100">
        <f t="shared" si="1"/>
        <v>785.55</v>
      </c>
      <c r="F25" s="99">
        <v>24483</v>
      </c>
      <c r="G25" s="98">
        <f t="shared" si="2"/>
        <v>6939</v>
      </c>
    </row>
    <row r="26" spans="1:7" ht="10.15" x14ac:dyDescent="0.2">
      <c r="A26" s="86" t="s">
        <v>147</v>
      </c>
      <c r="B26" s="97">
        <v>32295</v>
      </c>
      <c r="C26" s="96">
        <v>30340</v>
      </c>
      <c r="D26" s="101">
        <v>40</v>
      </c>
      <c r="E26" s="100">
        <f t="shared" si="1"/>
        <v>758.5</v>
      </c>
      <c r="F26" s="99">
        <v>22060</v>
      </c>
      <c r="G26" s="98">
        <f t="shared" si="2"/>
        <v>8280</v>
      </c>
    </row>
    <row r="27" spans="1:7" ht="10.15" x14ac:dyDescent="0.2">
      <c r="A27" s="86" t="s">
        <v>146</v>
      </c>
      <c r="B27" s="97">
        <v>35445</v>
      </c>
      <c r="C27" s="96">
        <v>73646</v>
      </c>
      <c r="D27" s="101">
        <v>40</v>
      </c>
      <c r="E27" s="100">
        <v>921</v>
      </c>
      <c r="F27" s="99">
        <v>73646</v>
      </c>
      <c r="G27" s="98">
        <f t="shared" si="2"/>
        <v>0</v>
      </c>
    </row>
    <row r="28" spans="1:7" ht="10.15" x14ac:dyDescent="0.2">
      <c r="A28" s="86" t="s">
        <v>145</v>
      </c>
      <c r="B28" s="97">
        <v>31959</v>
      </c>
      <c r="C28" s="96">
        <v>10033</v>
      </c>
      <c r="D28" s="101">
        <v>40</v>
      </c>
      <c r="E28" s="100">
        <f>+C28/D28</f>
        <v>250.82499999999999</v>
      </c>
      <c r="F28" s="99">
        <v>7525</v>
      </c>
      <c r="G28" s="98">
        <f t="shared" si="2"/>
        <v>2508</v>
      </c>
    </row>
    <row r="29" spans="1:7" ht="10.15" x14ac:dyDescent="0.2">
      <c r="A29" s="86" t="s">
        <v>144</v>
      </c>
      <c r="B29" s="97">
        <v>28194</v>
      </c>
      <c r="C29" s="96">
        <v>90147</v>
      </c>
      <c r="D29" s="101">
        <v>40</v>
      </c>
      <c r="E29" s="100">
        <v>1502</v>
      </c>
      <c r="F29" s="99">
        <v>90147</v>
      </c>
      <c r="G29" s="98">
        <f t="shared" si="2"/>
        <v>0</v>
      </c>
    </row>
    <row r="30" spans="1:7" ht="10.15" x14ac:dyDescent="0.2">
      <c r="A30" s="86" t="s">
        <v>121</v>
      </c>
      <c r="B30" s="97">
        <v>28671</v>
      </c>
      <c r="C30" s="96">
        <v>13680</v>
      </c>
      <c r="D30" s="101">
        <v>40</v>
      </c>
      <c r="E30" s="100">
        <f t="shared" ref="E30:E69" si="3">+C30/D30</f>
        <v>342</v>
      </c>
      <c r="F30" s="99">
        <v>13338</v>
      </c>
      <c r="G30" s="98">
        <f t="shared" si="2"/>
        <v>342</v>
      </c>
    </row>
    <row r="31" spans="1:7" ht="10.15" x14ac:dyDescent="0.2">
      <c r="A31" s="86" t="s">
        <v>143</v>
      </c>
      <c r="B31" s="97">
        <v>28671</v>
      </c>
      <c r="C31" s="96">
        <v>29022</v>
      </c>
      <c r="D31" s="101">
        <v>40</v>
      </c>
      <c r="E31" s="100">
        <f t="shared" si="3"/>
        <v>725.55</v>
      </c>
      <c r="F31" s="99">
        <v>28296</v>
      </c>
      <c r="G31" s="98">
        <f t="shared" si="2"/>
        <v>726</v>
      </c>
    </row>
    <row r="32" spans="1:7" ht="10.15" x14ac:dyDescent="0.2">
      <c r="A32" s="86" t="s">
        <v>142</v>
      </c>
      <c r="B32" s="97">
        <v>28671</v>
      </c>
      <c r="C32" s="96">
        <v>6340</v>
      </c>
      <c r="D32" s="101">
        <v>40</v>
      </c>
      <c r="E32" s="100">
        <f t="shared" si="3"/>
        <v>158.5</v>
      </c>
      <c r="F32" s="99">
        <v>6182</v>
      </c>
      <c r="G32" s="98">
        <v>159</v>
      </c>
    </row>
    <row r="33" spans="1:7" ht="10.15" x14ac:dyDescent="0.2">
      <c r="A33" s="86" t="s">
        <v>141</v>
      </c>
      <c r="B33" s="97">
        <v>28671</v>
      </c>
      <c r="C33" s="96">
        <v>24681</v>
      </c>
      <c r="D33" s="101">
        <v>40</v>
      </c>
      <c r="E33" s="100">
        <f t="shared" si="3"/>
        <v>617.02499999999998</v>
      </c>
      <c r="F33" s="99">
        <v>24064</v>
      </c>
      <c r="G33" s="98">
        <f t="shared" ref="G33:G70" si="4">+C33-F33</f>
        <v>617</v>
      </c>
    </row>
    <row r="34" spans="1:7" ht="10.15" x14ac:dyDescent="0.2">
      <c r="A34" s="86" t="s">
        <v>140</v>
      </c>
      <c r="B34" s="97">
        <v>28671</v>
      </c>
      <c r="C34" s="96">
        <v>8001</v>
      </c>
      <c r="D34" s="101">
        <v>40</v>
      </c>
      <c r="E34" s="100">
        <f t="shared" si="3"/>
        <v>200.02500000000001</v>
      </c>
      <c r="F34" s="99">
        <v>7801</v>
      </c>
      <c r="G34" s="98">
        <f t="shared" si="4"/>
        <v>200</v>
      </c>
    </row>
    <row r="35" spans="1:7" ht="10.15" x14ac:dyDescent="0.2">
      <c r="A35" s="86" t="s">
        <v>139</v>
      </c>
      <c r="B35" s="97">
        <v>28671</v>
      </c>
      <c r="C35" s="96">
        <v>197503</v>
      </c>
      <c r="D35" s="101">
        <v>40</v>
      </c>
      <c r="E35" s="100">
        <f t="shared" si="3"/>
        <v>4937.5749999999998</v>
      </c>
      <c r="F35" s="99">
        <v>191331</v>
      </c>
      <c r="G35" s="98">
        <f t="shared" si="4"/>
        <v>6172</v>
      </c>
    </row>
    <row r="36" spans="1:7" ht="10.15" x14ac:dyDescent="0.2">
      <c r="A36" s="86" t="s">
        <v>131</v>
      </c>
      <c r="B36" s="97">
        <v>29005</v>
      </c>
      <c r="C36" s="96">
        <v>183257</v>
      </c>
      <c r="D36" s="101">
        <v>40</v>
      </c>
      <c r="E36" s="100">
        <f t="shared" si="3"/>
        <v>4581.4250000000002</v>
      </c>
      <c r="F36" s="99">
        <v>174476</v>
      </c>
      <c r="G36" s="98">
        <f t="shared" si="4"/>
        <v>8781</v>
      </c>
    </row>
    <row r="37" spans="1:7" ht="10.15" x14ac:dyDescent="0.2">
      <c r="A37" s="86" t="s">
        <v>138</v>
      </c>
      <c r="B37" s="97">
        <v>29402</v>
      </c>
      <c r="C37" s="96">
        <v>78800</v>
      </c>
      <c r="D37" s="101">
        <v>40</v>
      </c>
      <c r="E37" s="100">
        <f t="shared" si="3"/>
        <v>1970</v>
      </c>
      <c r="F37" s="99">
        <v>72890</v>
      </c>
      <c r="G37" s="98">
        <f t="shared" si="4"/>
        <v>5910</v>
      </c>
    </row>
    <row r="38" spans="1:7" ht="10.15" x14ac:dyDescent="0.2">
      <c r="A38" s="86" t="s">
        <v>137</v>
      </c>
      <c r="B38" s="97">
        <v>29036</v>
      </c>
      <c r="C38" s="96">
        <v>127424</v>
      </c>
      <c r="D38" s="101">
        <v>40</v>
      </c>
      <c r="E38" s="100">
        <f t="shared" si="3"/>
        <v>3185.6</v>
      </c>
      <c r="F38" s="99">
        <v>121053</v>
      </c>
      <c r="G38" s="98">
        <f t="shared" si="4"/>
        <v>6371</v>
      </c>
    </row>
    <row r="39" spans="1:7" ht="10.15" x14ac:dyDescent="0.2">
      <c r="A39" s="86" t="s">
        <v>136</v>
      </c>
      <c r="B39" s="97">
        <v>29402</v>
      </c>
      <c r="C39" s="96">
        <v>16015</v>
      </c>
      <c r="D39" s="101">
        <v>40</v>
      </c>
      <c r="E39" s="100">
        <f t="shared" si="3"/>
        <v>400.375</v>
      </c>
      <c r="F39" s="99">
        <v>14814</v>
      </c>
      <c r="G39" s="98">
        <f t="shared" si="4"/>
        <v>1201</v>
      </c>
    </row>
    <row r="40" spans="1:7" ht="10.15" x14ac:dyDescent="0.2">
      <c r="A40" s="86" t="s">
        <v>135</v>
      </c>
      <c r="B40" s="97">
        <v>32275</v>
      </c>
      <c r="C40" s="96">
        <v>6423</v>
      </c>
      <c r="D40" s="101">
        <v>40</v>
      </c>
      <c r="E40" s="100">
        <f t="shared" si="3"/>
        <v>160.57499999999999</v>
      </c>
      <c r="F40" s="99">
        <v>4683</v>
      </c>
      <c r="G40" s="98">
        <f t="shared" si="4"/>
        <v>1740</v>
      </c>
    </row>
    <row r="41" spans="1:7" ht="10.15" x14ac:dyDescent="0.2">
      <c r="A41" s="86" t="s">
        <v>109</v>
      </c>
      <c r="B41" s="97">
        <v>29269</v>
      </c>
      <c r="C41" s="96">
        <v>12595</v>
      </c>
      <c r="D41" s="101">
        <v>40</v>
      </c>
      <c r="E41" s="100">
        <f t="shared" si="3"/>
        <v>314.875</v>
      </c>
      <c r="F41" s="99">
        <v>11755</v>
      </c>
      <c r="G41" s="98">
        <f t="shared" si="4"/>
        <v>840</v>
      </c>
    </row>
    <row r="42" spans="1:7" ht="10.15" x14ac:dyDescent="0.2">
      <c r="A42" s="86" t="s">
        <v>134</v>
      </c>
      <c r="B42" s="97">
        <v>29767</v>
      </c>
      <c r="C42" s="96">
        <v>54880</v>
      </c>
      <c r="D42" s="101">
        <v>40</v>
      </c>
      <c r="E42" s="100">
        <f t="shared" si="3"/>
        <v>1372</v>
      </c>
      <c r="F42" s="99">
        <v>49392</v>
      </c>
      <c r="G42" s="98">
        <f t="shared" si="4"/>
        <v>5488</v>
      </c>
    </row>
    <row r="43" spans="1:7" ht="10.15" x14ac:dyDescent="0.2">
      <c r="A43" s="86" t="s">
        <v>133</v>
      </c>
      <c r="B43" s="97">
        <v>29767</v>
      </c>
      <c r="C43" s="96">
        <v>96280</v>
      </c>
      <c r="D43" s="101">
        <v>40</v>
      </c>
      <c r="E43" s="100">
        <f t="shared" si="3"/>
        <v>2407</v>
      </c>
      <c r="F43" s="99">
        <v>86652</v>
      </c>
      <c r="G43" s="98">
        <f t="shared" si="4"/>
        <v>9628</v>
      </c>
    </row>
    <row r="44" spans="1:7" ht="10.15" x14ac:dyDescent="0.2">
      <c r="A44" s="86" t="s">
        <v>132</v>
      </c>
      <c r="B44" s="97">
        <v>29767</v>
      </c>
      <c r="C44" s="96">
        <v>34579</v>
      </c>
      <c r="D44" s="101">
        <v>40</v>
      </c>
      <c r="E44" s="100">
        <f t="shared" si="3"/>
        <v>864.47500000000002</v>
      </c>
      <c r="F44" s="99">
        <v>31121</v>
      </c>
      <c r="G44" s="98">
        <f t="shared" si="4"/>
        <v>3458</v>
      </c>
    </row>
    <row r="45" spans="1:7" ht="10.15" x14ac:dyDescent="0.2">
      <c r="A45" s="86" t="s">
        <v>131</v>
      </c>
      <c r="B45" s="97">
        <v>29494</v>
      </c>
      <c r="C45" s="96">
        <v>373957</v>
      </c>
      <c r="D45" s="101">
        <v>40</v>
      </c>
      <c r="E45" s="100">
        <f t="shared" si="3"/>
        <v>9348.9249999999993</v>
      </c>
      <c r="F45" s="99">
        <v>343573</v>
      </c>
      <c r="G45" s="98">
        <f t="shared" si="4"/>
        <v>30384</v>
      </c>
    </row>
    <row r="46" spans="1:7" ht="10.15" x14ac:dyDescent="0.2">
      <c r="A46" s="86" t="s">
        <v>130</v>
      </c>
      <c r="B46" s="97">
        <v>29767</v>
      </c>
      <c r="C46" s="96">
        <v>130677</v>
      </c>
      <c r="D46" s="101">
        <v>40</v>
      </c>
      <c r="E46" s="100">
        <f t="shared" si="3"/>
        <v>3266.9250000000002</v>
      </c>
      <c r="F46" s="99">
        <v>117609</v>
      </c>
      <c r="G46" s="98">
        <f t="shared" si="4"/>
        <v>13068</v>
      </c>
    </row>
    <row r="47" spans="1:7" ht="10.15" x14ac:dyDescent="0.2">
      <c r="A47" s="86" t="s">
        <v>129</v>
      </c>
      <c r="B47" s="97">
        <v>29767</v>
      </c>
      <c r="C47" s="96">
        <v>3800</v>
      </c>
      <c r="D47" s="101">
        <v>40</v>
      </c>
      <c r="E47" s="100">
        <f t="shared" si="3"/>
        <v>95</v>
      </c>
      <c r="F47" s="99">
        <v>3420</v>
      </c>
      <c r="G47" s="98">
        <f t="shared" si="4"/>
        <v>380</v>
      </c>
    </row>
    <row r="48" spans="1:7" ht="10.15" x14ac:dyDescent="0.2">
      <c r="A48" s="86" t="s">
        <v>128</v>
      </c>
      <c r="B48" s="97">
        <v>29767</v>
      </c>
      <c r="C48" s="96">
        <v>43412</v>
      </c>
      <c r="D48" s="101">
        <v>40</v>
      </c>
      <c r="E48" s="100">
        <f t="shared" si="3"/>
        <v>1085.3</v>
      </c>
      <c r="F48" s="99">
        <v>39071</v>
      </c>
      <c r="G48" s="98">
        <f t="shared" si="4"/>
        <v>4341</v>
      </c>
    </row>
    <row r="49" spans="1:7" ht="10.15" x14ac:dyDescent="0.2">
      <c r="A49" s="86" t="s">
        <v>127</v>
      </c>
      <c r="B49" s="97">
        <v>29767</v>
      </c>
      <c r="C49" s="96">
        <v>6000</v>
      </c>
      <c r="D49" s="101">
        <v>40</v>
      </c>
      <c r="E49" s="100">
        <f t="shared" si="3"/>
        <v>150</v>
      </c>
      <c r="F49" s="99">
        <v>5400</v>
      </c>
      <c r="G49" s="98">
        <f t="shared" si="4"/>
        <v>600</v>
      </c>
    </row>
    <row r="50" spans="1:7" ht="10.15" x14ac:dyDescent="0.2">
      <c r="A50" s="86" t="s">
        <v>126</v>
      </c>
      <c r="B50" s="97">
        <v>30132</v>
      </c>
      <c r="C50" s="96">
        <v>32094</v>
      </c>
      <c r="D50" s="101">
        <v>40</v>
      </c>
      <c r="E50" s="100">
        <f t="shared" si="3"/>
        <v>802.35</v>
      </c>
      <c r="F50" s="99">
        <v>28082</v>
      </c>
      <c r="G50" s="98">
        <f t="shared" si="4"/>
        <v>4012</v>
      </c>
    </row>
    <row r="51" spans="1:7" ht="10.15" x14ac:dyDescent="0.2">
      <c r="A51" s="86" t="s">
        <v>121</v>
      </c>
      <c r="B51" s="97">
        <v>30132</v>
      </c>
      <c r="C51" s="96">
        <v>6098</v>
      </c>
      <c r="D51" s="101">
        <v>40</v>
      </c>
      <c r="E51" s="100">
        <f t="shared" si="3"/>
        <v>152.44999999999999</v>
      </c>
      <c r="F51" s="99">
        <v>5336</v>
      </c>
      <c r="G51" s="98">
        <f t="shared" si="4"/>
        <v>762</v>
      </c>
    </row>
    <row r="52" spans="1:7" ht="10.15" x14ac:dyDescent="0.2">
      <c r="A52" s="86" t="s">
        <v>125</v>
      </c>
      <c r="B52" s="97">
        <v>30132</v>
      </c>
      <c r="C52" s="96">
        <v>2227</v>
      </c>
      <c r="D52" s="101">
        <v>40</v>
      </c>
      <c r="E52" s="100">
        <f t="shared" si="3"/>
        <v>55.674999999999997</v>
      </c>
      <c r="F52" s="99">
        <v>1949</v>
      </c>
      <c r="G52" s="98">
        <f t="shared" si="4"/>
        <v>278</v>
      </c>
    </row>
    <row r="53" spans="1:7" ht="10.15" x14ac:dyDescent="0.2">
      <c r="A53" s="86" t="s">
        <v>124</v>
      </c>
      <c r="B53" s="97">
        <v>30132</v>
      </c>
      <c r="C53" s="96">
        <v>3564</v>
      </c>
      <c r="D53" s="101">
        <v>40</v>
      </c>
      <c r="E53" s="100">
        <f t="shared" si="3"/>
        <v>89.1</v>
      </c>
      <c r="F53" s="99">
        <v>3119</v>
      </c>
      <c r="G53" s="98">
        <f t="shared" si="4"/>
        <v>445</v>
      </c>
    </row>
    <row r="54" spans="1:7" ht="10.15" x14ac:dyDescent="0.2">
      <c r="A54" s="86" t="s">
        <v>123</v>
      </c>
      <c r="B54" s="97">
        <v>30132</v>
      </c>
      <c r="C54" s="96">
        <v>49250</v>
      </c>
      <c r="D54" s="101">
        <v>40</v>
      </c>
      <c r="E54" s="100">
        <f t="shared" si="3"/>
        <v>1231.25</v>
      </c>
      <c r="F54" s="99">
        <v>43094</v>
      </c>
      <c r="G54" s="98">
        <f t="shared" si="4"/>
        <v>6156</v>
      </c>
    </row>
    <row r="55" spans="1:7" ht="10.15" x14ac:dyDescent="0.2">
      <c r="A55" s="86" t="s">
        <v>122</v>
      </c>
      <c r="B55" s="97">
        <v>30132</v>
      </c>
      <c r="C55" s="96">
        <v>28000</v>
      </c>
      <c r="D55" s="101">
        <v>40</v>
      </c>
      <c r="E55" s="100">
        <f t="shared" si="3"/>
        <v>700</v>
      </c>
      <c r="F55" s="99">
        <v>24500</v>
      </c>
      <c r="G55" s="98">
        <f t="shared" si="4"/>
        <v>3500</v>
      </c>
    </row>
    <row r="56" spans="1:7" ht="10.15" x14ac:dyDescent="0.2">
      <c r="A56" s="86" t="s">
        <v>121</v>
      </c>
      <c r="B56" s="97">
        <v>30132</v>
      </c>
      <c r="C56" s="96">
        <v>38500</v>
      </c>
      <c r="D56" s="101">
        <v>40</v>
      </c>
      <c r="E56" s="100">
        <f t="shared" si="3"/>
        <v>962.5</v>
      </c>
      <c r="F56" s="99">
        <v>33688</v>
      </c>
      <c r="G56" s="98">
        <f t="shared" si="4"/>
        <v>4812</v>
      </c>
    </row>
    <row r="57" spans="1:7" ht="10.15" x14ac:dyDescent="0.2">
      <c r="A57" s="86" t="s">
        <v>120</v>
      </c>
      <c r="B57" s="97">
        <v>30132</v>
      </c>
      <c r="C57" s="96">
        <v>16500</v>
      </c>
      <c r="D57" s="101">
        <v>40</v>
      </c>
      <c r="E57" s="100">
        <f t="shared" si="3"/>
        <v>412.5</v>
      </c>
      <c r="F57" s="99">
        <v>14438</v>
      </c>
      <c r="G57" s="98">
        <f t="shared" si="4"/>
        <v>2062</v>
      </c>
    </row>
    <row r="58" spans="1:7" ht="10.15" x14ac:dyDescent="0.2">
      <c r="A58" s="86" t="s">
        <v>119</v>
      </c>
      <c r="B58" s="97" t="s">
        <v>118</v>
      </c>
      <c r="C58" s="96">
        <v>90737</v>
      </c>
      <c r="D58" s="101">
        <v>40</v>
      </c>
      <c r="E58" s="100">
        <f t="shared" si="3"/>
        <v>2268.4250000000002</v>
      </c>
      <c r="F58" s="99">
        <v>68053</v>
      </c>
      <c r="G58" s="98">
        <f t="shared" si="4"/>
        <v>22684</v>
      </c>
    </row>
    <row r="59" spans="1:7" ht="10.15" x14ac:dyDescent="0.2">
      <c r="A59" s="86" t="s">
        <v>117</v>
      </c>
      <c r="B59" s="97">
        <v>32690</v>
      </c>
      <c r="C59" s="96">
        <v>290000</v>
      </c>
      <c r="D59" s="101">
        <v>40</v>
      </c>
      <c r="E59" s="100">
        <f t="shared" si="3"/>
        <v>7250</v>
      </c>
      <c r="F59" s="99">
        <v>203000</v>
      </c>
      <c r="G59" s="98">
        <f t="shared" si="4"/>
        <v>87000</v>
      </c>
    </row>
    <row r="60" spans="1:7" ht="10.15" x14ac:dyDescent="0.2">
      <c r="A60" s="86" t="s">
        <v>116</v>
      </c>
      <c r="B60" s="97">
        <v>33785</v>
      </c>
      <c r="C60" s="96">
        <v>23680</v>
      </c>
      <c r="D60" s="101">
        <v>40</v>
      </c>
      <c r="E60" s="100">
        <f t="shared" si="3"/>
        <v>592</v>
      </c>
      <c r="F60" s="99">
        <v>14800</v>
      </c>
      <c r="G60" s="98">
        <f t="shared" si="4"/>
        <v>8880</v>
      </c>
    </row>
    <row r="61" spans="1:7" ht="10.15" x14ac:dyDescent="0.2">
      <c r="A61" s="86" t="s">
        <v>115</v>
      </c>
      <c r="B61" s="97">
        <v>34150</v>
      </c>
      <c r="C61" s="96">
        <v>9972</v>
      </c>
      <c r="D61" s="101">
        <v>40</v>
      </c>
      <c r="E61" s="100">
        <f t="shared" si="3"/>
        <v>249.3</v>
      </c>
      <c r="F61" s="99">
        <v>5983</v>
      </c>
      <c r="G61" s="98">
        <f t="shared" si="4"/>
        <v>3989</v>
      </c>
    </row>
    <row r="62" spans="1:7" ht="10.15" x14ac:dyDescent="0.2">
      <c r="A62" s="86" t="s">
        <v>112</v>
      </c>
      <c r="B62" s="97">
        <v>34334</v>
      </c>
      <c r="C62" s="96">
        <v>1205116</v>
      </c>
      <c r="D62" s="101">
        <v>40</v>
      </c>
      <c r="E62" s="100">
        <f t="shared" si="3"/>
        <v>30127.9</v>
      </c>
      <c r="F62" s="99">
        <v>708006</v>
      </c>
      <c r="G62" s="98">
        <f t="shared" si="4"/>
        <v>497110</v>
      </c>
    </row>
    <row r="63" spans="1:7" ht="10.15" x14ac:dyDescent="0.2">
      <c r="A63" s="86" t="s">
        <v>114</v>
      </c>
      <c r="B63" s="97">
        <v>35795</v>
      </c>
      <c r="C63" s="96">
        <v>114263</v>
      </c>
      <c r="D63" s="101">
        <v>40</v>
      </c>
      <c r="E63" s="100">
        <f t="shared" si="3"/>
        <v>2856.5749999999998</v>
      </c>
      <c r="F63" s="99">
        <v>55703</v>
      </c>
      <c r="G63" s="98">
        <f t="shared" si="4"/>
        <v>58560</v>
      </c>
    </row>
    <row r="64" spans="1:7" ht="10.15" x14ac:dyDescent="0.2">
      <c r="A64" s="86" t="s">
        <v>113</v>
      </c>
      <c r="B64" s="97">
        <v>36038</v>
      </c>
      <c r="C64" s="96">
        <v>125103</v>
      </c>
      <c r="D64" s="101">
        <v>40</v>
      </c>
      <c r="E64" s="100">
        <f t="shared" si="3"/>
        <v>3127.5749999999998</v>
      </c>
      <c r="F64" s="99">
        <v>58903</v>
      </c>
      <c r="G64" s="98">
        <f t="shared" si="4"/>
        <v>66200</v>
      </c>
    </row>
    <row r="65" spans="1:7" ht="10.15" x14ac:dyDescent="0.2">
      <c r="A65" s="86" t="s">
        <v>112</v>
      </c>
      <c r="B65" s="97">
        <v>36891</v>
      </c>
      <c r="C65" s="96">
        <v>74593</v>
      </c>
      <c r="D65" s="101">
        <v>40</v>
      </c>
      <c r="E65" s="100">
        <f t="shared" si="3"/>
        <v>1864.825</v>
      </c>
      <c r="F65" s="99">
        <v>30770</v>
      </c>
      <c r="G65" s="98">
        <f t="shared" si="4"/>
        <v>43823</v>
      </c>
    </row>
    <row r="66" spans="1:7" ht="10.15" x14ac:dyDescent="0.2">
      <c r="A66" s="86" t="s">
        <v>111</v>
      </c>
      <c r="B66" s="97">
        <v>39685</v>
      </c>
      <c r="C66" s="96">
        <v>33400</v>
      </c>
      <c r="D66" s="101">
        <v>40</v>
      </c>
      <c r="E66" s="100">
        <f t="shared" si="3"/>
        <v>835</v>
      </c>
      <c r="F66" s="99">
        <v>7376</v>
      </c>
      <c r="G66" s="98">
        <f t="shared" si="4"/>
        <v>26024</v>
      </c>
    </row>
    <row r="67" spans="1:7" ht="10.15" x14ac:dyDescent="0.2">
      <c r="A67" s="86" t="s">
        <v>110</v>
      </c>
      <c r="B67" s="97">
        <v>40752</v>
      </c>
      <c r="C67" s="96">
        <v>12000</v>
      </c>
      <c r="D67" s="101">
        <v>20</v>
      </c>
      <c r="E67" s="100">
        <f t="shared" si="3"/>
        <v>600</v>
      </c>
      <c r="F67" s="99">
        <v>3550</v>
      </c>
      <c r="G67" s="98">
        <f t="shared" si="4"/>
        <v>8450</v>
      </c>
    </row>
    <row r="68" spans="1:7" ht="10.15" x14ac:dyDescent="0.2">
      <c r="A68" s="86" t="s">
        <v>109</v>
      </c>
      <c r="B68" s="97">
        <v>41150</v>
      </c>
      <c r="C68" s="96">
        <v>5000</v>
      </c>
      <c r="D68" s="101">
        <v>20</v>
      </c>
      <c r="E68" s="100">
        <f t="shared" si="3"/>
        <v>250</v>
      </c>
      <c r="F68" s="99">
        <v>1208</v>
      </c>
      <c r="G68" s="98">
        <f t="shared" si="4"/>
        <v>3792</v>
      </c>
    </row>
    <row r="69" spans="1:7" ht="10.15" x14ac:dyDescent="0.2">
      <c r="A69" s="86" t="s">
        <v>108</v>
      </c>
      <c r="B69" s="97">
        <v>42321</v>
      </c>
      <c r="C69" s="96">
        <v>363339.06</v>
      </c>
      <c r="D69" s="101">
        <v>40</v>
      </c>
      <c r="E69" s="100">
        <f t="shared" si="3"/>
        <v>9083.4765000000007</v>
      </c>
      <c r="F69" s="99">
        <v>15139</v>
      </c>
      <c r="G69" s="98">
        <f t="shared" si="4"/>
        <v>348200.06</v>
      </c>
    </row>
    <row r="70" spans="1:7" ht="10.9" thickBot="1" x14ac:dyDescent="0.25">
      <c r="A70" s="108" t="s">
        <v>107</v>
      </c>
      <c r="B70" s="107">
        <v>42608</v>
      </c>
      <c r="C70" s="106">
        <v>178942</v>
      </c>
      <c r="D70" s="105">
        <v>30</v>
      </c>
      <c r="E70" s="104">
        <v>4971</v>
      </c>
      <c r="F70" s="103">
        <v>4971</v>
      </c>
      <c r="G70" s="102">
        <f t="shared" si="4"/>
        <v>173971</v>
      </c>
    </row>
    <row r="71" spans="1:7" ht="10.9" thickTop="1" x14ac:dyDescent="0.2">
      <c r="B71" s="97"/>
      <c r="C71" s="96"/>
      <c r="D71" s="101"/>
      <c r="E71" s="100">
        <f>SUM(E19:E70)</f>
        <v>117756.25150000001</v>
      </c>
      <c r="F71" s="99">
        <f>+E71-117757</f>
        <v>-0.74849999998696148</v>
      </c>
      <c r="G71" s="98"/>
    </row>
    <row r="72" spans="1:7" ht="10.15" x14ac:dyDescent="0.2">
      <c r="A72" s="110" t="s">
        <v>106</v>
      </c>
      <c r="B72" s="110"/>
      <c r="C72" s="110"/>
      <c r="D72" s="109"/>
      <c r="E72" s="100"/>
      <c r="F72" s="99"/>
      <c r="G72" s="98"/>
    </row>
    <row r="73" spans="1:7" ht="10.15" x14ac:dyDescent="0.2">
      <c r="A73" s="86" t="s">
        <v>105</v>
      </c>
      <c r="B73" s="97">
        <v>31959</v>
      </c>
      <c r="C73" s="96">
        <v>17833</v>
      </c>
      <c r="D73" s="101">
        <v>40</v>
      </c>
      <c r="E73" s="100">
        <f t="shared" ref="E73:E85" si="5">+C73/D73</f>
        <v>445.82499999999999</v>
      </c>
      <c r="F73" s="99">
        <v>13375</v>
      </c>
      <c r="G73" s="98">
        <f t="shared" ref="G73:G89" si="6">+C73-F73</f>
        <v>4458</v>
      </c>
    </row>
    <row r="74" spans="1:7" ht="10.15" x14ac:dyDescent="0.2">
      <c r="A74" s="86" t="s">
        <v>104</v>
      </c>
      <c r="B74" s="97">
        <v>32295</v>
      </c>
      <c r="C74" s="96">
        <v>26681</v>
      </c>
      <c r="D74" s="101">
        <v>40</v>
      </c>
      <c r="E74" s="100">
        <f t="shared" si="5"/>
        <v>667.02499999999998</v>
      </c>
      <c r="F74" s="99">
        <v>19399</v>
      </c>
      <c r="G74" s="98">
        <f t="shared" si="6"/>
        <v>7282</v>
      </c>
    </row>
    <row r="75" spans="1:7" ht="10.15" x14ac:dyDescent="0.2">
      <c r="A75" s="86" t="s">
        <v>103</v>
      </c>
      <c r="B75" s="97">
        <v>28642</v>
      </c>
      <c r="C75" s="96">
        <v>10000</v>
      </c>
      <c r="D75" s="101">
        <v>40</v>
      </c>
      <c r="E75" s="100">
        <f t="shared" si="5"/>
        <v>250</v>
      </c>
      <c r="F75" s="99">
        <v>9771</v>
      </c>
      <c r="G75" s="98">
        <f t="shared" si="6"/>
        <v>229</v>
      </c>
    </row>
    <row r="76" spans="1:7" ht="10.15" x14ac:dyDescent="0.2">
      <c r="A76" s="86" t="s">
        <v>102</v>
      </c>
      <c r="B76" s="97">
        <v>29373</v>
      </c>
      <c r="C76" s="96">
        <v>53542</v>
      </c>
      <c r="D76" s="101">
        <v>40</v>
      </c>
      <c r="E76" s="100">
        <f t="shared" si="5"/>
        <v>1338.55</v>
      </c>
      <c r="F76" s="99">
        <v>49638</v>
      </c>
      <c r="G76" s="98">
        <f t="shared" si="6"/>
        <v>3904</v>
      </c>
    </row>
    <row r="77" spans="1:7" ht="10.15" x14ac:dyDescent="0.2">
      <c r="A77" s="86" t="s">
        <v>101</v>
      </c>
      <c r="B77" s="97">
        <v>32295</v>
      </c>
      <c r="C77" s="96">
        <v>113226</v>
      </c>
      <c r="D77" s="101">
        <v>40</v>
      </c>
      <c r="E77" s="100">
        <f t="shared" si="5"/>
        <v>2830.65</v>
      </c>
      <c r="F77" s="99">
        <v>82325</v>
      </c>
      <c r="G77" s="98">
        <f t="shared" si="6"/>
        <v>30901</v>
      </c>
    </row>
    <row r="78" spans="1:7" ht="10.15" x14ac:dyDescent="0.2">
      <c r="A78" s="86" t="s">
        <v>100</v>
      </c>
      <c r="B78" s="97">
        <v>31469</v>
      </c>
      <c r="C78" s="96">
        <v>28194</v>
      </c>
      <c r="D78" s="101">
        <v>40</v>
      </c>
      <c r="E78" s="100">
        <f t="shared" si="5"/>
        <v>704.85</v>
      </c>
      <c r="F78" s="99">
        <v>22085</v>
      </c>
      <c r="G78" s="98">
        <f t="shared" si="6"/>
        <v>6109</v>
      </c>
    </row>
    <row r="79" spans="1:7" ht="10.15" x14ac:dyDescent="0.2">
      <c r="A79" s="86" t="s">
        <v>99</v>
      </c>
      <c r="B79" s="97">
        <v>31573</v>
      </c>
      <c r="C79" s="96">
        <v>56796</v>
      </c>
      <c r="D79" s="101">
        <v>40</v>
      </c>
      <c r="E79" s="100">
        <f t="shared" si="5"/>
        <v>1419.9</v>
      </c>
      <c r="F79" s="99">
        <v>44135</v>
      </c>
      <c r="G79" s="98">
        <f t="shared" si="6"/>
        <v>12661</v>
      </c>
    </row>
    <row r="80" spans="1:7" ht="10.15" x14ac:dyDescent="0.2">
      <c r="A80" s="86" t="s">
        <v>98</v>
      </c>
      <c r="B80" s="97">
        <v>31593</v>
      </c>
      <c r="C80" s="96">
        <v>192867</v>
      </c>
      <c r="D80" s="101">
        <v>40</v>
      </c>
      <c r="E80" s="100">
        <f t="shared" si="5"/>
        <v>4821.6750000000002</v>
      </c>
      <c r="F80" s="99">
        <v>149472</v>
      </c>
      <c r="G80" s="98">
        <f t="shared" si="6"/>
        <v>43395</v>
      </c>
    </row>
    <row r="81" spans="1:7" ht="10.15" x14ac:dyDescent="0.2">
      <c r="A81" s="86" t="s">
        <v>97</v>
      </c>
      <c r="B81" s="97">
        <v>32295</v>
      </c>
      <c r="C81" s="96">
        <v>43168</v>
      </c>
      <c r="D81" s="101">
        <v>40</v>
      </c>
      <c r="E81" s="100">
        <f t="shared" si="5"/>
        <v>1079.2</v>
      </c>
      <c r="F81" s="99">
        <v>31387</v>
      </c>
      <c r="G81" s="98">
        <f t="shared" si="6"/>
        <v>11781</v>
      </c>
    </row>
    <row r="82" spans="1:7" ht="10.15" x14ac:dyDescent="0.2">
      <c r="A82" s="86" t="s">
        <v>96</v>
      </c>
      <c r="B82" s="97">
        <v>34381</v>
      </c>
      <c r="C82" s="96">
        <v>102011</v>
      </c>
      <c r="D82" s="101">
        <v>40</v>
      </c>
      <c r="E82" s="100">
        <f t="shared" si="5"/>
        <v>2550.2750000000001</v>
      </c>
      <c r="F82" s="99">
        <v>59506</v>
      </c>
      <c r="G82" s="98">
        <f t="shared" si="6"/>
        <v>42505</v>
      </c>
    </row>
    <row r="83" spans="1:7" ht="10.15" x14ac:dyDescent="0.2">
      <c r="A83" s="86" t="s">
        <v>95</v>
      </c>
      <c r="B83" s="97">
        <v>36065</v>
      </c>
      <c r="C83" s="96">
        <v>174608</v>
      </c>
      <c r="D83" s="101">
        <v>40</v>
      </c>
      <c r="E83" s="100">
        <f t="shared" si="5"/>
        <v>4365.2</v>
      </c>
      <c r="F83" s="99">
        <v>81848</v>
      </c>
      <c r="G83" s="98">
        <f t="shared" si="6"/>
        <v>92760</v>
      </c>
    </row>
    <row r="84" spans="1:7" ht="10.15" x14ac:dyDescent="0.2">
      <c r="A84" s="86" t="s">
        <v>94</v>
      </c>
      <c r="B84" s="97">
        <v>36216</v>
      </c>
      <c r="C84" s="96">
        <v>252643</v>
      </c>
      <c r="D84" s="101">
        <v>40</v>
      </c>
      <c r="E84" s="100">
        <f t="shared" si="5"/>
        <v>6316.0749999999998</v>
      </c>
      <c r="F84" s="99">
        <v>115795</v>
      </c>
      <c r="G84" s="98">
        <f t="shared" si="6"/>
        <v>136848</v>
      </c>
    </row>
    <row r="85" spans="1:7" ht="10.15" x14ac:dyDescent="0.2">
      <c r="A85" s="86" t="s">
        <v>93</v>
      </c>
      <c r="B85" s="97">
        <v>37773</v>
      </c>
      <c r="C85" s="96">
        <v>40500</v>
      </c>
      <c r="D85" s="101">
        <v>40</v>
      </c>
      <c r="E85" s="100">
        <f t="shared" si="5"/>
        <v>1012.5</v>
      </c>
      <c r="F85" s="99">
        <v>14259</v>
      </c>
      <c r="G85" s="98">
        <f t="shared" si="6"/>
        <v>26241</v>
      </c>
    </row>
    <row r="86" spans="1:7" ht="10.15" x14ac:dyDescent="0.2">
      <c r="A86" s="86" t="s">
        <v>92</v>
      </c>
      <c r="B86" s="97">
        <v>41075</v>
      </c>
      <c r="C86" s="96">
        <v>6458.57</v>
      </c>
      <c r="D86" s="101">
        <v>5</v>
      </c>
      <c r="E86" s="100">
        <v>1184.57</v>
      </c>
      <c r="F86" s="99">
        <v>6458.57</v>
      </c>
      <c r="G86" s="98">
        <f t="shared" si="6"/>
        <v>0</v>
      </c>
    </row>
    <row r="87" spans="1:7" ht="10.15" x14ac:dyDescent="0.2">
      <c r="A87" s="86" t="s">
        <v>91</v>
      </c>
      <c r="B87" s="97">
        <v>41394</v>
      </c>
      <c r="C87" s="96">
        <v>197814.98</v>
      </c>
      <c r="D87" s="101">
        <v>40</v>
      </c>
      <c r="E87" s="100">
        <f>+C87/D87</f>
        <v>4945.3744999999999</v>
      </c>
      <c r="F87" s="99">
        <v>20606</v>
      </c>
      <c r="G87" s="98">
        <f t="shared" si="6"/>
        <v>177208.98</v>
      </c>
    </row>
    <row r="88" spans="1:7" ht="10.15" x14ac:dyDescent="0.2">
      <c r="A88" s="86" t="s">
        <v>90</v>
      </c>
      <c r="B88" s="97">
        <v>42716</v>
      </c>
      <c r="C88" s="96">
        <v>873352</v>
      </c>
      <c r="D88" s="101">
        <v>40</v>
      </c>
      <c r="E88" s="100">
        <v>12736</v>
      </c>
      <c r="F88" s="99">
        <v>12736</v>
      </c>
      <c r="G88" s="98">
        <f t="shared" si="6"/>
        <v>860616</v>
      </c>
    </row>
    <row r="89" spans="1:7" ht="10.9" thickBot="1" x14ac:dyDescent="0.25">
      <c r="A89" s="108" t="s">
        <v>89</v>
      </c>
      <c r="B89" s="107">
        <v>42867</v>
      </c>
      <c r="C89" s="106">
        <v>515000</v>
      </c>
      <c r="D89" s="105">
        <v>40</v>
      </c>
      <c r="E89" s="104">
        <v>2146</v>
      </c>
      <c r="F89" s="103">
        <v>2146</v>
      </c>
      <c r="G89" s="102">
        <f t="shared" si="6"/>
        <v>512854</v>
      </c>
    </row>
    <row r="90" spans="1:7" ht="10.9" thickTop="1" x14ac:dyDescent="0.2">
      <c r="B90" s="97"/>
      <c r="C90" s="96"/>
      <c r="D90" s="101"/>
      <c r="E90" s="100">
        <f>SUM(E73:E89)</f>
        <v>48813.669499999996</v>
      </c>
      <c r="F90" s="99"/>
      <c r="G90" s="98"/>
    </row>
    <row r="91" spans="1:7" ht="10.15" x14ac:dyDescent="0.2">
      <c r="A91" s="86" t="s">
        <v>88</v>
      </c>
      <c r="B91" s="97"/>
      <c r="C91" s="96"/>
      <c r="D91" s="101"/>
      <c r="E91" s="100">
        <f>+E90-E92</f>
        <v>36974.949999999997</v>
      </c>
      <c r="F91" s="99"/>
      <c r="G91" s="98"/>
    </row>
    <row r="92" spans="1:7" ht="10.15" x14ac:dyDescent="0.2">
      <c r="A92" s="86" t="s">
        <v>87</v>
      </c>
      <c r="B92" s="97"/>
      <c r="C92" s="96"/>
      <c r="D92" s="101"/>
      <c r="E92" s="100">
        <f>+E82+E85+E86+E87+E89</f>
        <v>11838.719499999999</v>
      </c>
      <c r="F92" s="99"/>
      <c r="G92" s="98"/>
    </row>
    <row r="93" spans="1:7" ht="10.15" x14ac:dyDescent="0.2">
      <c r="A93" s="110" t="s">
        <v>86</v>
      </c>
      <c r="B93" s="110"/>
      <c r="C93" s="110"/>
      <c r="D93" s="109"/>
      <c r="F93" s="99"/>
      <c r="G93" s="98"/>
    </row>
    <row r="94" spans="1:7" ht="10.15" x14ac:dyDescent="0.2">
      <c r="A94" s="86" t="s">
        <v>85</v>
      </c>
      <c r="B94" s="97">
        <v>41564</v>
      </c>
      <c r="C94" s="96">
        <v>49991</v>
      </c>
      <c r="D94" s="101">
        <v>5</v>
      </c>
      <c r="E94" s="100">
        <f>+C94/D94</f>
        <v>9998.2000000000007</v>
      </c>
      <c r="F94" s="99">
        <v>36660</v>
      </c>
      <c r="G94" s="98">
        <f>+C94-F94</f>
        <v>13331</v>
      </c>
    </row>
    <row r="95" spans="1:7" ht="10.15" x14ac:dyDescent="0.2">
      <c r="A95" s="86" t="s">
        <v>84</v>
      </c>
      <c r="B95" s="97">
        <v>42058</v>
      </c>
      <c r="C95" s="96">
        <v>30322.16</v>
      </c>
      <c r="D95" s="101">
        <v>5</v>
      </c>
      <c r="E95" s="100">
        <f>+C95/D95</f>
        <v>6064.4319999999998</v>
      </c>
      <c r="F95" s="99">
        <v>14150</v>
      </c>
      <c r="G95" s="98">
        <f>+C95-F95</f>
        <v>16172.16</v>
      </c>
    </row>
    <row r="96" spans="1:7" ht="10.9" thickBot="1" x14ac:dyDescent="0.25">
      <c r="A96" s="108" t="s">
        <v>83</v>
      </c>
      <c r="B96" s="107">
        <v>42324</v>
      </c>
      <c r="C96" s="106">
        <v>31638</v>
      </c>
      <c r="D96" s="105">
        <v>5</v>
      </c>
      <c r="E96" s="104">
        <f>+C96/D96</f>
        <v>6327.6</v>
      </c>
      <c r="F96" s="103">
        <v>10019</v>
      </c>
      <c r="G96" s="102">
        <f>+C96-F96</f>
        <v>21619</v>
      </c>
    </row>
    <row r="97" spans="1:7" ht="10.9" thickTop="1" x14ac:dyDescent="0.2">
      <c r="B97" s="97"/>
      <c r="C97" s="96"/>
      <c r="D97" s="101"/>
      <c r="E97" s="100">
        <f>SUM(E94:E96)</f>
        <v>22390.232000000004</v>
      </c>
      <c r="F97" s="99"/>
      <c r="G97" s="98"/>
    </row>
    <row r="98" spans="1:7" ht="10.15" x14ac:dyDescent="0.2">
      <c r="A98" s="110" t="s">
        <v>82</v>
      </c>
      <c r="B98" s="110"/>
      <c r="C98" s="110"/>
      <c r="D98" s="109"/>
      <c r="E98" s="100"/>
      <c r="F98" s="99"/>
      <c r="G98" s="98"/>
    </row>
    <row r="99" spans="1:7" ht="10.15" x14ac:dyDescent="0.2">
      <c r="A99" s="86" t="s">
        <v>81</v>
      </c>
      <c r="B99" s="97">
        <v>29128</v>
      </c>
      <c r="C99" s="96">
        <v>1254345</v>
      </c>
      <c r="D99" s="101">
        <v>40</v>
      </c>
      <c r="E99" s="100">
        <f t="shared" ref="E99:E106" si="7">+C99/D99</f>
        <v>31358.625</v>
      </c>
      <c r="F99" s="99">
        <v>1183788</v>
      </c>
      <c r="G99" s="98">
        <f t="shared" ref="G99:G107" si="8">+C99-F99</f>
        <v>70557</v>
      </c>
    </row>
    <row r="100" spans="1:7" ht="10.15" x14ac:dyDescent="0.2">
      <c r="A100" s="86" t="s">
        <v>35</v>
      </c>
      <c r="B100" s="97">
        <v>32690</v>
      </c>
      <c r="C100" s="96">
        <v>5704000</v>
      </c>
      <c r="D100" s="101">
        <v>50</v>
      </c>
      <c r="E100" s="100">
        <f t="shared" si="7"/>
        <v>114080</v>
      </c>
      <c r="F100" s="99">
        <v>3194240</v>
      </c>
      <c r="G100" s="98">
        <f t="shared" si="8"/>
        <v>2509760</v>
      </c>
    </row>
    <row r="101" spans="1:7" ht="10.15" x14ac:dyDescent="0.2">
      <c r="A101" s="86" t="s">
        <v>80</v>
      </c>
      <c r="B101" s="97">
        <v>37073</v>
      </c>
      <c r="C101" s="96">
        <v>2263001</v>
      </c>
      <c r="D101" s="101">
        <v>40</v>
      </c>
      <c r="E101" s="100">
        <f t="shared" si="7"/>
        <v>56575.025000000001</v>
      </c>
      <c r="F101" s="99">
        <v>905200</v>
      </c>
      <c r="G101" s="98">
        <f t="shared" si="8"/>
        <v>1357801</v>
      </c>
    </row>
    <row r="102" spans="1:7" ht="10.15" x14ac:dyDescent="0.2">
      <c r="A102" s="86" t="s">
        <v>79</v>
      </c>
      <c r="B102" s="97">
        <v>41243</v>
      </c>
      <c r="C102" s="96">
        <v>17001.5</v>
      </c>
      <c r="D102" s="101">
        <v>5</v>
      </c>
      <c r="E102" s="100">
        <f t="shared" si="7"/>
        <v>3400.3</v>
      </c>
      <c r="F102" s="99">
        <v>15585</v>
      </c>
      <c r="G102" s="98">
        <f t="shared" si="8"/>
        <v>1416.5</v>
      </c>
    </row>
    <row r="103" spans="1:7" ht="10.15" x14ac:dyDescent="0.2">
      <c r="A103" s="86" t="s">
        <v>78</v>
      </c>
      <c r="B103" s="97">
        <v>41220</v>
      </c>
      <c r="C103" s="96">
        <v>2899</v>
      </c>
      <c r="D103" s="101">
        <v>5</v>
      </c>
      <c r="E103" s="100">
        <f t="shared" si="7"/>
        <v>579.79999999999995</v>
      </c>
      <c r="F103" s="99">
        <v>2706</v>
      </c>
      <c r="G103" s="98">
        <f t="shared" si="8"/>
        <v>193</v>
      </c>
    </row>
    <row r="104" spans="1:7" ht="10.15" x14ac:dyDescent="0.2">
      <c r="A104" s="86" t="s">
        <v>77</v>
      </c>
      <c r="B104" s="97">
        <v>41444</v>
      </c>
      <c r="C104" s="96">
        <v>9006</v>
      </c>
      <c r="D104" s="101">
        <v>10</v>
      </c>
      <c r="E104" s="100">
        <f t="shared" si="7"/>
        <v>900.6</v>
      </c>
      <c r="F104" s="99">
        <v>3602</v>
      </c>
      <c r="G104" s="98">
        <f t="shared" si="8"/>
        <v>5404</v>
      </c>
    </row>
    <row r="105" spans="1:7" ht="10.15" x14ac:dyDescent="0.2">
      <c r="A105" s="86" t="s">
        <v>76</v>
      </c>
      <c r="B105" s="97">
        <v>41780</v>
      </c>
      <c r="C105" s="96">
        <v>8470.9500000000007</v>
      </c>
      <c r="D105" s="101">
        <v>5</v>
      </c>
      <c r="E105" s="100">
        <f t="shared" si="7"/>
        <v>1694.19</v>
      </c>
      <c r="F105" s="99">
        <v>5224</v>
      </c>
      <c r="G105" s="98">
        <f t="shared" si="8"/>
        <v>3246.9500000000007</v>
      </c>
    </row>
    <row r="106" spans="1:7" ht="10.15" x14ac:dyDescent="0.2">
      <c r="A106" s="86" t="s">
        <v>75</v>
      </c>
      <c r="B106" s="97">
        <v>42251</v>
      </c>
      <c r="C106" s="96">
        <v>33728</v>
      </c>
      <c r="D106" s="101">
        <v>40</v>
      </c>
      <c r="E106" s="100">
        <f t="shared" si="7"/>
        <v>843.2</v>
      </c>
      <c r="F106" s="99">
        <v>1546</v>
      </c>
      <c r="G106" s="98">
        <f t="shared" si="8"/>
        <v>32182</v>
      </c>
    </row>
    <row r="107" spans="1:7" ht="10.9" thickBot="1" x14ac:dyDescent="0.25">
      <c r="A107" s="108" t="s">
        <v>74</v>
      </c>
      <c r="B107" s="107">
        <v>42835</v>
      </c>
      <c r="C107" s="106">
        <v>2587</v>
      </c>
      <c r="D107" s="105">
        <v>5</v>
      </c>
      <c r="E107" s="104">
        <v>129</v>
      </c>
      <c r="F107" s="103">
        <v>129</v>
      </c>
      <c r="G107" s="102">
        <f t="shared" si="8"/>
        <v>2458</v>
      </c>
    </row>
    <row r="108" spans="1:7" ht="10.9" thickTop="1" x14ac:dyDescent="0.2">
      <c r="B108" s="97"/>
      <c r="C108" s="96"/>
      <c r="D108" s="101"/>
      <c r="E108" s="100">
        <f>SUM(E99:E107)</f>
        <v>209560.74</v>
      </c>
      <c r="F108" s="99"/>
      <c r="G108" s="98"/>
    </row>
    <row r="109" spans="1:7" ht="10.15" x14ac:dyDescent="0.2">
      <c r="B109" s="97"/>
      <c r="C109" s="96"/>
      <c r="D109" s="101"/>
      <c r="E109" s="100"/>
      <c r="F109" s="99"/>
      <c r="G109" s="98"/>
    </row>
    <row r="110" spans="1:7" ht="10.9" thickBot="1" x14ac:dyDescent="0.25">
      <c r="B110" s="97"/>
      <c r="C110" s="96"/>
      <c r="D110" s="95"/>
      <c r="E110" s="94">
        <f>+E16+E71+E90+E97+E108</f>
        <v>414224.283</v>
      </c>
      <c r="F110" s="93"/>
      <c r="G110" s="92"/>
    </row>
    <row r="111" spans="1:7" ht="10.15" x14ac:dyDescent="0.2">
      <c r="C111" s="90"/>
      <c r="D111" s="90"/>
      <c r="E111" s="91"/>
      <c r="F111" s="90"/>
      <c r="G111" s="90"/>
    </row>
    <row r="112" spans="1:7" ht="10.15" x14ac:dyDescent="0.2">
      <c r="E112" s="89"/>
    </row>
    <row r="113" spans="5:5" ht="10.15" x14ac:dyDescent="0.2">
      <c r="E113" s="88"/>
    </row>
    <row r="114" spans="5:5" ht="10.15" x14ac:dyDescent="0.2">
      <c r="E114" s="88"/>
    </row>
  </sheetData>
  <mergeCells count="1">
    <mergeCell ref="E1:G1"/>
  </mergeCells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workbookViewId="0">
      <selection activeCell="L5" sqref="L5"/>
    </sheetView>
  </sheetViews>
  <sheetFormatPr defaultColWidth="8.85546875" defaultRowHeight="15.75" x14ac:dyDescent="0.25"/>
  <cols>
    <col min="1" max="1" width="32.28515625" style="119" customWidth="1"/>
    <col min="2" max="2" width="13.5703125" style="119" bestFit="1" customWidth="1"/>
    <col min="3" max="3" width="8.85546875" style="119"/>
    <col min="4" max="4" width="14.7109375" style="119" customWidth="1"/>
    <col min="5" max="5" width="9.7109375" style="119" customWidth="1"/>
    <col min="6" max="6" width="11.7109375" style="119" bestFit="1" customWidth="1"/>
    <col min="7" max="7" width="5.28515625" style="120" customWidth="1"/>
    <col min="8" max="8" width="15.42578125" style="119" bestFit="1" customWidth="1"/>
    <col min="9" max="9" width="16" style="119" bestFit="1" customWidth="1"/>
    <col min="10" max="10" width="11" style="119" bestFit="1" customWidth="1"/>
    <col min="11" max="11" width="4.85546875" style="119" customWidth="1"/>
    <col min="12" max="12" width="19.28515625" style="119" bestFit="1" customWidth="1"/>
    <col min="13" max="13" width="10.7109375" style="119" bestFit="1" customWidth="1"/>
    <col min="14" max="14" width="11" style="119" bestFit="1" customWidth="1"/>
    <col min="15" max="16384" width="8.85546875" style="119"/>
  </cols>
  <sheetData>
    <row r="1" spans="1:14" s="159" customFormat="1" ht="18.600000000000001" thickBot="1" x14ac:dyDescent="0.4">
      <c r="A1" s="398" t="s">
        <v>201</v>
      </c>
      <c r="B1" s="399"/>
      <c r="C1" s="400"/>
      <c r="D1" s="400"/>
      <c r="E1" s="399"/>
      <c r="F1" s="401"/>
      <c r="G1" s="215"/>
      <c r="H1" s="388" t="s">
        <v>200</v>
      </c>
      <c r="I1" s="389"/>
      <c r="J1" s="390"/>
      <c r="L1" s="388" t="s">
        <v>199</v>
      </c>
      <c r="M1" s="389"/>
      <c r="N1" s="390"/>
    </row>
    <row r="2" spans="1:14" ht="18.600000000000001" thickBot="1" x14ac:dyDescent="0.4">
      <c r="A2" s="214"/>
      <c r="B2" s="213" t="s">
        <v>30</v>
      </c>
      <c r="C2" s="391" t="s">
        <v>29</v>
      </c>
      <c r="D2" s="392"/>
      <c r="E2" s="393" t="s">
        <v>28</v>
      </c>
      <c r="F2" s="394"/>
      <c r="H2" s="212"/>
      <c r="I2" s="211" t="s">
        <v>198</v>
      </c>
      <c r="J2" s="210" t="s">
        <v>196</v>
      </c>
      <c r="L2" s="212"/>
      <c r="M2" s="211" t="s">
        <v>197</v>
      </c>
      <c r="N2" s="210" t="s">
        <v>196</v>
      </c>
    </row>
    <row r="3" spans="1:14" ht="15.6" x14ac:dyDescent="0.3">
      <c r="A3" s="209" t="s">
        <v>195</v>
      </c>
      <c r="B3" s="207"/>
      <c r="C3" s="208"/>
      <c r="D3" s="208"/>
      <c r="E3" s="207"/>
      <c r="F3" s="206"/>
      <c r="G3" s="183"/>
      <c r="H3" s="204" t="s">
        <v>194</v>
      </c>
      <c r="I3" s="205">
        <v>463.4</v>
      </c>
      <c r="J3" s="202">
        <f>+I3/I5</f>
        <v>0.49827956989247307</v>
      </c>
      <c r="L3" s="204" t="str">
        <f>+H3</f>
        <v>MWD</v>
      </c>
      <c r="M3" s="203">
        <v>729785</v>
      </c>
      <c r="N3" s="202">
        <f>+M3/M5</f>
        <v>0.32343769303257325</v>
      </c>
    </row>
    <row r="4" spans="1:14" ht="16.149999999999999" thickBot="1" x14ac:dyDescent="0.35">
      <c r="A4" s="197" t="s">
        <v>36</v>
      </c>
      <c r="B4" s="178">
        <f>+'I-Wt Exp F&amp;V (2)'!K30</f>
        <v>119758.11300000001</v>
      </c>
      <c r="C4" s="171">
        <f>+D4/B4</f>
        <v>1</v>
      </c>
      <c r="D4" s="186">
        <f>+B4</f>
        <v>119758.11300000001</v>
      </c>
      <c r="E4" s="176">
        <f>+(1-C4)</f>
        <v>0</v>
      </c>
      <c r="F4" s="175">
        <f>+B4*E4</f>
        <v>0</v>
      </c>
      <c r="G4" s="183"/>
      <c r="H4" s="200" t="s">
        <v>193</v>
      </c>
      <c r="I4" s="201">
        <f>+I5-I3</f>
        <v>466.6</v>
      </c>
      <c r="J4" s="198">
        <f>+I4/I5</f>
        <v>0.50172043010752687</v>
      </c>
      <c r="L4" s="200" t="str">
        <f>+H4</f>
        <v>Other Inside City</v>
      </c>
      <c r="M4" s="199">
        <f>+M5-M3</f>
        <v>1526553.75</v>
      </c>
      <c r="N4" s="198">
        <f>+M4/M5</f>
        <v>0.67656230696742681</v>
      </c>
    </row>
    <row r="5" spans="1:14" ht="16.899999999999999" thickTop="1" thickBot="1" x14ac:dyDescent="0.35">
      <c r="A5" s="197" t="s">
        <v>35</v>
      </c>
      <c r="B5" s="178">
        <f>+'I-Wt Exp F&amp;V (2)'!N30</f>
        <v>773926.201</v>
      </c>
      <c r="C5" s="171">
        <f>+D5/B5</f>
        <v>5.9408512905483081E-2</v>
      </c>
      <c r="D5" s="186">
        <f>+'I-Wt Exp F&amp;V (2)'!Q30</f>
        <v>45977.804699999993</v>
      </c>
      <c r="E5" s="176">
        <f>+(1-C5)</f>
        <v>0.9405914870945169</v>
      </c>
      <c r="F5" s="175">
        <f>+'I-Wt Exp F&amp;V (2)'!R30</f>
        <v>727948.39629999991</v>
      </c>
      <c r="G5" s="183"/>
      <c r="H5" s="195" t="s">
        <v>192</v>
      </c>
      <c r="I5" s="196">
        <v>930</v>
      </c>
      <c r="J5" s="193">
        <f>SUM(J3:J4)</f>
        <v>1</v>
      </c>
      <c r="L5" s="195" t="s">
        <v>191</v>
      </c>
      <c r="M5" s="194">
        <v>2256338.75</v>
      </c>
      <c r="N5" s="193">
        <f>SUM(N3:N4)</f>
        <v>1</v>
      </c>
    </row>
    <row r="6" spans="1:14" ht="16.149999999999999" thickBot="1" x14ac:dyDescent="0.35">
      <c r="A6" s="174" t="s">
        <v>190</v>
      </c>
      <c r="B6" s="173">
        <f>+'I-Wt Exp F&amp;V (2)'!T30</f>
        <v>1115966.3859999999</v>
      </c>
      <c r="C6" s="185">
        <f>+D6/B6</f>
        <v>7.8247406369460315E-2</v>
      </c>
      <c r="D6" s="172">
        <f>+'I-Wt Exp F&amp;V (2)'!W30</f>
        <v>87321.475300000006</v>
      </c>
      <c r="E6" s="184">
        <f>+(1-C6)</f>
        <v>0.92175259363053974</v>
      </c>
      <c r="F6" s="192">
        <f>+'I-Wt Exp F&amp;V (2)'!X30</f>
        <v>1028644.9107000001</v>
      </c>
      <c r="G6" s="183"/>
      <c r="H6" s="182"/>
      <c r="I6" s="191"/>
      <c r="J6" s="180"/>
    </row>
    <row r="7" spans="1:14" ht="16.149999999999999" thickTop="1" x14ac:dyDescent="0.3">
      <c r="A7" s="179" t="s">
        <v>189</v>
      </c>
      <c r="B7" s="178">
        <f>SUM(B4:B6)</f>
        <v>2009650.7</v>
      </c>
      <c r="C7" s="190"/>
      <c r="D7" s="189">
        <f>SUM(D4:D6)</f>
        <v>253057.39299999998</v>
      </c>
      <c r="E7" s="176"/>
      <c r="F7" s="175">
        <f>SUM(F4:F6)</f>
        <v>1756593.307</v>
      </c>
      <c r="G7" s="183"/>
    </row>
    <row r="8" spans="1:14" ht="15.6" x14ac:dyDescent="0.3">
      <c r="A8" s="187" t="s">
        <v>181</v>
      </c>
      <c r="B8" s="178">
        <f>+'I-Wt debt '!I14</f>
        <v>205350.5</v>
      </c>
      <c r="C8" s="171">
        <v>0</v>
      </c>
      <c r="D8" s="186">
        <f>+C8*B8</f>
        <v>0</v>
      </c>
      <c r="E8" s="171">
        <f>+(1-C8)</f>
        <v>1</v>
      </c>
      <c r="F8" s="175">
        <f>+B8*E8</f>
        <v>205350.5</v>
      </c>
      <c r="G8" s="183"/>
    </row>
    <row r="9" spans="1:14" ht="15.6" x14ac:dyDescent="0.3">
      <c r="A9" s="187" t="s">
        <v>178</v>
      </c>
      <c r="B9" s="178">
        <f>+B8*0.2</f>
        <v>41070.100000000006</v>
      </c>
      <c r="C9" s="171">
        <v>0</v>
      </c>
      <c r="D9" s="186">
        <f>+B9*C9</f>
        <v>0</v>
      </c>
      <c r="E9" s="176">
        <f>+(1-C9)</f>
        <v>1</v>
      </c>
      <c r="F9" s="175">
        <f>+B9*E9</f>
        <v>41070.100000000006</v>
      </c>
      <c r="G9" s="183"/>
      <c r="H9" s="182"/>
      <c r="I9" s="181"/>
      <c r="J9" s="180"/>
    </row>
    <row r="10" spans="1:14" ht="15.6" x14ac:dyDescent="0.3">
      <c r="A10" s="188" t="s">
        <v>184</v>
      </c>
      <c r="B10" s="178"/>
      <c r="C10" s="171"/>
      <c r="D10" s="177"/>
      <c r="E10" s="176"/>
      <c r="F10" s="175"/>
      <c r="G10" s="183"/>
      <c r="H10" s="182"/>
      <c r="I10" s="181"/>
      <c r="J10" s="180"/>
    </row>
    <row r="11" spans="1:14" ht="15.6" x14ac:dyDescent="0.3">
      <c r="A11" s="187" t="s">
        <v>35</v>
      </c>
      <c r="B11" s="178">
        <f>+B23</f>
        <v>209560.74</v>
      </c>
      <c r="C11" s="171">
        <v>0</v>
      </c>
      <c r="D11" s="186">
        <f>+B11*C11</f>
        <v>0</v>
      </c>
      <c r="E11" s="176">
        <f>+(1-C11)</f>
        <v>1</v>
      </c>
      <c r="F11" s="175">
        <f>+B11*E11</f>
        <v>209560.74</v>
      </c>
      <c r="G11" s="183"/>
      <c r="H11" s="182"/>
      <c r="I11" s="181"/>
      <c r="J11" s="180"/>
    </row>
    <row r="12" spans="1:14" ht="15.6" x14ac:dyDescent="0.3">
      <c r="A12" s="187" t="s">
        <v>153</v>
      </c>
      <c r="B12" s="178">
        <f>+B24</f>
        <v>155849.25150000001</v>
      </c>
      <c r="C12" s="171">
        <v>0</v>
      </c>
      <c r="D12" s="186">
        <f>+B12*C12</f>
        <v>0</v>
      </c>
      <c r="E12" s="176">
        <f>+(1-C12)</f>
        <v>1</v>
      </c>
      <c r="F12" s="175">
        <f>+B12*E12</f>
        <v>155849.25150000001</v>
      </c>
      <c r="G12" s="183"/>
      <c r="H12" s="182"/>
      <c r="I12" s="181"/>
      <c r="J12" s="180"/>
    </row>
    <row r="13" spans="1:14" ht="15.6" x14ac:dyDescent="0.3">
      <c r="A13" s="187" t="s">
        <v>188</v>
      </c>
      <c r="B13" s="178">
        <f>+'I-Wt Dep'!E92</f>
        <v>11838.719499999999</v>
      </c>
      <c r="C13" s="171">
        <v>0</v>
      </c>
      <c r="D13" s="186">
        <f>+B13*C13</f>
        <v>0</v>
      </c>
      <c r="E13" s="176">
        <f>+(1-C13)</f>
        <v>1</v>
      </c>
      <c r="F13" s="175">
        <f>+B13*E13</f>
        <v>11838.719499999999</v>
      </c>
      <c r="G13" s="183"/>
      <c r="H13" s="182"/>
      <c r="I13" s="181"/>
      <c r="J13" s="180"/>
    </row>
    <row r="14" spans="1:14" ht="16.149999999999999" thickBot="1" x14ac:dyDescent="0.35">
      <c r="A14" s="174" t="s">
        <v>88</v>
      </c>
      <c r="B14" s="173">
        <f>+'I-Wt Dep'!E91</f>
        <v>36974.949999999997</v>
      </c>
      <c r="C14" s="185">
        <v>0</v>
      </c>
      <c r="D14" s="172">
        <f>+B14*C14</f>
        <v>0</v>
      </c>
      <c r="E14" s="184">
        <f>+(1-C14)</f>
        <v>1</v>
      </c>
      <c r="F14" s="170">
        <f>+B14*E14</f>
        <v>36974.949999999997</v>
      </c>
      <c r="G14" s="183"/>
      <c r="H14" s="182"/>
      <c r="I14" s="181"/>
      <c r="J14" s="180"/>
    </row>
    <row r="15" spans="1:14" ht="16.149999999999999" thickTop="1" x14ac:dyDescent="0.3">
      <c r="A15" s="179" t="s">
        <v>187</v>
      </c>
      <c r="B15" s="178">
        <f>SUM(B11:B14)</f>
        <v>414223.66100000002</v>
      </c>
      <c r="C15" s="171"/>
      <c r="D15" s="177"/>
      <c r="E15" s="176"/>
      <c r="F15" s="175">
        <f>SUM(F11:F14)</f>
        <v>414223.66100000002</v>
      </c>
    </row>
    <row r="16" spans="1:14" ht="16.149999999999999" thickBot="1" x14ac:dyDescent="0.35">
      <c r="A16" s="174" t="s">
        <v>186</v>
      </c>
      <c r="B16" s="173">
        <v>-252335</v>
      </c>
      <c r="C16" s="171">
        <v>1</v>
      </c>
      <c r="D16" s="172">
        <f>+C16*B16</f>
        <v>-252335</v>
      </c>
      <c r="E16" s="171">
        <f>+(1-C16)</f>
        <v>0</v>
      </c>
      <c r="F16" s="170">
        <f>+B16*E16</f>
        <v>0</v>
      </c>
    </row>
    <row r="17" spans="1:10" ht="16.899999999999999" thickTop="1" thickBot="1" x14ac:dyDescent="0.35">
      <c r="A17" s="169" t="s">
        <v>185</v>
      </c>
      <c r="B17" s="168">
        <f>+B7+B8+B9+B15+B16</f>
        <v>2417959.9610000001</v>
      </c>
      <c r="C17" s="167"/>
      <c r="D17" s="166">
        <f>+D7+D8+D9+D15+D16</f>
        <v>722.39299999998184</v>
      </c>
      <c r="E17" s="165"/>
      <c r="F17" s="164">
        <f>+F7+F8+F9+F15+F16</f>
        <v>2417237.568</v>
      </c>
    </row>
    <row r="19" spans="1:10" ht="16.149999999999999" thickBot="1" x14ac:dyDescent="0.35">
      <c r="F19" s="163"/>
      <c r="G19" s="152"/>
    </row>
    <row r="20" spans="1:10" ht="18.600000000000001" thickBot="1" x14ac:dyDescent="0.4">
      <c r="A20" s="395" t="s">
        <v>184</v>
      </c>
      <c r="B20" s="396"/>
      <c r="C20" s="396"/>
      <c r="D20" s="396"/>
      <c r="E20" s="396"/>
      <c r="F20" s="397"/>
      <c r="G20" s="152"/>
    </row>
    <row r="21" spans="1:10" ht="15.6" x14ac:dyDescent="0.3">
      <c r="A21" s="162"/>
      <c r="B21" s="161">
        <v>2017</v>
      </c>
      <c r="C21" s="381" t="s">
        <v>183</v>
      </c>
      <c r="D21" s="381"/>
      <c r="E21" s="381" t="s">
        <v>182</v>
      </c>
      <c r="F21" s="382"/>
      <c r="G21" s="148"/>
    </row>
    <row r="22" spans="1:10" s="159" customFormat="1" ht="18.600000000000001" thickBot="1" x14ac:dyDescent="0.4">
      <c r="A22" s="151"/>
      <c r="B22" s="150" t="s">
        <v>184</v>
      </c>
      <c r="C22" s="150" t="s">
        <v>29</v>
      </c>
      <c r="D22" s="150" t="s">
        <v>28</v>
      </c>
      <c r="E22" s="150" t="s">
        <v>29</v>
      </c>
      <c r="F22" s="149" t="s">
        <v>28</v>
      </c>
      <c r="G22" s="148"/>
      <c r="H22" s="119"/>
      <c r="I22" s="119"/>
      <c r="J22" s="119"/>
    </row>
    <row r="23" spans="1:10" s="158" customFormat="1" ht="18" x14ac:dyDescent="0.35">
      <c r="A23" s="147" t="str">
        <f>+'[1]I-Wt Dep'!A98</f>
        <v>Water Plant</v>
      </c>
      <c r="B23" s="145">
        <v>209560.74</v>
      </c>
      <c r="C23" s="146">
        <v>0</v>
      </c>
      <c r="D23" s="146">
        <f>100%-C23</f>
        <v>1</v>
      </c>
      <c r="E23" s="145">
        <f>+B23*C23</f>
        <v>0</v>
      </c>
      <c r="F23" s="144">
        <f>+B23*D23</f>
        <v>209560.74</v>
      </c>
      <c r="G23" s="160"/>
      <c r="H23" s="159"/>
      <c r="I23" s="159"/>
      <c r="J23" s="159"/>
    </row>
    <row r="24" spans="1:10" ht="18" x14ac:dyDescent="0.35">
      <c r="A24" s="137" t="str">
        <f>+'[1]I-Wt Dep'!A18</f>
        <v>Water Lines</v>
      </c>
      <c r="B24" s="125">
        <f>117756.2515+15703+22390</f>
        <v>155849.25150000001</v>
      </c>
      <c r="C24" s="142">
        <v>0</v>
      </c>
      <c r="D24" s="142">
        <f>100%-C24</f>
        <v>1</v>
      </c>
      <c r="E24" s="125">
        <f>+B24*C24</f>
        <v>0</v>
      </c>
      <c r="F24" s="138">
        <f>+B24*D24</f>
        <v>155849.25150000001</v>
      </c>
      <c r="G24" s="148"/>
      <c r="H24" s="158"/>
      <c r="I24" s="158"/>
      <c r="J24" s="158"/>
    </row>
    <row r="25" spans="1:10" ht="16.149999999999999" thickBot="1" x14ac:dyDescent="0.35">
      <c r="A25" s="143" t="str">
        <f>+'[1]I-Wt Dep'!A72</f>
        <v>Pump Stations &amp; Tanks</v>
      </c>
      <c r="B25" s="141">
        <v>48813.669499999996</v>
      </c>
      <c r="C25" s="157">
        <v>0</v>
      </c>
      <c r="D25" s="157">
        <f>100%-C25</f>
        <v>1</v>
      </c>
      <c r="E25" s="141">
        <f>+B25*C25</f>
        <v>0</v>
      </c>
      <c r="F25" s="140">
        <f>+B25*D25</f>
        <v>48813.669499999996</v>
      </c>
      <c r="G25" s="139"/>
    </row>
    <row r="26" spans="1:10" ht="19.149999999999999" thickTop="1" thickBot="1" x14ac:dyDescent="0.4">
      <c r="A26" s="132" t="s">
        <v>1</v>
      </c>
      <c r="B26" s="130">
        <f>SUM(B23:B25)</f>
        <v>414223.66100000002</v>
      </c>
      <c r="C26" s="156"/>
      <c r="D26" s="156"/>
      <c r="E26" s="130">
        <f>SUM(E23:E25)</f>
        <v>0</v>
      </c>
      <c r="F26" s="129">
        <f>SUM(F23:F25)</f>
        <v>414223.66100000002</v>
      </c>
      <c r="G26" s="155"/>
    </row>
    <row r="27" spans="1:10" ht="16.149999999999999" thickBot="1" x14ac:dyDescent="0.35">
      <c r="A27" s="127"/>
      <c r="B27" s="136"/>
      <c r="C27" s="154"/>
      <c r="D27" s="154"/>
      <c r="E27" s="153"/>
      <c r="F27" s="153"/>
      <c r="G27" s="152"/>
    </row>
    <row r="28" spans="1:10" ht="18" x14ac:dyDescent="0.35">
      <c r="A28" s="383" t="s">
        <v>181</v>
      </c>
      <c r="B28" s="384"/>
      <c r="C28" s="384"/>
      <c r="D28" s="384"/>
      <c r="E28" s="384"/>
      <c r="F28" s="385"/>
      <c r="G28" s="152"/>
    </row>
    <row r="29" spans="1:10" ht="15.6" x14ac:dyDescent="0.3">
      <c r="A29" s="137"/>
      <c r="B29" s="136"/>
      <c r="C29" s="386" t="s">
        <v>183</v>
      </c>
      <c r="D29" s="386"/>
      <c r="E29" s="386" t="s">
        <v>182</v>
      </c>
      <c r="F29" s="387"/>
      <c r="G29" s="133"/>
    </row>
    <row r="30" spans="1:10" ht="16.149999999999999" thickBot="1" x14ac:dyDescent="0.35">
      <c r="A30" s="151"/>
      <c r="B30" s="150" t="s">
        <v>181</v>
      </c>
      <c r="C30" s="150" t="s">
        <v>29</v>
      </c>
      <c r="D30" s="150" t="s">
        <v>28</v>
      </c>
      <c r="E30" s="150" t="s">
        <v>29</v>
      </c>
      <c r="F30" s="149" t="s">
        <v>28</v>
      </c>
      <c r="G30" s="148"/>
    </row>
    <row r="31" spans="1:10" ht="15.6" x14ac:dyDescent="0.3">
      <c r="A31" s="147" t="s">
        <v>180</v>
      </c>
      <c r="B31" s="145">
        <f>+'I-Wt debt '!D6</f>
        <v>148362.5</v>
      </c>
      <c r="C31" s="146">
        <v>0</v>
      </c>
      <c r="D31" s="146">
        <v>1</v>
      </c>
      <c r="E31" s="145">
        <f>+B31*C31</f>
        <v>0</v>
      </c>
      <c r="F31" s="144">
        <f>+B31*D31</f>
        <v>148362.5</v>
      </c>
      <c r="G31" s="133"/>
    </row>
    <row r="32" spans="1:10" ht="16.149999999999999" thickBot="1" x14ac:dyDescent="0.35">
      <c r="A32" s="143" t="s">
        <v>71</v>
      </c>
      <c r="B32" s="141">
        <f>+'I-Wt debt '!I6</f>
        <v>56988</v>
      </c>
      <c r="C32" s="142">
        <v>1</v>
      </c>
      <c r="D32" s="142">
        <v>0</v>
      </c>
      <c r="E32" s="141">
        <f>+B32*C32</f>
        <v>56988</v>
      </c>
      <c r="F32" s="140">
        <f>+B32*D32</f>
        <v>0</v>
      </c>
      <c r="G32" s="139"/>
    </row>
    <row r="33" spans="1:7" ht="16.149999999999999" thickTop="1" x14ac:dyDescent="0.3">
      <c r="A33" s="137" t="s">
        <v>1</v>
      </c>
      <c r="B33" s="125">
        <f>SUM(B31:B32)</f>
        <v>205350.5</v>
      </c>
      <c r="C33" s="136"/>
      <c r="D33" s="136"/>
      <c r="E33" s="125">
        <f>SUM(E31:E32)</f>
        <v>56988</v>
      </c>
      <c r="F33" s="138">
        <f>SUM(F31:F32)</f>
        <v>148362.5</v>
      </c>
      <c r="G33" s="133"/>
    </row>
    <row r="34" spans="1:7" ht="15.6" x14ac:dyDescent="0.3">
      <c r="A34" s="137" t="s">
        <v>179</v>
      </c>
      <c r="B34" s="136"/>
      <c r="C34" s="136"/>
      <c r="D34" s="136"/>
      <c r="E34" s="135">
        <f>+E33/B33</f>
        <v>0.2775157596402249</v>
      </c>
      <c r="F34" s="134">
        <f>+F33/B33</f>
        <v>0.7224842403597751</v>
      </c>
      <c r="G34" s="133"/>
    </row>
    <row r="35" spans="1:7" ht="16.149999999999999" thickBot="1" x14ac:dyDescent="0.35">
      <c r="A35" s="132" t="s">
        <v>178</v>
      </c>
      <c r="B35" s="130">
        <f>+B33*0.2</f>
        <v>41070.100000000006</v>
      </c>
      <c r="C35" s="131">
        <f>+E34</f>
        <v>0.2775157596402249</v>
      </c>
      <c r="D35" s="131">
        <f>+F34</f>
        <v>0.7224842403597751</v>
      </c>
      <c r="E35" s="130">
        <f>+B35*C35</f>
        <v>11397.600000000002</v>
      </c>
      <c r="F35" s="129">
        <f>+B35*D35</f>
        <v>29672.500000000004</v>
      </c>
      <c r="G35" s="128"/>
    </row>
    <row r="36" spans="1:7" ht="15.6" x14ac:dyDescent="0.3">
      <c r="A36" s="127"/>
      <c r="B36" s="125"/>
      <c r="C36" s="126"/>
      <c r="D36" s="126"/>
      <c r="E36" s="125"/>
      <c r="F36" s="125"/>
    </row>
    <row r="38" spans="1:7" ht="31.5" x14ac:dyDescent="0.25">
      <c r="A38" s="124" t="s">
        <v>177</v>
      </c>
      <c r="B38" s="123">
        <v>0.95</v>
      </c>
    </row>
    <row r="39" spans="1:7" x14ac:dyDescent="0.25">
      <c r="A39" s="122" t="s">
        <v>176</v>
      </c>
      <c r="B39" s="121">
        <v>0.5</v>
      </c>
    </row>
    <row r="40" spans="1:7" x14ac:dyDescent="0.25">
      <c r="A40" s="122" t="s">
        <v>175</v>
      </c>
      <c r="B40" s="121">
        <f>+B38*B39</f>
        <v>0.47499999999999998</v>
      </c>
    </row>
  </sheetData>
  <mergeCells count="11">
    <mergeCell ref="H1:J1"/>
    <mergeCell ref="L1:N1"/>
    <mergeCell ref="C2:D2"/>
    <mergeCell ref="E2:F2"/>
    <mergeCell ref="A20:F20"/>
    <mergeCell ref="A1:F1"/>
    <mergeCell ref="C21:D21"/>
    <mergeCell ref="E21:F21"/>
    <mergeCell ref="A28:F28"/>
    <mergeCell ref="C29:D29"/>
    <mergeCell ref="E29:F29"/>
  </mergeCells>
  <printOptions horizontalCentered="1" vertic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showGridLines="0" zoomScaleNormal="100" workbookViewId="0">
      <selection activeCell="G1" sqref="G1:G1048576"/>
    </sheetView>
  </sheetViews>
  <sheetFormatPr defaultColWidth="8.85546875" defaultRowHeight="15.75" x14ac:dyDescent="0.25"/>
  <cols>
    <col min="1" max="1" width="23.28515625" style="119" bestFit="1" customWidth="1"/>
    <col min="2" max="2" width="18" style="119" customWidth="1"/>
    <col min="3" max="4" width="12.28515625" style="119" bestFit="1" customWidth="1"/>
    <col min="5" max="5" width="11" style="119" bestFit="1" customWidth="1"/>
    <col min="6" max="6" width="12.28515625" style="119" bestFit="1" customWidth="1"/>
    <col min="7" max="7" width="11" style="119" bestFit="1" customWidth="1"/>
    <col min="8" max="8" width="12.28515625" style="119" bestFit="1" customWidth="1"/>
    <col min="9" max="9" width="11" style="119" bestFit="1" customWidth="1"/>
    <col min="10" max="10" width="13.7109375" style="119" customWidth="1"/>
    <col min="11" max="16384" width="8.85546875" style="119"/>
  </cols>
  <sheetData>
    <row r="2" spans="1:10" ht="21" thickBot="1" x14ac:dyDescent="0.4">
      <c r="A2" s="403" t="s">
        <v>218</v>
      </c>
      <c r="B2" s="403"/>
      <c r="C2" s="403"/>
      <c r="D2" s="403"/>
      <c r="E2" s="403"/>
      <c r="F2" s="403"/>
      <c r="G2" s="403"/>
      <c r="H2" s="403"/>
      <c r="I2" s="403"/>
      <c r="J2" s="403"/>
    </row>
    <row r="3" spans="1:10" ht="21" thickBot="1" x14ac:dyDescent="0.4">
      <c r="A3" s="404" t="s">
        <v>217</v>
      </c>
      <c r="B3" s="405"/>
      <c r="C3" s="405"/>
      <c r="D3" s="405"/>
      <c r="E3" s="405"/>
      <c r="F3" s="405"/>
      <c r="G3" s="405"/>
      <c r="H3" s="405"/>
      <c r="I3" s="405"/>
      <c r="J3" s="406"/>
    </row>
    <row r="4" spans="1:10" s="159" customFormat="1" ht="18" x14ac:dyDescent="0.35">
      <c r="A4" s="250"/>
      <c r="B4" s="245" t="s">
        <v>214</v>
      </c>
      <c r="C4" s="249" t="s">
        <v>213</v>
      </c>
      <c r="D4" s="248" t="s">
        <v>212</v>
      </c>
      <c r="E4" s="248"/>
      <c r="F4" s="248" t="s">
        <v>216</v>
      </c>
      <c r="G4" s="248"/>
      <c r="H4" s="248" t="s">
        <v>210</v>
      </c>
      <c r="I4" s="248"/>
      <c r="J4" s="247"/>
    </row>
    <row r="5" spans="1:10" s="159" customFormat="1" ht="18.600000000000001" thickBot="1" x14ac:dyDescent="0.4">
      <c r="A5" s="246"/>
      <c r="B5" s="245" t="s">
        <v>209</v>
      </c>
      <c r="C5" s="230" t="s">
        <v>208</v>
      </c>
      <c r="D5" s="229" t="s">
        <v>207</v>
      </c>
      <c r="E5" s="229" t="s">
        <v>88</v>
      </c>
      <c r="F5" s="229" t="s">
        <v>206</v>
      </c>
      <c r="G5" s="229" t="s">
        <v>205</v>
      </c>
      <c r="H5" s="229" t="s">
        <v>204</v>
      </c>
      <c r="I5" s="229" t="s">
        <v>203</v>
      </c>
      <c r="J5" s="228" t="s">
        <v>1</v>
      </c>
    </row>
    <row r="6" spans="1:10" s="159" customFormat="1" ht="18" x14ac:dyDescent="0.35">
      <c r="A6" s="244" t="s">
        <v>35</v>
      </c>
      <c r="B6" s="243">
        <v>1</v>
      </c>
      <c r="C6" s="242"/>
      <c r="D6" s="225"/>
      <c r="E6" s="225"/>
      <c r="F6" s="225"/>
      <c r="G6" s="225"/>
      <c r="H6" s="225"/>
      <c r="I6" s="225"/>
      <c r="J6" s="241"/>
    </row>
    <row r="7" spans="1:10" s="159" customFormat="1" ht="18.600000000000001" thickBot="1" x14ac:dyDescent="0.4">
      <c r="A7" s="240" t="str">
        <f>+'[2]Wt minimum bill'!A6</f>
        <v>Distribution System</v>
      </c>
      <c r="B7" s="239"/>
      <c r="C7" s="237">
        <v>0.2</v>
      </c>
      <c r="D7" s="237">
        <v>0.4</v>
      </c>
      <c r="E7" s="237">
        <v>0.05</v>
      </c>
      <c r="F7" s="237">
        <v>0.15</v>
      </c>
      <c r="G7" s="237">
        <v>0.05</v>
      </c>
      <c r="H7" s="238">
        <v>0.1</v>
      </c>
      <c r="I7" s="237">
        <v>0.05</v>
      </c>
      <c r="J7" s="236">
        <f>SUM(C7:I7)</f>
        <v>1.0000000000000002</v>
      </c>
    </row>
    <row r="8" spans="1:10" ht="21" thickBot="1" x14ac:dyDescent="0.4">
      <c r="A8" s="404" t="s">
        <v>215</v>
      </c>
      <c r="B8" s="405"/>
      <c r="C8" s="405"/>
      <c r="D8" s="405"/>
      <c r="E8" s="405"/>
      <c r="F8" s="405"/>
      <c r="G8" s="405"/>
      <c r="H8" s="405"/>
      <c r="I8" s="405"/>
      <c r="J8" s="406"/>
    </row>
    <row r="9" spans="1:10" s="159" customFormat="1" ht="18" x14ac:dyDescent="0.25">
      <c r="A9" s="407"/>
      <c r="B9" s="235" t="s">
        <v>214</v>
      </c>
      <c r="C9" s="234" t="s">
        <v>213</v>
      </c>
      <c r="D9" s="233" t="s">
        <v>212</v>
      </c>
      <c r="E9" s="233"/>
      <c r="F9" s="233" t="s">
        <v>211</v>
      </c>
      <c r="G9" s="233"/>
      <c r="H9" s="233" t="s">
        <v>210</v>
      </c>
      <c r="I9" s="233"/>
      <c r="J9" s="232"/>
    </row>
    <row r="10" spans="1:10" s="159" customFormat="1" ht="18.75" thickBot="1" x14ac:dyDescent="0.3">
      <c r="A10" s="408"/>
      <c r="B10" s="231" t="s">
        <v>209</v>
      </c>
      <c r="C10" s="230" t="s">
        <v>208</v>
      </c>
      <c r="D10" s="229" t="s">
        <v>207</v>
      </c>
      <c r="E10" s="229" t="s">
        <v>88</v>
      </c>
      <c r="F10" s="229" t="s">
        <v>206</v>
      </c>
      <c r="G10" s="229" t="s">
        <v>205</v>
      </c>
      <c r="H10" s="229" t="s">
        <v>204</v>
      </c>
      <c r="I10" s="229" t="s">
        <v>203</v>
      </c>
      <c r="J10" s="228" t="s">
        <v>1</v>
      </c>
    </row>
    <row r="11" spans="1:10" s="159" customFormat="1" ht="18" x14ac:dyDescent="0.35">
      <c r="A11" s="227" t="s">
        <v>35</v>
      </c>
      <c r="B11" s="226">
        <f>+B6*J11</f>
        <v>727948.39629999991</v>
      </c>
      <c r="C11" s="225"/>
      <c r="D11" s="224"/>
      <c r="E11" s="224"/>
      <c r="F11" s="224"/>
      <c r="G11" s="224"/>
      <c r="H11" s="224"/>
      <c r="I11" s="224"/>
      <c r="J11" s="223">
        <f>+'I-Wt Base'!F5</f>
        <v>727948.39629999991</v>
      </c>
    </row>
    <row r="12" spans="1:10" s="159" customFormat="1" ht="18.600000000000001" thickBot="1" x14ac:dyDescent="0.4">
      <c r="A12" s="222" t="str">
        <f>+'[2]Wt cost dist'!A6</f>
        <v>Distribution System</v>
      </c>
      <c r="B12" s="221"/>
      <c r="C12" s="220">
        <f t="shared" ref="C12:I12" si="0">+C7*$J$12</f>
        <v>205728.98214000004</v>
      </c>
      <c r="D12" s="220">
        <f t="shared" si="0"/>
        <v>411457.96428000007</v>
      </c>
      <c r="E12" s="220">
        <f t="shared" si="0"/>
        <v>51432.245535000009</v>
      </c>
      <c r="F12" s="220">
        <f t="shared" si="0"/>
        <v>154296.73660500001</v>
      </c>
      <c r="G12" s="220">
        <f t="shared" si="0"/>
        <v>51432.245535000009</v>
      </c>
      <c r="H12" s="220">
        <f t="shared" si="0"/>
        <v>102864.49107000002</v>
      </c>
      <c r="I12" s="220">
        <f t="shared" si="0"/>
        <v>51432.245535000009</v>
      </c>
      <c r="J12" s="352">
        <f>+'I-Wt Base'!F6</f>
        <v>1028644.9107000001</v>
      </c>
    </row>
    <row r="13" spans="1:10" s="159" customFormat="1" ht="19.149999999999999" thickTop="1" thickBot="1" x14ac:dyDescent="0.4">
      <c r="A13" s="219" t="s">
        <v>1</v>
      </c>
      <c r="B13" s="218">
        <f>SUM(B11:B12)</f>
        <v>727948.39629999991</v>
      </c>
      <c r="C13" s="217">
        <f t="shared" ref="C13:I13" si="1">SUM(C12:C12)</f>
        <v>205728.98214000004</v>
      </c>
      <c r="D13" s="217">
        <f t="shared" si="1"/>
        <v>411457.96428000007</v>
      </c>
      <c r="E13" s="217">
        <f t="shared" si="1"/>
        <v>51432.245535000009</v>
      </c>
      <c r="F13" s="217">
        <f t="shared" si="1"/>
        <v>154296.73660500001</v>
      </c>
      <c r="G13" s="217">
        <f t="shared" si="1"/>
        <v>51432.245535000009</v>
      </c>
      <c r="H13" s="217">
        <f t="shared" si="1"/>
        <v>102864.49107000002</v>
      </c>
      <c r="I13" s="217">
        <f t="shared" si="1"/>
        <v>51432.245535000009</v>
      </c>
      <c r="J13" s="353">
        <f>SUM(J11:J12)</f>
        <v>1756593.307</v>
      </c>
    </row>
    <row r="20" spans="1:10" ht="15.6" x14ac:dyDescent="0.3">
      <c r="J20" s="216"/>
    </row>
    <row r="23" spans="1:10" ht="15.6" x14ac:dyDescent="0.3">
      <c r="A23" s="402"/>
      <c r="B23" s="402"/>
      <c r="C23" s="402"/>
      <c r="D23" s="402"/>
      <c r="E23" s="402"/>
      <c r="F23" s="402"/>
      <c r="G23" s="402"/>
      <c r="H23" s="402"/>
      <c r="I23" s="402"/>
      <c r="J23" s="402"/>
    </row>
    <row r="30" spans="1:10" ht="15.6" x14ac:dyDescent="0.3">
      <c r="A30" s="402" t="s">
        <v>202</v>
      </c>
      <c r="B30" s="402"/>
      <c r="C30" s="402"/>
      <c r="D30" s="402"/>
      <c r="E30" s="402"/>
      <c r="F30" s="402"/>
      <c r="G30" s="402"/>
      <c r="H30" s="402"/>
      <c r="I30" s="402"/>
      <c r="J30" s="402"/>
    </row>
  </sheetData>
  <mergeCells count="6">
    <mergeCell ref="A30:J30"/>
    <mergeCell ref="A2:J2"/>
    <mergeCell ref="A3:J3"/>
    <mergeCell ref="A8:J8"/>
    <mergeCell ref="A9:A10"/>
    <mergeCell ref="A23:J23"/>
  </mergeCells>
  <printOptions horizontalCentered="1" verticalCentered="1"/>
  <pageMargins left="0.7" right="0.7" top="0.75" bottom="0.75" header="0.3" footer="0.3"/>
  <pageSetup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showGridLines="0" workbookViewId="0">
      <selection activeCell="O19" sqref="O19"/>
    </sheetView>
  </sheetViews>
  <sheetFormatPr defaultColWidth="8.85546875" defaultRowHeight="12.75" x14ac:dyDescent="0.2"/>
  <cols>
    <col min="1" max="1" width="11.5703125" style="315" bestFit="1" customWidth="1"/>
    <col min="2" max="2" width="9.5703125" style="315" bestFit="1" customWidth="1"/>
    <col min="3" max="4" width="9.140625" style="315" bestFit="1" customWidth="1"/>
    <col min="5" max="5" width="8.140625" style="315" bestFit="1" customWidth="1"/>
    <col min="6" max="6" width="9.7109375" style="315" customWidth="1"/>
    <col min="7" max="7" width="9" style="315" customWidth="1"/>
    <col min="8" max="8" width="9.140625" style="315" bestFit="1" customWidth="1"/>
    <col min="9" max="9" width="8.140625" style="315" bestFit="1" customWidth="1"/>
    <col min="10" max="11" width="9.140625" style="315" bestFit="1" customWidth="1"/>
    <col min="12" max="12" width="9.28515625" style="315" bestFit="1" customWidth="1"/>
    <col min="13" max="13" width="8.140625" style="315" bestFit="1" customWidth="1"/>
    <col min="14" max="14" width="9.140625" style="315" bestFit="1" customWidth="1"/>
    <col min="15" max="15" width="8.140625" style="315" bestFit="1" customWidth="1"/>
    <col min="16" max="16" width="10.7109375" style="315" bestFit="1" customWidth="1"/>
    <col min="17" max="16384" width="8.85546875" style="315"/>
  </cols>
  <sheetData>
    <row r="1" spans="1:16" ht="21" thickBot="1" x14ac:dyDescent="0.4">
      <c r="A1" s="404" t="s">
        <v>243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</row>
    <row r="2" spans="1:16" ht="15.6" x14ac:dyDescent="0.3">
      <c r="A2" s="332"/>
      <c r="B2" s="311" t="s">
        <v>238</v>
      </c>
      <c r="C2" s="309" t="s">
        <v>213</v>
      </c>
      <c r="D2" s="311" t="s">
        <v>212</v>
      </c>
      <c r="E2" s="311"/>
      <c r="F2" s="311" t="s">
        <v>211</v>
      </c>
      <c r="G2" s="311"/>
      <c r="H2" s="331" t="s">
        <v>210</v>
      </c>
      <c r="I2" s="331"/>
      <c r="J2" s="331" t="s">
        <v>166</v>
      </c>
      <c r="K2" s="331" t="s">
        <v>166</v>
      </c>
      <c r="L2" s="331" t="str">
        <f>+K2</f>
        <v>Deprec.</v>
      </c>
      <c r="M2" s="331" t="str">
        <f>+L2</f>
        <v>Deprec.</v>
      </c>
      <c r="N2" s="330"/>
      <c r="O2" s="329"/>
      <c r="P2" s="328"/>
    </row>
    <row r="3" spans="1:16" ht="16.149999999999999" thickBot="1" x14ac:dyDescent="0.35">
      <c r="A3" s="327"/>
      <c r="B3" s="302" t="s">
        <v>237</v>
      </c>
      <c r="C3" s="326" t="s">
        <v>208</v>
      </c>
      <c r="D3" s="302" t="s">
        <v>236</v>
      </c>
      <c r="E3" s="302" t="s">
        <v>88</v>
      </c>
      <c r="F3" s="302" t="s">
        <v>206</v>
      </c>
      <c r="G3" s="302" t="s">
        <v>205</v>
      </c>
      <c r="H3" s="325" t="s">
        <v>204</v>
      </c>
      <c r="I3" s="325" t="s">
        <v>203</v>
      </c>
      <c r="J3" s="325" t="s">
        <v>32</v>
      </c>
      <c r="K3" s="325" t="s">
        <v>235</v>
      </c>
      <c r="L3" s="325" t="s">
        <v>242</v>
      </c>
      <c r="M3" s="325" t="s">
        <v>88</v>
      </c>
      <c r="N3" s="324" t="s">
        <v>220</v>
      </c>
      <c r="O3" s="323" t="s">
        <v>234</v>
      </c>
      <c r="P3" s="322" t="s">
        <v>1</v>
      </c>
    </row>
    <row r="4" spans="1:16" ht="16.149999999999999" thickBot="1" x14ac:dyDescent="0.35">
      <c r="A4" s="351" t="s">
        <v>241</v>
      </c>
      <c r="B4" s="350">
        <f>+'I-Wt Alloc'!B13</f>
        <v>727948.39629999991</v>
      </c>
      <c r="C4" s="350">
        <f>+'I-Wt Alloc'!C13</f>
        <v>205728.98214000004</v>
      </c>
      <c r="D4" s="350">
        <f>+'I-Wt Alloc'!D13</f>
        <v>411457.96428000007</v>
      </c>
      <c r="E4" s="350">
        <f>+'I-Wt Alloc'!E13</f>
        <v>51432.245535000009</v>
      </c>
      <c r="F4" s="350">
        <f>+'I-Wt Alloc'!F13</f>
        <v>154296.73660500001</v>
      </c>
      <c r="G4" s="350">
        <f>+'I-Wt Alloc'!G13</f>
        <v>51432.245535000009</v>
      </c>
      <c r="H4" s="350">
        <f>+'I-Wt Alloc'!H13</f>
        <v>102864.49107000002</v>
      </c>
      <c r="I4" s="350">
        <f>+'I-Wt Alloc'!I13</f>
        <v>51432.245535000009</v>
      </c>
      <c r="J4" s="350">
        <f>+'I-Wt Base'!F11</f>
        <v>209560.74</v>
      </c>
      <c r="K4" s="350">
        <f>+'I-Wt Base'!F12</f>
        <v>155849.25150000001</v>
      </c>
      <c r="L4" s="350">
        <f>+'I-Wt Base'!F13</f>
        <v>11838.719499999999</v>
      </c>
      <c r="M4" s="350">
        <f>+'I-Wt Base'!F14</f>
        <v>36974.949999999997</v>
      </c>
      <c r="N4" s="349">
        <f>+'I-Wt Base'!F8</f>
        <v>205350.5</v>
      </c>
      <c r="O4" s="348">
        <f>+'I-Wt Base'!F9</f>
        <v>41070.100000000006</v>
      </c>
      <c r="P4" s="347">
        <f>SUM(B4:O4)</f>
        <v>2417237.5680000004</v>
      </c>
    </row>
    <row r="5" spans="1:16" ht="18.600000000000001" thickBot="1" x14ac:dyDescent="0.4">
      <c r="A5" s="409" t="s">
        <v>240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1"/>
    </row>
    <row r="6" spans="1:16" ht="15.6" x14ac:dyDescent="0.3">
      <c r="A6" s="332"/>
      <c r="B6" s="311" t="s">
        <v>238</v>
      </c>
      <c r="C6" s="309" t="s">
        <v>213</v>
      </c>
      <c r="D6" s="311" t="s">
        <v>212</v>
      </c>
      <c r="E6" s="311"/>
      <c r="F6" s="311" t="s">
        <v>211</v>
      </c>
      <c r="G6" s="311"/>
      <c r="H6" s="331" t="s">
        <v>210</v>
      </c>
      <c r="I6" s="331"/>
      <c r="J6" s="331"/>
      <c r="K6" s="331" t="s">
        <v>166</v>
      </c>
      <c r="L6" s="331" t="str">
        <f>+K6</f>
        <v>Deprec.</v>
      </c>
      <c r="M6" s="331" t="str">
        <f>+L6</f>
        <v>Deprec.</v>
      </c>
      <c r="N6" s="329"/>
      <c r="O6" s="328"/>
      <c r="P6" s="346"/>
    </row>
    <row r="7" spans="1:16" ht="16.149999999999999" thickBot="1" x14ac:dyDescent="0.35">
      <c r="A7" s="327" t="s">
        <v>225</v>
      </c>
      <c r="B7" s="302" t="s">
        <v>237</v>
      </c>
      <c r="C7" s="326" t="s">
        <v>208</v>
      </c>
      <c r="D7" s="302" t="s">
        <v>236</v>
      </c>
      <c r="E7" s="302" t="s">
        <v>88</v>
      </c>
      <c r="F7" s="302" t="s">
        <v>206</v>
      </c>
      <c r="G7" s="302" t="s">
        <v>205</v>
      </c>
      <c r="H7" s="325" t="s">
        <v>204</v>
      </c>
      <c r="I7" s="325" t="s">
        <v>203</v>
      </c>
      <c r="J7" s="325" t="str">
        <f>+J3</f>
        <v>WTP</v>
      </c>
      <c r="K7" s="325" t="s">
        <v>235</v>
      </c>
      <c r="L7" s="325" t="str">
        <f>+L3</f>
        <v>Pump Sta</v>
      </c>
      <c r="M7" s="325" t="s">
        <v>88</v>
      </c>
      <c r="N7" s="323" t="s">
        <v>220</v>
      </c>
      <c r="O7" s="322" t="s">
        <v>234</v>
      </c>
      <c r="P7" s="333"/>
    </row>
    <row r="8" spans="1:16" ht="16.149999999999999" thickBot="1" x14ac:dyDescent="0.35">
      <c r="A8" s="345" t="s">
        <v>194</v>
      </c>
      <c r="B8" s="344">
        <f>+'I-Wt Base'!J3</f>
        <v>0.49827956989247307</v>
      </c>
      <c r="C8" s="342">
        <f>+B8</f>
        <v>0.49827956989247307</v>
      </c>
      <c r="D8" s="343">
        <f>+'I-Wt Base'!B40</f>
        <v>0.47499999999999998</v>
      </c>
      <c r="E8" s="342">
        <f>+B8</f>
        <v>0.49827956989247307</v>
      </c>
      <c r="F8" s="341">
        <v>0</v>
      </c>
      <c r="G8" s="339">
        <f>+B8*0.15</f>
        <v>7.4741935483870953E-2</v>
      </c>
      <c r="H8" s="340">
        <f>+D8</f>
        <v>0.47499999999999998</v>
      </c>
      <c r="I8" s="339">
        <v>0</v>
      </c>
      <c r="J8" s="338">
        <f>+'I-Wt Base'!J3</f>
        <v>0.49827956989247307</v>
      </c>
      <c r="K8" s="336">
        <v>0.48</v>
      </c>
      <c r="L8" s="337">
        <v>0.5</v>
      </c>
      <c r="M8" s="336">
        <v>0.5</v>
      </c>
      <c r="N8" s="335">
        <f>+J8</f>
        <v>0.49827956989247307</v>
      </c>
      <c r="O8" s="334">
        <f>+N8</f>
        <v>0.49827956989247307</v>
      </c>
      <c r="P8" s="333"/>
    </row>
    <row r="9" spans="1:16" ht="18.600000000000001" thickBot="1" x14ac:dyDescent="0.4">
      <c r="A9" s="409" t="s">
        <v>239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1"/>
    </row>
    <row r="10" spans="1:16" ht="15.6" x14ac:dyDescent="0.3">
      <c r="A10" s="332"/>
      <c r="B10" s="311" t="s">
        <v>238</v>
      </c>
      <c r="C10" s="309" t="s">
        <v>213</v>
      </c>
      <c r="D10" s="311" t="s">
        <v>212</v>
      </c>
      <c r="E10" s="311"/>
      <c r="F10" s="311" t="s">
        <v>211</v>
      </c>
      <c r="G10" s="311"/>
      <c r="H10" s="331" t="s">
        <v>210</v>
      </c>
      <c r="I10" s="331"/>
      <c r="J10" s="331"/>
      <c r="K10" s="331" t="s">
        <v>166</v>
      </c>
      <c r="L10" s="331" t="str">
        <f>+K10</f>
        <v>Deprec.</v>
      </c>
      <c r="M10" s="331" t="str">
        <f>+L10</f>
        <v>Deprec.</v>
      </c>
      <c r="N10" s="330"/>
      <c r="O10" s="329"/>
      <c r="P10" s="328"/>
    </row>
    <row r="11" spans="1:16" ht="16.149999999999999" thickBot="1" x14ac:dyDescent="0.35">
      <c r="A11" s="327" t="s">
        <v>225</v>
      </c>
      <c r="B11" s="302" t="s">
        <v>237</v>
      </c>
      <c r="C11" s="326" t="s">
        <v>208</v>
      </c>
      <c r="D11" s="302" t="s">
        <v>236</v>
      </c>
      <c r="E11" s="302" t="s">
        <v>88</v>
      </c>
      <c r="F11" s="302" t="s">
        <v>206</v>
      </c>
      <c r="G11" s="302" t="s">
        <v>205</v>
      </c>
      <c r="H11" s="325" t="s">
        <v>204</v>
      </c>
      <c r="I11" s="325" t="s">
        <v>203</v>
      </c>
      <c r="J11" s="325" t="str">
        <f>+J7</f>
        <v>WTP</v>
      </c>
      <c r="K11" s="325" t="s">
        <v>235</v>
      </c>
      <c r="L11" s="325" t="str">
        <f>+L7</f>
        <v>Pump Sta</v>
      </c>
      <c r="M11" s="325" t="s">
        <v>88</v>
      </c>
      <c r="N11" s="324" t="s">
        <v>220</v>
      </c>
      <c r="O11" s="323" t="s">
        <v>234</v>
      </c>
      <c r="P11" s="322" t="str">
        <f>+P3</f>
        <v>Total</v>
      </c>
    </row>
    <row r="12" spans="1:16" ht="16.149999999999999" thickBot="1" x14ac:dyDescent="0.35">
      <c r="A12" s="321" t="s">
        <v>194</v>
      </c>
      <c r="B12" s="320">
        <f t="shared" ref="B12:O12" si="0">+B8*B4</f>
        <v>362721.81381227949</v>
      </c>
      <c r="C12" s="320">
        <f t="shared" si="0"/>
        <v>102510.5487351355</v>
      </c>
      <c r="D12" s="320">
        <f t="shared" si="0"/>
        <v>195442.53303300001</v>
      </c>
      <c r="E12" s="320">
        <f t="shared" si="0"/>
        <v>25627.637183783874</v>
      </c>
      <c r="F12" s="320">
        <f t="shared" si="0"/>
        <v>0</v>
      </c>
      <c r="G12" s="320">
        <f t="shared" si="0"/>
        <v>3844.1455775675804</v>
      </c>
      <c r="H12" s="320">
        <f t="shared" si="0"/>
        <v>48860.633258250004</v>
      </c>
      <c r="I12" s="320">
        <f t="shared" si="0"/>
        <v>0</v>
      </c>
      <c r="J12" s="320">
        <f t="shared" si="0"/>
        <v>104419.83539354838</v>
      </c>
      <c r="K12" s="320">
        <f t="shared" si="0"/>
        <v>74807.64072000001</v>
      </c>
      <c r="L12" s="320">
        <f t="shared" si="0"/>
        <v>5919.3597499999996</v>
      </c>
      <c r="M12" s="320">
        <f t="shared" si="0"/>
        <v>18487.474999999999</v>
      </c>
      <c r="N12" s="320">
        <f t="shared" si="0"/>
        <v>102321.95881720429</v>
      </c>
      <c r="O12" s="320">
        <f t="shared" si="0"/>
        <v>20464.391763440861</v>
      </c>
      <c r="P12" s="319">
        <f>SUM(B12:O12)</f>
        <v>1065427.9730442099</v>
      </c>
    </row>
    <row r="13" spans="1:16" ht="18.600000000000001" thickBot="1" x14ac:dyDescent="0.4">
      <c r="A13" s="412" t="s">
        <v>233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4"/>
    </row>
    <row r="14" spans="1:16" s="136" customFormat="1" ht="16.149999999999999" thickBot="1" x14ac:dyDescent="0.35">
      <c r="A14" s="318" t="str">
        <f>+A12</f>
        <v>MWD</v>
      </c>
      <c r="B14" s="317">
        <f>+B12/'I-Wt Base'!$I$3/1000</f>
        <v>0.7827402110752687</v>
      </c>
      <c r="C14" s="317">
        <f>+C12/'I-Wt Base'!$I$3/1000</f>
        <v>0.22121395929032261</v>
      </c>
      <c r="D14" s="317">
        <f>+D12/'I-Wt Base'!$I$3/1000</f>
        <v>0.42175773205222278</v>
      </c>
      <c r="E14" s="317">
        <f>+E12/'I-Wt Base'!$I$3/1000</f>
        <v>5.5303489822580654E-2</v>
      </c>
      <c r="F14" s="317">
        <f>+F12/'I-Wt Base'!$I$3/1000</f>
        <v>0</v>
      </c>
      <c r="G14" s="317">
        <f>+G12/'I-Wt Base'!$I$3/1000</f>
        <v>8.295523473387096E-3</v>
      </c>
      <c r="H14" s="317">
        <f>+H12/'I-Wt Base'!$I$3/1000</f>
        <v>0.10543943301305569</v>
      </c>
      <c r="I14" s="317">
        <f>+I12/'I-Wt Base'!$I$3/1000</f>
        <v>0</v>
      </c>
      <c r="J14" s="317">
        <f>+J12/'I-Wt Base'!$I$3/1000</f>
        <v>0.22533412903225805</v>
      </c>
      <c r="K14" s="317">
        <f>+K12/'I-Wt Base'!$I$3/1000</f>
        <v>0.16143211204143293</v>
      </c>
      <c r="L14" s="317">
        <f>+L12/'I-Wt Base'!$I$3/1000</f>
        <v>1.2773758631851533E-2</v>
      </c>
      <c r="M14" s="317">
        <f>+M12/'I-Wt Base'!$I$3/1000</f>
        <v>3.9895284851100561E-2</v>
      </c>
      <c r="N14" s="317">
        <f>+N12/'I-Wt Base'!$I$3/1000</f>
        <v>0.22080698924731179</v>
      </c>
      <c r="O14" s="317">
        <f>+O12/'I-Wt Base'!$I$3/1000</f>
        <v>4.4161397849462367E-2</v>
      </c>
      <c r="P14" s="316">
        <f>SUM(B14:O14)</f>
        <v>2.2991540203802545</v>
      </c>
    </row>
  </sheetData>
  <mergeCells count="4">
    <mergeCell ref="A1:P1"/>
    <mergeCell ref="A5:P5"/>
    <mergeCell ref="A9:P9"/>
    <mergeCell ref="A13:P13"/>
  </mergeCells>
  <pageMargins left="0.7" right="0.7" top="0.75" bottom="0.75" header="0.3" footer="0.3"/>
  <pageSetup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9"/>
  <sheetViews>
    <sheetView showGridLines="0" zoomScale="80" zoomScaleNormal="80" workbookViewId="0">
      <selection activeCell="H16" sqref="H16"/>
    </sheetView>
  </sheetViews>
  <sheetFormatPr defaultColWidth="8.85546875" defaultRowHeight="15.75" x14ac:dyDescent="0.25"/>
  <cols>
    <col min="1" max="1" width="26.42578125" style="119" bestFit="1" customWidth="1"/>
    <col min="2" max="2" width="17.28515625" style="120" bestFit="1" customWidth="1"/>
    <col min="3" max="3" width="13.140625" style="120" bestFit="1" customWidth="1"/>
    <col min="4" max="4" width="12.7109375" style="120" bestFit="1" customWidth="1"/>
    <col min="5" max="5" width="13.28515625" style="119" bestFit="1" customWidth="1"/>
    <col min="6" max="6" width="9.140625" style="119" bestFit="1" customWidth="1"/>
    <col min="7" max="7" width="9" style="119" customWidth="1"/>
    <col min="8" max="8" width="10.28515625" style="119" customWidth="1"/>
    <col min="9" max="9" width="14.140625" style="119" customWidth="1"/>
    <col min="10" max="10" width="11.5703125" style="119" customWidth="1"/>
    <col min="11" max="11" width="14.28515625" style="119" customWidth="1"/>
    <col min="12" max="12" width="9.28515625" style="119" customWidth="1"/>
    <col min="13" max="13" width="16.140625" style="119" customWidth="1"/>
    <col min="14" max="14" width="8.85546875" style="119"/>
    <col min="15" max="16" width="6.7109375" style="119" bestFit="1" customWidth="1"/>
    <col min="17" max="16384" width="8.85546875" style="119"/>
  </cols>
  <sheetData>
    <row r="5" spans="1:13" ht="15.6" x14ac:dyDescent="0.3">
      <c r="A5" s="313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264"/>
    </row>
    <row r="6" spans="1:13" ht="16.149999999999999" thickBot="1" x14ac:dyDescent="0.35">
      <c r="A6" s="313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3" ht="18.600000000000001" thickBot="1" x14ac:dyDescent="0.4">
      <c r="A7" s="415" t="s">
        <v>232</v>
      </c>
      <c r="B7" s="416"/>
      <c r="C7" s="416"/>
      <c r="D7" s="416"/>
      <c r="E7" s="417"/>
      <c r="F7" s="135"/>
      <c r="G7" s="418" t="s">
        <v>231</v>
      </c>
      <c r="H7" s="419"/>
      <c r="I7" s="419"/>
      <c r="J7" s="419"/>
      <c r="K7" s="419"/>
      <c r="L7" s="419"/>
      <c r="M7" s="420"/>
    </row>
    <row r="8" spans="1:13" x14ac:dyDescent="0.25">
      <c r="A8" s="313"/>
      <c r="B8" s="305" t="s">
        <v>1</v>
      </c>
      <c r="C8" s="305" t="s">
        <v>194</v>
      </c>
      <c r="D8" s="135" t="s">
        <v>230</v>
      </c>
      <c r="E8" s="421" t="s">
        <v>229</v>
      </c>
      <c r="F8" s="135"/>
      <c r="G8" s="312"/>
      <c r="H8" s="311" t="s">
        <v>197</v>
      </c>
      <c r="I8" s="310" t="s">
        <v>228</v>
      </c>
      <c r="J8" s="311" t="s">
        <v>197</v>
      </c>
      <c r="K8" s="310" t="s">
        <v>227</v>
      </c>
      <c r="L8" s="309" t="s">
        <v>197</v>
      </c>
      <c r="M8" s="308" t="s">
        <v>226</v>
      </c>
    </row>
    <row r="9" spans="1:13" ht="16.5" thickBot="1" x14ac:dyDescent="0.3">
      <c r="A9" s="307"/>
      <c r="B9" s="306" t="s">
        <v>28</v>
      </c>
      <c r="C9" s="305" t="s">
        <v>28</v>
      </c>
      <c r="D9" s="135" t="s">
        <v>28</v>
      </c>
      <c r="E9" s="422"/>
      <c r="F9" s="135"/>
      <c r="G9" s="304" t="s">
        <v>225</v>
      </c>
      <c r="H9" s="303" t="s">
        <v>224</v>
      </c>
      <c r="I9" s="301" t="s">
        <v>223</v>
      </c>
      <c r="J9" s="302" t="s">
        <v>222</v>
      </c>
      <c r="K9" s="301" t="str">
        <f>+I9</f>
        <v>Per 1,000 Gal.</v>
      </c>
      <c r="L9" s="300" t="s">
        <v>221</v>
      </c>
      <c r="M9" s="299" t="str">
        <f>+K9</f>
        <v>Per 1,000 Gal.</v>
      </c>
    </row>
    <row r="10" spans="1:13" ht="16.149999999999999" thickBot="1" x14ac:dyDescent="0.35">
      <c r="A10" s="290" t="str">
        <f>+'I-Wt Base'!A4</f>
        <v>Administration</v>
      </c>
      <c r="B10" s="289">
        <f>+'I-Wt Base'!F4</f>
        <v>0</v>
      </c>
      <c r="C10" s="284">
        <v>0</v>
      </c>
      <c r="D10" s="283">
        <v>0</v>
      </c>
      <c r="E10" s="278">
        <v>0</v>
      </c>
      <c r="F10" s="135"/>
      <c r="G10" s="298" t="s">
        <v>194</v>
      </c>
      <c r="H10" s="297">
        <f>+'I-Wt Base'!M3</f>
        <v>729785</v>
      </c>
      <c r="I10" s="296">
        <v>1.58</v>
      </c>
      <c r="J10" s="295">
        <f>+C17</f>
        <v>1065427.9730442099</v>
      </c>
      <c r="K10" s="294">
        <f>+E17</f>
        <v>2.2991540203802545</v>
      </c>
      <c r="L10" s="293">
        <f>+J10-H10</f>
        <v>335642.97304420988</v>
      </c>
      <c r="M10" s="292">
        <f>+K10-I10</f>
        <v>0.71915402038025444</v>
      </c>
    </row>
    <row r="11" spans="1:13" ht="15.6" x14ac:dyDescent="0.3">
      <c r="A11" s="291" t="str">
        <f>+'I-Wt Base'!A5</f>
        <v>Water Treatment Plant</v>
      </c>
      <c r="B11" s="285">
        <f>+'I-Wt Base'!F5</f>
        <v>727948.39629999991</v>
      </c>
      <c r="C11" s="284">
        <f>+'I-Wt Dist'!B12</f>
        <v>362721.81381227949</v>
      </c>
      <c r="D11" s="283">
        <f>+C11/B11</f>
        <v>0.49827956989247307</v>
      </c>
      <c r="E11" s="278">
        <f>+C11/'I-Wt Base'!$I$3/1000</f>
        <v>0.7827402110752687</v>
      </c>
      <c r="F11" s="135"/>
      <c r="G11" s="135"/>
      <c r="H11" s="135"/>
      <c r="I11" s="135"/>
    </row>
    <row r="12" spans="1:13" ht="15.6" x14ac:dyDescent="0.3">
      <c r="A12" s="291" t="str">
        <f>+'I-Wt Base'!A6</f>
        <v>Distribution System</v>
      </c>
      <c r="B12" s="285">
        <f>+'I-Wt Base'!F6</f>
        <v>1028644.9107000001</v>
      </c>
      <c r="C12" s="284">
        <f>+'I-Wt Dist'!C12+'I-Wt Dist'!D12+'I-Wt Dist'!E12+'I-Wt Dist'!G12+'I-Wt Dist'!H12</f>
        <v>376285.497787737</v>
      </c>
      <c r="D12" s="283">
        <f>+C12/B12</f>
        <v>0.36580698924731186</v>
      </c>
      <c r="E12" s="278">
        <f>+C12/'I-Wt Base'!$I$3/1000</f>
        <v>0.81201013765156893</v>
      </c>
      <c r="F12" s="135"/>
      <c r="G12" s="135"/>
      <c r="H12" s="135"/>
      <c r="I12" s="135"/>
    </row>
    <row r="13" spans="1:13" ht="15.6" x14ac:dyDescent="0.3">
      <c r="A13" s="290" t="str">
        <f>+'I-Wt Base'!A10</f>
        <v>Depreciation</v>
      </c>
      <c r="B13" s="289">
        <f>+'I-Wt Base'!F15</f>
        <v>414223.66100000002</v>
      </c>
      <c r="C13" s="288">
        <f>+'I-Wt Dist'!J12+'I-Wt Dist'!K12+'I-Wt Dist'!L12+'I-Wt Dist'!M12</f>
        <v>203634.31086354839</v>
      </c>
      <c r="D13" s="287">
        <f>+C13/B13</f>
        <v>0.49160472960898383</v>
      </c>
      <c r="E13" s="278">
        <f>+C13/'I-Wt Base'!$I$3/1000</f>
        <v>0.43943528455664305</v>
      </c>
      <c r="F13" s="135"/>
      <c r="G13" s="135"/>
      <c r="H13" s="135"/>
      <c r="I13" s="135"/>
    </row>
    <row r="14" spans="1:13" ht="15.6" x14ac:dyDescent="0.3">
      <c r="A14" s="286" t="s">
        <v>220</v>
      </c>
      <c r="B14" s="285">
        <f>+'I-Wt Base'!F8</f>
        <v>205350.5</v>
      </c>
      <c r="C14" s="284">
        <f>+'I-Wt Dist'!N12</f>
        <v>102321.95881720429</v>
      </c>
      <c r="D14" s="283">
        <f>+C14/B14</f>
        <v>0.49827956989247302</v>
      </c>
      <c r="E14" s="278">
        <f>+C14/'I-Wt Base'!$I$3/1000</f>
        <v>0.22080698924731179</v>
      </c>
      <c r="F14" s="135"/>
      <c r="G14" s="266"/>
      <c r="H14" s="135"/>
      <c r="I14" s="135"/>
    </row>
    <row r="15" spans="1:13" ht="15.6" x14ac:dyDescent="0.3">
      <c r="A15" s="282" t="str">
        <f>+'I-Wt Base'!A9</f>
        <v>Debt Service Coverage (20%)</v>
      </c>
      <c r="B15" s="281">
        <f>+'I-Wt Base'!F9</f>
        <v>41070.100000000006</v>
      </c>
      <c r="C15" s="280">
        <f>+'I-Wt Dist'!O12</f>
        <v>20464.391763440861</v>
      </c>
      <c r="D15" s="279">
        <f>+C15/B15</f>
        <v>0.49827956989247307</v>
      </c>
      <c r="E15" s="278">
        <f>+C15/'I-Wt Base'!$I$3/1000</f>
        <v>4.4161397849462367E-2</v>
      </c>
      <c r="F15" s="135"/>
      <c r="G15" s="135"/>
      <c r="H15" s="135"/>
      <c r="I15" s="135"/>
    </row>
    <row r="16" spans="1:13" ht="16.149999999999999" thickBot="1" x14ac:dyDescent="0.35">
      <c r="A16" s="277" t="str">
        <f>+'I-Wt Base'!A16</f>
        <v>Other Income</v>
      </c>
      <c r="B16" s="276">
        <v>0</v>
      </c>
      <c r="C16" s="275">
        <v>0</v>
      </c>
      <c r="D16" s="274">
        <v>0</v>
      </c>
      <c r="E16" s="273">
        <v>0</v>
      </c>
      <c r="F16" s="135"/>
      <c r="G16" s="135"/>
      <c r="H16" s="135"/>
      <c r="I16" s="135"/>
    </row>
    <row r="17" spans="1:13" ht="16.899999999999999" thickTop="1" thickBot="1" x14ac:dyDescent="0.35">
      <c r="A17" s="272" t="s">
        <v>219</v>
      </c>
      <c r="B17" s="271">
        <f>B10+B11+B12+B13+B15+B14+B16</f>
        <v>2417237.568</v>
      </c>
      <c r="C17" s="270">
        <f>SUM(C10:C16)</f>
        <v>1065427.9730442099</v>
      </c>
      <c r="D17" s="269">
        <f>+C17/B17</f>
        <v>0.44076262389291554</v>
      </c>
      <c r="E17" s="268">
        <f>SUM(E10:E16)</f>
        <v>2.2991540203802545</v>
      </c>
      <c r="F17" s="135"/>
      <c r="G17" s="135"/>
      <c r="H17" s="135"/>
      <c r="I17" s="135"/>
    </row>
    <row r="18" spans="1:13" ht="15.6" x14ac:dyDescent="0.3">
      <c r="A18" s="267"/>
      <c r="B18" s="266"/>
      <c r="C18" s="265"/>
      <c r="D18" s="135"/>
      <c r="E18" s="135"/>
      <c r="F18" s="135"/>
      <c r="G18" s="135"/>
      <c r="H18" s="135"/>
      <c r="I18" s="135"/>
    </row>
    <row r="19" spans="1:13" s="252" customFormat="1" ht="15.6" x14ac:dyDescent="0.3"/>
    <row r="20" spans="1:13" s="252" customFormat="1" ht="15.6" x14ac:dyDescent="0.3">
      <c r="H20" s="263"/>
      <c r="I20" s="262"/>
      <c r="J20" s="261"/>
    </row>
    <row r="21" spans="1:13" s="252" customFormat="1" ht="15.6" x14ac:dyDescent="0.3">
      <c r="A21" s="259"/>
      <c r="B21" s="258"/>
      <c r="C21" s="257"/>
      <c r="D21" s="256"/>
      <c r="E21" s="255"/>
      <c r="F21" s="254"/>
      <c r="G21" s="253"/>
      <c r="H21" s="260"/>
    </row>
    <row r="22" spans="1:13" s="252" customFormat="1" ht="15.6" x14ac:dyDescent="0.3">
      <c r="A22" s="423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</row>
    <row r="23" spans="1:13" s="252" customFormat="1" ht="15.6" x14ac:dyDescent="0.3">
      <c r="A23" s="259"/>
      <c r="B23" s="258"/>
      <c r="C23" s="257"/>
      <c r="D23" s="256"/>
      <c r="E23" s="255"/>
      <c r="F23" s="254"/>
      <c r="G23" s="253"/>
    </row>
    <row r="24" spans="1:13" s="252" customFormat="1" ht="15.6" x14ac:dyDescent="0.3">
      <c r="A24" s="259"/>
      <c r="B24" s="258"/>
      <c r="C24" s="257"/>
      <c r="D24" s="256"/>
      <c r="E24" s="255"/>
      <c r="F24" s="254"/>
      <c r="G24" s="253"/>
    </row>
    <row r="25" spans="1:13" s="252" customFormat="1" ht="15.6" x14ac:dyDescent="0.3">
      <c r="A25" s="259"/>
      <c r="B25" s="258"/>
      <c r="C25" s="257"/>
      <c r="D25" s="256"/>
      <c r="E25" s="255"/>
      <c r="F25" s="254"/>
      <c r="G25" s="253"/>
    </row>
    <row r="26" spans="1:13" s="252" customFormat="1" ht="15.6" x14ac:dyDescent="0.3">
      <c r="A26" s="259"/>
      <c r="B26" s="258"/>
      <c r="C26" s="257"/>
      <c r="D26" s="256"/>
      <c r="E26" s="255"/>
      <c r="F26" s="254"/>
      <c r="G26" s="253"/>
    </row>
    <row r="27" spans="1:13" ht="15.6" x14ac:dyDescent="0.3">
      <c r="B27" s="251"/>
    </row>
    <row r="29" spans="1:13" ht="15.6" x14ac:dyDescent="0.3">
      <c r="A29" s="402"/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</row>
  </sheetData>
  <mergeCells count="5">
    <mergeCell ref="A7:E7"/>
    <mergeCell ref="G7:M7"/>
    <mergeCell ref="E8:E9"/>
    <mergeCell ref="A22:M22"/>
    <mergeCell ref="A29:M29"/>
  </mergeCells>
  <printOptions horizontalCentered="1" verticalCentered="1"/>
  <pageMargins left="0.2" right="0.2" top="1" bottom="0.5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Meters</vt:lpstr>
      <vt:lpstr>I-Wt Exp F&amp;V (2)</vt:lpstr>
      <vt:lpstr>I-Wt debt </vt:lpstr>
      <vt:lpstr>I-Wt Dep</vt:lpstr>
      <vt:lpstr>I-Wt Base</vt:lpstr>
      <vt:lpstr>I-Wt Alloc</vt:lpstr>
      <vt:lpstr>I-Wt Dist</vt:lpstr>
      <vt:lpstr>I-Wt Summary</vt:lpstr>
      <vt:lpstr>'I-Wt Base'!Print_Area</vt:lpstr>
      <vt:lpstr>'I-Wt debt '!Print_Area</vt:lpstr>
      <vt:lpstr>'I-Wt Dep'!Print_Area</vt:lpstr>
      <vt:lpstr>'I-Wt Summary'!Print_Area</vt:lpstr>
      <vt:lpstr>'I-Wt Dep'!Print_Titles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Todd Osterloh</cp:lastModifiedBy>
  <dcterms:created xsi:type="dcterms:W3CDTF">2019-07-15T00:57:12Z</dcterms:created>
  <dcterms:modified xsi:type="dcterms:W3CDTF">2019-07-15T13:20:12Z</dcterms:modified>
</cp:coreProperties>
</file>