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Z:\Mountain Water District\Public Service Commission\2019 City of Pikeville\Pleadings (working)\MWD answers to 2nd Data Request\"/>
    </mc:Choice>
  </mc:AlternateContent>
  <bookViews>
    <workbookView xWindow="0" yWindow="0" windowWidth="17736" windowHeight="7716" tabRatio="500"/>
  </bookViews>
  <sheets>
    <sheet name="Pikeville lines" sheetId="2" r:id="rId1"/>
    <sheet name="dist alloc" sheetId="3" r:id="rId2"/>
    <sheet name="27 July adjmt" sheetId="6" r:id="rId3"/>
    <sheet name="dist alloc adj" sheetId="7" r:id="rId4"/>
  </sheets>
  <definedNames>
    <definedName name="_xlnm.Print_Area" localSheetId="2">'27 July adjmt'!$A$1:$L$13</definedName>
    <definedName name="_xlnm.Print_Area" localSheetId="1">'dist alloc'!$A$1:$D$32</definedName>
    <definedName name="_xlnm.Print_Area" localSheetId="0">'Pikeville lines'!$A$1:$L$25</definedName>
  </definedNames>
  <calcPr calcId="152511" calcMode="manual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" i="6" l="1"/>
  <c r="H12" i="6"/>
  <c r="B10" i="7"/>
  <c r="D11" i="6"/>
  <c r="F11" i="6"/>
  <c r="H11" i="6"/>
  <c r="B9" i="7"/>
  <c r="H9" i="6"/>
  <c r="B10" i="6"/>
  <c r="C10" i="6"/>
  <c r="F10" i="6"/>
  <c r="H10" i="6"/>
  <c r="B8" i="7"/>
  <c r="B8" i="6"/>
  <c r="C8" i="6"/>
  <c r="D8" i="6"/>
  <c r="H8" i="6"/>
  <c r="B7" i="7"/>
  <c r="B7" i="6"/>
  <c r="C7" i="6"/>
  <c r="D7" i="6"/>
  <c r="F7" i="6"/>
  <c r="H7" i="6"/>
  <c r="B6" i="7"/>
  <c r="D6" i="6"/>
  <c r="H6" i="6"/>
  <c r="B5" i="7"/>
  <c r="D5" i="6"/>
  <c r="H5" i="6"/>
  <c r="B4" i="7"/>
  <c r="H3" i="6"/>
  <c r="D4" i="6"/>
  <c r="E4" i="6"/>
  <c r="H4" i="6"/>
  <c r="B3" i="7"/>
  <c r="B13" i="7"/>
  <c r="C15" i="7"/>
  <c r="D3" i="7"/>
  <c r="D4" i="7"/>
  <c r="D5" i="7"/>
  <c r="D6" i="7"/>
  <c r="D7" i="7"/>
  <c r="D8" i="7"/>
  <c r="D9" i="7"/>
  <c r="D10" i="7"/>
  <c r="D11" i="7"/>
  <c r="D12" i="7"/>
  <c r="D13" i="7"/>
  <c r="B16" i="7"/>
  <c r="D16" i="7"/>
  <c r="C30" i="7"/>
  <c r="B24" i="7"/>
  <c r="D19" i="7"/>
  <c r="C24" i="7"/>
  <c r="B21" i="7"/>
  <c r="C21" i="7"/>
  <c r="D21" i="7"/>
  <c r="B22" i="7"/>
  <c r="C22" i="7"/>
  <c r="D22" i="7"/>
  <c r="D23" i="7"/>
  <c r="D24" i="7"/>
  <c r="D25" i="7"/>
  <c r="D26" i="7"/>
  <c r="D27" i="7"/>
  <c r="D30" i="7"/>
  <c r="D31" i="7"/>
  <c r="L3" i="6"/>
  <c r="L4" i="6"/>
  <c r="L5" i="6"/>
  <c r="L6" i="6"/>
  <c r="L7" i="6"/>
  <c r="L8" i="6"/>
  <c r="L9" i="6"/>
  <c r="L10" i="6"/>
  <c r="L11" i="6"/>
  <c r="L12" i="6"/>
  <c r="L13" i="6"/>
  <c r="H13" i="6"/>
  <c r="K3" i="6"/>
  <c r="K4" i="6"/>
  <c r="K5" i="6"/>
  <c r="K6" i="6"/>
  <c r="K7" i="6"/>
  <c r="K8" i="6"/>
  <c r="K9" i="6"/>
  <c r="K10" i="6"/>
  <c r="K11" i="6"/>
  <c r="K12" i="6"/>
  <c r="K13" i="6"/>
  <c r="I12" i="6"/>
  <c r="I11" i="6"/>
  <c r="I10" i="6"/>
  <c r="I9" i="6"/>
  <c r="I8" i="6"/>
  <c r="I7" i="6"/>
  <c r="I6" i="6"/>
  <c r="I5" i="6"/>
  <c r="I4" i="6"/>
  <c r="I3" i="6"/>
  <c r="B10" i="2"/>
  <c r="C10" i="2"/>
  <c r="F10" i="2"/>
  <c r="H10" i="2"/>
  <c r="L10" i="2"/>
  <c r="M10" i="2"/>
  <c r="B8" i="2"/>
  <c r="C8" i="2"/>
  <c r="D8" i="2"/>
  <c r="H8" i="2"/>
  <c r="L8" i="2"/>
  <c r="M8" i="2"/>
  <c r="B4" i="2"/>
  <c r="D4" i="2"/>
  <c r="E4" i="2"/>
  <c r="F4" i="2"/>
  <c r="H4" i="2"/>
  <c r="I4" i="2"/>
  <c r="D5" i="2"/>
  <c r="H5" i="2"/>
  <c r="I5" i="2"/>
  <c r="D6" i="2"/>
  <c r="H6" i="2"/>
  <c r="I6" i="2"/>
  <c r="B7" i="2"/>
  <c r="C7" i="2"/>
  <c r="D7" i="2"/>
  <c r="H7" i="2"/>
  <c r="I7" i="2"/>
  <c r="I8" i="2"/>
  <c r="H9" i="2"/>
  <c r="I9" i="2"/>
  <c r="I10" i="2"/>
  <c r="D11" i="2"/>
  <c r="F11" i="2"/>
  <c r="H11" i="2"/>
  <c r="I11" i="2"/>
  <c r="H12" i="2"/>
  <c r="I12" i="2"/>
  <c r="H3" i="2"/>
  <c r="I3" i="2"/>
  <c r="C18" i="2"/>
  <c r="C19" i="2"/>
  <c r="C20" i="2"/>
  <c r="C21" i="2"/>
  <c r="C22" i="2"/>
  <c r="C23" i="2"/>
  <c r="C24" i="2"/>
  <c r="C17" i="2"/>
  <c r="C25" i="2"/>
  <c r="E18" i="2"/>
  <c r="E19" i="2"/>
  <c r="E20" i="2"/>
  <c r="E21" i="2"/>
  <c r="E22" i="2"/>
  <c r="E23" i="2"/>
  <c r="E24" i="2"/>
  <c r="E17" i="2"/>
  <c r="E25" i="2"/>
  <c r="F25" i="2"/>
  <c r="F18" i="2"/>
  <c r="F19" i="2"/>
  <c r="F20" i="2"/>
  <c r="F21" i="2"/>
  <c r="F22" i="2"/>
  <c r="F23" i="2"/>
  <c r="F24" i="2"/>
  <c r="F17" i="2"/>
  <c r="L3" i="2"/>
  <c r="L4" i="2"/>
  <c r="L5" i="2"/>
  <c r="L6" i="2"/>
  <c r="L7" i="2"/>
  <c r="L9" i="2"/>
  <c r="L11" i="2"/>
  <c r="L12" i="2"/>
  <c r="L13" i="2"/>
  <c r="D22" i="3"/>
  <c r="C22" i="3"/>
  <c r="B22" i="3"/>
  <c r="B8" i="3"/>
  <c r="B3" i="3"/>
  <c r="B13" i="3"/>
  <c r="C15" i="3"/>
  <c r="D3" i="3"/>
  <c r="D4" i="3"/>
  <c r="D5" i="3"/>
  <c r="D6" i="3"/>
  <c r="D7" i="3"/>
  <c r="D8" i="3"/>
  <c r="D9" i="3"/>
  <c r="D10" i="3"/>
  <c r="D11" i="3"/>
  <c r="D12" i="3"/>
  <c r="D13" i="3"/>
  <c r="B16" i="3"/>
  <c r="D16" i="3"/>
  <c r="C30" i="3"/>
  <c r="B24" i="3"/>
  <c r="D19" i="3"/>
  <c r="C24" i="3"/>
  <c r="B21" i="3"/>
  <c r="C21" i="3"/>
  <c r="D21" i="3"/>
  <c r="D23" i="3"/>
  <c r="D24" i="3"/>
  <c r="D25" i="3"/>
  <c r="D26" i="3"/>
  <c r="D27" i="3"/>
  <c r="D30" i="3"/>
  <c r="D31" i="3"/>
  <c r="H13" i="2"/>
  <c r="K3" i="2"/>
  <c r="K4" i="2"/>
  <c r="K5" i="2"/>
  <c r="K6" i="2"/>
  <c r="K7" i="2"/>
  <c r="K8" i="2"/>
  <c r="K9" i="2"/>
  <c r="K10" i="2"/>
  <c r="K11" i="2"/>
  <c r="K12" i="2"/>
  <c r="K13" i="2"/>
</calcChain>
</file>

<file path=xl/comments1.xml><?xml version="1.0" encoding="utf-8"?>
<comments xmlns="http://schemas.openxmlformats.org/spreadsheetml/2006/main">
  <authors>
    <author>Connie L Allen</author>
  </authors>
  <commentList>
    <comment ref="C15" authorId="0" shapeId="0">
      <text>
        <r>
          <rPr>
            <b/>
            <sz val="9"/>
            <color indexed="81"/>
            <rFont val="Avenir Book"/>
            <family val="2"/>
          </rPr>
          <t>Connie L Allen:</t>
        </r>
        <r>
          <rPr>
            <sz val="9"/>
            <color indexed="81"/>
            <rFont val="Avenir Book"/>
            <family val="2"/>
          </rPr>
          <t xml:space="preserve">
this is the 2-inch cost ($30) of all the line</t>
        </r>
      </text>
    </comment>
    <comment ref="D19" authorId="0" shapeId="0">
      <text>
        <r>
          <rPr>
            <b/>
            <sz val="9"/>
            <color indexed="81"/>
            <rFont val="Avenir Book"/>
            <family val="2"/>
          </rPr>
          <t>Connie L Allen:</t>
        </r>
        <r>
          <rPr>
            <sz val="9"/>
            <color indexed="81"/>
            <rFont val="Avenir Book"/>
            <family val="2"/>
          </rPr>
          <t xml:space="preserve">
this is total cost of 2-inch through 6-inch line, D3+D4+D5+D6</t>
        </r>
      </text>
    </comment>
    <comment ref="B21" authorId="0" shapeId="0">
      <text>
        <r>
          <rPr>
            <b/>
            <sz val="9"/>
            <color indexed="81"/>
            <rFont val="Avenir Book"/>
            <family val="2"/>
          </rPr>
          <t>Connie L Allen:</t>
        </r>
        <r>
          <rPr>
            <sz val="9"/>
            <color indexed="81"/>
            <rFont val="Avenir Book"/>
            <family val="2"/>
          </rPr>
          <t xml:space="preserve">
ft of 8-inch</t>
        </r>
      </text>
    </comment>
    <comment ref="C21" authorId="0" shapeId="0">
      <text>
        <r>
          <rPr>
            <b/>
            <sz val="9"/>
            <color indexed="81"/>
            <rFont val="Avenir Book"/>
            <family val="2"/>
          </rPr>
          <t>Connie L Allen:</t>
        </r>
        <r>
          <rPr>
            <sz val="9"/>
            <color indexed="81"/>
            <rFont val="Avenir Book"/>
            <family val="2"/>
          </rPr>
          <t xml:space="preserve">
ft of 10-inch</t>
        </r>
      </text>
    </comment>
    <comment ref="D21" authorId="0" shapeId="0">
      <text>
        <r>
          <rPr>
            <b/>
            <sz val="9"/>
            <color indexed="81"/>
            <rFont val="Avenir Book"/>
            <family val="2"/>
          </rPr>
          <t>Connie L Allen:</t>
        </r>
        <r>
          <rPr>
            <sz val="9"/>
            <color indexed="81"/>
            <rFont val="Avenir Book"/>
            <family val="2"/>
          </rPr>
          <t xml:space="preserve">
ft of 12-inch</t>
        </r>
      </text>
    </comment>
    <comment ref="B22" authorId="0" shapeId="0">
      <text>
        <r>
          <rPr>
            <b/>
            <sz val="9"/>
            <color indexed="81"/>
            <rFont val="Avenir Book"/>
            <family val="2"/>
          </rPr>
          <t>Connie L Allen:</t>
        </r>
        <r>
          <rPr>
            <sz val="9"/>
            <color indexed="81"/>
            <rFont val="Avenir Book"/>
            <family val="2"/>
          </rPr>
          <t xml:space="preserve">
ft of 16-inch</t>
        </r>
      </text>
    </comment>
    <comment ref="D23" authorId="0" shapeId="0">
      <text>
        <r>
          <rPr>
            <b/>
            <sz val="9"/>
            <color indexed="81"/>
            <rFont val="Avenir Book"/>
            <family val="2"/>
          </rPr>
          <t>Connie L Allen:</t>
        </r>
        <r>
          <rPr>
            <sz val="9"/>
            <color indexed="81"/>
            <rFont val="Avenir Book"/>
            <family val="2"/>
          </rPr>
          <t xml:space="preserve">
cost of 6-inch part of pipe</t>
        </r>
      </text>
    </comment>
    <comment ref="B24" authorId="0" shapeId="0">
      <text>
        <r>
          <rPr>
            <b/>
            <sz val="9"/>
            <color indexed="81"/>
            <rFont val="Avenir Book"/>
            <family val="2"/>
          </rPr>
          <t>Connie L Allen:</t>
        </r>
        <r>
          <rPr>
            <sz val="9"/>
            <color indexed="81"/>
            <rFont val="Avenir Book"/>
            <family val="2"/>
          </rPr>
          <t xml:space="preserve">
subtract the 2-inch part of the cost</t>
        </r>
      </text>
    </comment>
    <comment ref="D24" authorId="0" shapeId="0">
      <text>
        <r>
          <rPr>
            <b/>
            <sz val="9"/>
            <color indexed="81"/>
            <rFont val="Avenir Book"/>
            <family val="2"/>
          </rPr>
          <t>Connie L Allen:</t>
        </r>
        <r>
          <rPr>
            <sz val="9"/>
            <color indexed="81"/>
            <rFont val="Avenir Book"/>
            <family val="2"/>
          </rPr>
          <t xml:space="preserve">
this is the total feet of 8-inch through 16-inch multiplied by cost of 6-inch, to get the cost of 6-inch pipe within the 8 to 16-inch lines</t>
        </r>
      </text>
    </comment>
  </commentList>
</comments>
</file>

<file path=xl/sharedStrings.xml><?xml version="1.0" encoding="utf-8"?>
<sst xmlns="http://schemas.openxmlformats.org/spreadsheetml/2006/main" count="78" uniqueCount="39">
  <si>
    <t>Cedar Creek</t>
  </si>
  <si>
    <t>Huffman</t>
  </si>
  <si>
    <t>Mossy Bottom</t>
  </si>
  <si>
    <t>Thompson Road</t>
  </si>
  <si>
    <t>Yorktown</t>
  </si>
  <si>
    <t>line diameters</t>
  </si>
  <si>
    <t>unknown</t>
  </si>
  <si>
    <t>line diameter totals</t>
  </si>
  <si>
    <t>percent of total</t>
  </si>
  <si>
    <t>Distribution Main Analysis</t>
  </si>
  <si>
    <t>Pipe Size (in)</t>
  </si>
  <si>
    <t>Linear Feet</t>
  </si>
  <si>
    <t>Installed Cost ($/LF)</t>
  </si>
  <si>
    <t>Replacement Cost ($)</t>
  </si>
  <si>
    <t>Totals</t>
  </si>
  <si>
    <t>divided by</t>
  </si>
  <si>
    <t>gives</t>
  </si>
  <si>
    <t>Customer Component</t>
  </si>
  <si>
    <t>Add cost of 2 inch through 6 inch pipe</t>
  </si>
  <si>
    <t>Add</t>
  </si>
  <si>
    <t>multiplied by</t>
  </si>
  <si>
    <t>Capacity Component</t>
  </si>
  <si>
    <t xml:space="preserve">minus </t>
  </si>
  <si>
    <t>Fire Protection Component</t>
  </si>
  <si>
    <t xml:space="preserve">Customer %  = 1,521,007  X  $10.00  = </t>
  </si>
  <si>
    <t>Equivalent for 8 inch through 24 inch</t>
  </si>
  <si>
    <t>inch-miles</t>
  </si>
  <si>
    <t>total inch-miles</t>
  </si>
  <si>
    <t>2002 PSC  inch-miles</t>
  </si>
  <si>
    <t>2002 PSC miles</t>
  </si>
  <si>
    <t>2019 PSC miles</t>
  </si>
  <si>
    <t>2019 PSC inch-miles</t>
  </si>
  <si>
    <t>totals in miles</t>
  </si>
  <si>
    <t>percent change from 2002</t>
  </si>
  <si>
    <t>from WRIS (presumably entire system)</t>
  </si>
  <si>
    <t>15000 feet (2.84 miles) of 10-inch is new for Marion's Branch</t>
  </si>
  <si>
    <t>8600 feet (1.63 miles) of 8-inch is new for Marion's Branch</t>
  </si>
  <si>
    <r>
      <t xml:space="preserve">from WRIS (presumably entire system) </t>
    </r>
    <r>
      <rPr>
        <b/>
        <sz val="9"/>
        <color rgb="FFFF0000"/>
        <rFont val="Avenir Book"/>
      </rPr>
      <t>as changed 27 July 2019</t>
    </r>
  </si>
  <si>
    <t xml:space="preserve">Customer %  = 536,515  X  $30.00 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</si>
</sst>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164" formatCode="_-* #,##0.00_-;\-* #,##0.00_-;_-* &quot;-&quot;??_-;_-@_-"/>
    <numFmt numFmtId="165" formatCode="0.0%"/>
    <numFmt numFmtId="166" formatCode="_(* #,##0_);_(* \(#,##0\);_(* &quot;-&quot;??_);_(@_)"/>
    <numFmt numFmtId="167" formatCode="_(&quot;$&quot;* #,##0_);_(&quot;$&quot;* \(#,##0\);_(&quot;$&quot;* &quot;-&quot;??_);_(@_)"/>
  </numFmts>
  <fonts count="14">
    <font>
      <sz val="12"/>
      <color theme="1"/>
      <name val="Avenir Book"/>
      <family val="2"/>
    </font>
    <font>
      <sz val="12"/>
      <color theme="1"/>
      <name val="Avenir Book"/>
      <family val="2"/>
      <charset val="129"/>
    </font>
    <font>
      <sz val="12"/>
      <color theme="1"/>
      <name val="Avenir Book"/>
      <family val="2"/>
      <charset val="129"/>
    </font>
    <font>
      <sz val="8"/>
      <name val="Avenir Book"/>
      <family val="2"/>
      <charset val="129"/>
    </font>
    <font>
      <u/>
      <sz val="12"/>
      <color theme="10"/>
      <name val="Avenir Book"/>
      <family val="2"/>
      <charset val="129"/>
    </font>
    <font>
      <u/>
      <sz val="12"/>
      <color theme="11"/>
      <name val="Avenir Book"/>
      <family val="2"/>
      <charset val="129"/>
    </font>
    <font>
      <b/>
      <sz val="10"/>
      <color theme="7" tint="-0.249977111117893"/>
      <name val="Avenir Book"/>
    </font>
    <font>
      <sz val="10"/>
      <color theme="1"/>
      <name val="Avenir Book"/>
    </font>
    <font>
      <sz val="10"/>
      <color theme="7" tint="-0.249977111117893"/>
      <name val="Avenir Book"/>
    </font>
    <font>
      <sz val="24"/>
      <color rgb="FFFF0000"/>
      <name val="Avenir Book"/>
    </font>
    <font>
      <b/>
      <sz val="9"/>
      <color theme="7" tint="-0.249977111117893"/>
      <name val="Avenir Book"/>
    </font>
    <font>
      <b/>
      <sz val="9"/>
      <color rgb="FFFF0000"/>
      <name val="Avenir Book"/>
    </font>
    <font>
      <sz val="9"/>
      <color indexed="81"/>
      <name val="Avenir Book"/>
      <family val="2"/>
    </font>
    <font>
      <b/>
      <sz val="9"/>
      <color indexed="81"/>
      <name val="Avenir Book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7" tint="-0.249977111117893"/>
      </left>
      <right style="thin">
        <color theme="7" tint="-0.249977111117893"/>
      </right>
      <top style="medium">
        <color theme="7" tint="-0.249977111117893"/>
      </top>
      <bottom style="thin">
        <color theme="7" tint="-0.249977111117893"/>
      </bottom>
      <diagonal/>
    </border>
    <border>
      <left style="thin">
        <color theme="7" tint="-0.249977111117893"/>
      </left>
      <right style="thin">
        <color theme="7" tint="-0.249977111117893"/>
      </right>
      <top style="medium">
        <color theme="7" tint="-0.249977111117893"/>
      </top>
      <bottom style="thin">
        <color theme="7" tint="-0.249977111117893"/>
      </bottom>
      <diagonal/>
    </border>
    <border>
      <left style="thin">
        <color theme="7" tint="-0.249977111117893"/>
      </left>
      <right style="medium">
        <color theme="7" tint="-0.249977111117893"/>
      </right>
      <top style="medium">
        <color theme="7" tint="-0.249977111117893"/>
      </top>
      <bottom style="thin">
        <color theme="7" tint="-0.249977111117893"/>
      </bottom>
      <diagonal/>
    </border>
    <border>
      <left style="medium">
        <color theme="7" tint="-0.249977111117893"/>
      </left>
      <right style="thin">
        <color theme="7" tint="-0.249977111117893"/>
      </right>
      <top style="thin">
        <color theme="7" tint="-0.249977111117893"/>
      </top>
      <bottom style="thin">
        <color theme="7" tint="-0.249977111117893"/>
      </bottom>
      <diagonal/>
    </border>
    <border>
      <left style="thin">
        <color theme="7" tint="-0.249977111117893"/>
      </left>
      <right style="thin">
        <color theme="7" tint="-0.249977111117893"/>
      </right>
      <top style="thin">
        <color theme="7" tint="-0.249977111117893"/>
      </top>
      <bottom style="thin">
        <color theme="7" tint="-0.249977111117893"/>
      </bottom>
      <diagonal/>
    </border>
    <border>
      <left style="thin">
        <color theme="7" tint="-0.249977111117893"/>
      </left>
      <right style="medium">
        <color theme="7" tint="-0.249977111117893"/>
      </right>
      <top style="thin">
        <color theme="7" tint="-0.249977111117893"/>
      </top>
      <bottom style="thin">
        <color theme="7" tint="-0.249977111117893"/>
      </bottom>
      <diagonal/>
    </border>
    <border>
      <left style="thin">
        <color theme="7" tint="-0.249977111117893"/>
      </left>
      <right style="thin">
        <color theme="7" tint="-0.249977111117893"/>
      </right>
      <top style="thin">
        <color theme="7" tint="-0.249977111117893"/>
      </top>
      <bottom style="medium">
        <color theme="7" tint="-0.249977111117893"/>
      </bottom>
      <diagonal/>
    </border>
    <border>
      <left style="thin">
        <color theme="7" tint="-0.249977111117893"/>
      </left>
      <right style="medium">
        <color theme="7" tint="-0.249977111117893"/>
      </right>
      <top style="thin">
        <color theme="7" tint="-0.249977111117893"/>
      </top>
      <bottom style="medium">
        <color theme="7" tint="-0.249977111117893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theme="7" tint="-0.249977111117893"/>
      </left>
      <right style="thin">
        <color theme="7" tint="-0.249977111117893"/>
      </right>
      <top style="thin">
        <color theme="7" tint="-0.249977111117893"/>
      </top>
      <bottom style="medium">
        <color theme="7" tint="-0.249977111117893"/>
      </bottom>
      <diagonal/>
    </border>
    <border>
      <left/>
      <right style="medium">
        <color theme="7" tint="-0.249977111117893"/>
      </right>
      <top style="medium">
        <color theme="7" tint="-0.249977111117893"/>
      </top>
      <bottom style="thin">
        <color theme="7" tint="-0.249977111117893"/>
      </bottom>
      <diagonal/>
    </border>
    <border>
      <left style="thin">
        <color theme="7" tint="-0.249977111117893"/>
      </left>
      <right style="thin">
        <color theme="7" tint="-0.249977111117893"/>
      </right>
      <top/>
      <bottom style="thin">
        <color theme="7" tint="-0.249977111117893"/>
      </bottom>
      <diagonal/>
    </border>
    <border>
      <left style="medium">
        <color theme="7" tint="-0.249977111117893"/>
      </left>
      <right/>
      <top style="medium">
        <color theme="7" tint="-0.249977111117893"/>
      </top>
      <bottom style="thin">
        <color theme="7" tint="-0.249977111117893"/>
      </bottom>
      <diagonal/>
    </border>
    <border>
      <left/>
      <right/>
      <top style="medium">
        <color theme="7" tint="-0.249977111117893"/>
      </top>
      <bottom style="thin">
        <color theme="7" tint="-0.249977111117893"/>
      </bottom>
      <diagonal/>
    </border>
  </borders>
  <cellStyleXfs count="43">
    <xf numFmtId="0" fontId="0" fillId="0" borderId="0"/>
    <xf numFmtId="16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13">
    <xf numFmtId="0" fontId="0" fillId="0" borderId="0" xfId="0"/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7" xfId="0" applyFont="1" applyBorder="1" applyAlignment="1">
      <alignment horizontal="center"/>
    </xf>
    <xf numFmtId="0" fontId="7" fillId="0" borderId="8" xfId="0" applyFont="1" applyBorder="1" applyAlignment="1"/>
    <xf numFmtId="0" fontId="7" fillId="0" borderId="8" xfId="0" applyFont="1" applyBorder="1" applyAlignment="1">
      <alignment horizontal="center"/>
    </xf>
    <xf numFmtId="0" fontId="7" fillId="0" borderId="8" xfId="0" applyFont="1" applyBorder="1"/>
    <xf numFmtId="0" fontId="7" fillId="0" borderId="10" xfId="0" applyFont="1" applyBorder="1"/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7" fillId="3" borderId="8" xfId="0" applyFont="1" applyFill="1" applyBorder="1" applyAlignment="1">
      <alignment horizontal="center"/>
    </xf>
    <xf numFmtId="0" fontId="7" fillId="3" borderId="8" xfId="0" applyFont="1" applyFill="1" applyBorder="1"/>
    <xf numFmtId="0" fontId="7" fillId="3" borderId="10" xfId="0" applyFont="1" applyFill="1" applyBorder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166" fontId="7" fillId="0" borderId="13" xfId="1" applyNumberFormat="1" applyFont="1" applyBorder="1"/>
    <xf numFmtId="2" fontId="7" fillId="0" borderId="13" xfId="0" applyNumberFormat="1" applyFont="1" applyBorder="1" applyAlignment="1">
      <alignment horizontal="center"/>
    </xf>
    <xf numFmtId="167" fontId="7" fillId="0" borderId="14" xfId="0" applyNumberFormat="1" applyFont="1" applyBorder="1"/>
    <xf numFmtId="0" fontId="7" fillId="0" borderId="15" xfId="0" applyFont="1" applyBorder="1" applyAlignment="1">
      <alignment horizontal="center"/>
    </xf>
    <xf numFmtId="166" fontId="7" fillId="0" borderId="0" xfId="1" applyNumberFormat="1" applyFont="1" applyBorder="1"/>
    <xf numFmtId="2" fontId="7" fillId="0" borderId="0" xfId="0" applyNumberFormat="1" applyFont="1" applyBorder="1" applyAlignment="1">
      <alignment horizontal="center"/>
    </xf>
    <xf numFmtId="167" fontId="7" fillId="0" borderId="16" xfId="0" applyNumberFormat="1" applyFont="1" applyBorder="1"/>
    <xf numFmtId="167" fontId="7" fillId="0" borderId="19" xfId="0" applyNumberFormat="1" applyFont="1" applyBorder="1"/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166" fontId="7" fillId="0" borderId="18" xfId="0" applyNumberFormat="1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167" fontId="7" fillId="0" borderId="19" xfId="0" applyNumberFormat="1" applyFont="1" applyBorder="1" applyAlignment="1">
      <alignment vertical="center"/>
    </xf>
    <xf numFmtId="0" fontId="7" fillId="2" borderId="0" xfId="0" applyFont="1" applyFill="1"/>
    <xf numFmtId="0" fontId="7" fillId="0" borderId="12" xfId="0" applyFont="1" applyBorder="1"/>
    <xf numFmtId="0" fontId="7" fillId="0" borderId="13" xfId="0" applyFont="1" applyBorder="1"/>
    <xf numFmtId="42" fontId="7" fillId="0" borderId="13" xfId="0" applyNumberFormat="1" applyFont="1" applyBorder="1"/>
    <xf numFmtId="0" fontId="7" fillId="0" borderId="14" xfId="0" applyFont="1" applyBorder="1"/>
    <xf numFmtId="167" fontId="7" fillId="0" borderId="0" xfId="0" applyNumberFormat="1" applyFont="1" applyBorder="1"/>
    <xf numFmtId="0" fontId="7" fillId="0" borderId="0" xfId="0" applyFont="1" applyBorder="1" applyAlignment="1">
      <alignment horizontal="center"/>
    </xf>
    <xf numFmtId="9" fontId="7" fillId="2" borderId="16" xfId="8" applyFont="1" applyFill="1" applyBorder="1"/>
    <xf numFmtId="0" fontId="7" fillId="0" borderId="15" xfId="0" applyFont="1" applyBorder="1"/>
    <xf numFmtId="0" fontId="7" fillId="0" borderId="0" xfId="0" applyFont="1" applyBorder="1"/>
    <xf numFmtId="0" fontId="7" fillId="2" borderId="15" xfId="0" applyFont="1" applyFill="1" applyBorder="1"/>
    <xf numFmtId="0" fontId="7" fillId="2" borderId="0" xfId="0" applyFont="1" applyFill="1" applyBorder="1"/>
    <xf numFmtId="0" fontId="7" fillId="2" borderId="16" xfId="0" applyFont="1" applyFill="1" applyBorder="1"/>
    <xf numFmtId="0" fontId="7" fillId="0" borderId="16" xfId="0" applyFont="1" applyBorder="1"/>
    <xf numFmtId="0" fontId="7" fillId="0" borderId="15" xfId="0" applyFont="1" applyBorder="1" applyAlignment="1">
      <alignment horizontal="right"/>
    </xf>
    <xf numFmtId="166" fontId="7" fillId="0" borderId="16" xfId="1" applyNumberFormat="1" applyFont="1" applyBorder="1"/>
    <xf numFmtId="0" fontId="7" fillId="0" borderId="0" xfId="0" applyFont="1" applyBorder="1" applyAlignment="1">
      <alignment horizontal="right"/>
    </xf>
    <xf numFmtId="42" fontId="7" fillId="0" borderId="0" xfId="0" applyNumberFormat="1" applyFont="1" applyBorder="1"/>
    <xf numFmtId="167" fontId="7" fillId="0" borderId="0" xfId="0" applyNumberFormat="1" applyFont="1" applyBorder="1" applyAlignment="1">
      <alignment horizontal="right"/>
    </xf>
    <xf numFmtId="42" fontId="7" fillId="0" borderId="16" xfId="8" applyNumberFormat="1" applyFont="1" applyBorder="1"/>
    <xf numFmtId="167" fontId="7" fillId="0" borderId="16" xfId="0" applyNumberFormat="1" applyFont="1" applyBorder="1" applyAlignment="1">
      <alignment horizontal="right"/>
    </xf>
    <xf numFmtId="9" fontId="7" fillId="0" borderId="15" xfId="0" applyNumberFormat="1" applyFont="1" applyBorder="1"/>
    <xf numFmtId="9" fontId="7" fillId="0" borderId="0" xfId="0" applyNumberFormat="1" applyFont="1" applyBorder="1"/>
    <xf numFmtId="9" fontId="7" fillId="0" borderId="16" xfId="0" applyNumberFormat="1" applyFont="1" applyBorder="1"/>
    <xf numFmtId="9" fontId="7" fillId="2" borderId="16" xfId="0" applyNumberFormat="1" applyFont="1" applyFill="1" applyBorder="1"/>
    <xf numFmtId="0" fontId="7" fillId="0" borderId="17" xfId="0" applyFont="1" applyBorder="1"/>
    <xf numFmtId="0" fontId="7" fillId="0" borderId="18" xfId="0" applyFont="1" applyBorder="1"/>
    <xf numFmtId="2" fontId="7" fillId="0" borderId="0" xfId="0" applyNumberFormat="1" applyFont="1"/>
    <xf numFmtId="2" fontId="6" fillId="2" borderId="6" xfId="0" applyNumberFormat="1" applyFont="1" applyFill="1" applyBorder="1" applyAlignment="1">
      <alignment horizontal="center" wrapText="1"/>
    </xf>
    <xf numFmtId="165" fontId="7" fillId="0" borderId="8" xfId="8" applyNumberFormat="1" applyFont="1" applyBorder="1" applyAlignment="1">
      <alignment horizontal="center"/>
    </xf>
    <xf numFmtId="2" fontId="7" fillId="0" borderId="9" xfId="0" applyNumberFormat="1" applyFont="1" applyBorder="1" applyAlignment="1"/>
    <xf numFmtId="2" fontId="7" fillId="0" borderId="9" xfId="0" applyNumberFormat="1" applyFont="1" applyBorder="1"/>
    <xf numFmtId="9" fontId="7" fillId="0" borderId="10" xfId="0" applyNumberFormat="1" applyFont="1" applyBorder="1" applyAlignment="1">
      <alignment horizontal="center"/>
    </xf>
    <xf numFmtId="2" fontId="7" fillId="0" borderId="11" xfId="0" applyNumberFormat="1" applyFont="1" applyBorder="1"/>
    <xf numFmtId="0" fontId="6" fillId="2" borderId="21" xfId="0" applyFont="1" applyFill="1" applyBorder="1" applyAlignment="1">
      <alignment horizontal="center" wrapText="1"/>
    </xf>
    <xf numFmtId="0" fontId="7" fillId="0" borderId="9" xfId="0" applyFont="1" applyBorder="1"/>
    <xf numFmtId="165" fontId="7" fillId="0" borderId="9" xfId="8" applyNumberFormat="1" applyFont="1" applyBorder="1"/>
    <xf numFmtId="165" fontId="7" fillId="0" borderId="11" xfId="8" applyNumberFormat="1" applyFont="1" applyBorder="1"/>
    <xf numFmtId="0" fontId="6" fillId="2" borderId="22" xfId="0" applyFont="1" applyFill="1" applyBorder="1" applyAlignment="1">
      <alignment horizontal="center" wrapText="1"/>
    </xf>
    <xf numFmtId="2" fontId="7" fillId="0" borderId="8" xfId="0" applyNumberFormat="1" applyFont="1" applyBorder="1" applyAlignment="1"/>
    <xf numFmtId="9" fontId="7" fillId="2" borderId="16" xfId="8" applyNumberFormat="1" applyFont="1" applyFill="1" applyBorder="1"/>
    <xf numFmtId="0" fontId="9" fillId="0" borderId="0" xfId="0" applyFont="1" applyAlignment="1">
      <alignment horizontal="center" vertical="center" textRotation="45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9" fontId="7" fillId="4" borderId="16" xfId="8" applyFont="1" applyFill="1" applyBorder="1"/>
    <xf numFmtId="0" fontId="7" fillId="4" borderId="15" xfId="0" applyFont="1" applyFill="1" applyBorder="1"/>
    <xf numFmtId="0" fontId="7" fillId="4" borderId="0" xfId="0" applyFont="1" applyFill="1" applyBorder="1"/>
    <xf numFmtId="0" fontId="7" fillId="4" borderId="16" xfId="0" applyFont="1" applyFill="1" applyBorder="1"/>
    <xf numFmtId="9" fontId="7" fillId="4" borderId="16" xfId="8" applyNumberFormat="1" applyFont="1" applyFill="1" applyBorder="1"/>
    <xf numFmtId="9" fontId="7" fillId="4" borderId="16" xfId="0" applyNumberFormat="1" applyFont="1" applyFill="1" applyBorder="1"/>
    <xf numFmtId="0" fontId="6" fillId="4" borderId="22" xfId="0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 wrapText="1"/>
    </xf>
    <xf numFmtId="2" fontId="6" fillId="4" borderId="6" xfId="0" applyNumberFormat="1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0" fontId="7" fillId="4" borderId="8" xfId="0" applyFont="1" applyFill="1" applyBorder="1" applyAlignment="1">
      <alignment horizontal="center"/>
    </xf>
    <xf numFmtId="0" fontId="7" fillId="4" borderId="8" xfId="0" applyFont="1" applyFill="1" applyBorder="1"/>
    <xf numFmtId="0" fontId="7" fillId="4" borderId="10" xfId="0" applyFont="1" applyFill="1" applyBorder="1"/>
    <xf numFmtId="0" fontId="7" fillId="0" borderId="2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/>
    </xf>
    <xf numFmtId="0" fontId="7" fillId="2" borderId="16" xfId="0" applyFont="1" applyFill="1" applyBorder="1" applyAlignment="1">
      <alignment horizontal="right"/>
    </xf>
    <xf numFmtId="0" fontId="7" fillId="2" borderId="18" xfId="0" applyFont="1" applyFill="1" applyBorder="1" applyAlignment="1">
      <alignment horizontal="right"/>
    </xf>
    <xf numFmtId="0" fontId="7" fillId="2" borderId="19" xfId="0" applyFont="1" applyFill="1" applyBorder="1" applyAlignment="1">
      <alignment horizontal="right"/>
    </xf>
    <xf numFmtId="0" fontId="10" fillId="4" borderId="23" xfId="0" applyFont="1" applyFill="1" applyBorder="1" applyAlignment="1">
      <alignment horizontal="center"/>
    </xf>
    <xf numFmtId="0" fontId="10" fillId="4" borderId="24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right"/>
    </xf>
    <xf numFmtId="0" fontId="7" fillId="4" borderId="16" xfId="0" applyFont="1" applyFill="1" applyBorder="1" applyAlignment="1">
      <alignment horizontal="right"/>
    </xf>
    <xf numFmtId="0" fontId="7" fillId="4" borderId="18" xfId="0" applyFont="1" applyFill="1" applyBorder="1" applyAlignment="1">
      <alignment horizontal="right"/>
    </xf>
    <xf numFmtId="0" fontId="7" fillId="4" borderId="19" xfId="0" applyFont="1" applyFill="1" applyBorder="1" applyAlignment="1">
      <alignment horizontal="right"/>
    </xf>
  </cellXfs>
  <cellStyles count="43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Hyperlink" xfId="2" builtinId="8" hidden="1"/>
    <cellStyle name="Hyperlink" xfId="4" builtinId="8" hidden="1"/>
    <cellStyle name="Hyperlink" xfId="6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Normal" xfId="0" builtinId="0"/>
    <cellStyle name="Percent" xfId="8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O25"/>
  <sheetViews>
    <sheetView tabSelected="1" workbookViewId="0">
      <selection activeCell="M8" sqref="M8"/>
    </sheetView>
  </sheetViews>
  <sheetFormatPr defaultColWidth="10.7265625" defaultRowHeight="13.2"/>
  <cols>
    <col min="1" max="1" width="8.1796875" style="2" customWidth="1"/>
    <col min="2" max="6" width="8" style="3" customWidth="1"/>
    <col min="7" max="7" width="0.7265625" style="3" customWidth="1"/>
    <col min="8" max="9" width="7.26953125" style="3" customWidth="1"/>
    <col min="10" max="10" width="8.1796875" style="3" customWidth="1"/>
    <col min="11" max="11" width="6.26953125" style="3" customWidth="1"/>
    <col min="12" max="12" width="7.54296875" style="60" customWidth="1"/>
    <col min="13" max="16384" width="10.7265625" style="3"/>
  </cols>
  <sheetData>
    <row r="1" spans="1:15" ht="13.8" thickBot="1">
      <c r="B1" s="93" t="s">
        <v>34</v>
      </c>
      <c r="C1" s="94"/>
      <c r="D1" s="94"/>
      <c r="E1" s="94"/>
      <c r="F1" s="95"/>
    </row>
    <row r="2" spans="1:15" s="1" customFormat="1" ht="46.05" customHeight="1">
      <c r="A2" s="9" t="s">
        <v>5</v>
      </c>
      <c r="B2" s="71" t="s">
        <v>0</v>
      </c>
      <c r="C2" s="71" t="s">
        <v>1</v>
      </c>
      <c r="D2" s="71" t="s">
        <v>2</v>
      </c>
      <c r="E2" s="71" t="s">
        <v>3</v>
      </c>
      <c r="F2" s="71" t="s">
        <v>4</v>
      </c>
      <c r="G2" s="11"/>
      <c r="H2" s="10" t="s">
        <v>7</v>
      </c>
      <c r="I2" s="10" t="s">
        <v>32</v>
      </c>
      <c r="J2" s="10" t="s">
        <v>5</v>
      </c>
      <c r="K2" s="10" t="s">
        <v>8</v>
      </c>
      <c r="L2" s="61" t="s">
        <v>26</v>
      </c>
    </row>
    <row r="3" spans="1:15" s="2" customFormat="1">
      <c r="A3" s="4" t="s">
        <v>6</v>
      </c>
      <c r="B3" s="5">
        <v>0</v>
      </c>
      <c r="C3" s="5">
        <v>5226</v>
      </c>
      <c r="D3" s="5">
        <v>0</v>
      </c>
      <c r="E3" s="5">
        <v>286</v>
      </c>
      <c r="F3" s="5">
        <v>0</v>
      </c>
      <c r="G3" s="12"/>
      <c r="H3" s="5">
        <f>SUM(B3:F3)</f>
        <v>5512</v>
      </c>
      <c r="I3" s="72">
        <f>H3/5280</f>
        <v>1.0439393939393939</v>
      </c>
      <c r="J3" s="6" t="s">
        <v>6</v>
      </c>
      <c r="K3" s="62">
        <f>H3/$H$13</f>
        <v>1.0273710893451254E-2</v>
      </c>
      <c r="L3" s="63">
        <f>(H3/5280)*A4</f>
        <v>2.0878787878787879</v>
      </c>
    </row>
    <row r="4" spans="1:15">
      <c r="A4" s="4">
        <v>2</v>
      </c>
      <c r="B4" s="7">
        <f>1399*3</f>
        <v>4197</v>
      </c>
      <c r="C4" s="7">
        <v>0</v>
      </c>
      <c r="D4" s="7">
        <f>610+291+(9629*3)</f>
        <v>29788</v>
      </c>
      <c r="E4" s="7">
        <f>1006*3</f>
        <v>3018</v>
      </c>
      <c r="F4" s="7">
        <f>1752*3</f>
        <v>5256</v>
      </c>
      <c r="G4" s="13"/>
      <c r="H4" s="5">
        <f t="shared" ref="H4:H12" si="0">SUM(B4:F4)</f>
        <v>42259</v>
      </c>
      <c r="I4" s="72">
        <f t="shared" ref="I4:I12" si="1">H4/5280</f>
        <v>8.0035984848484851</v>
      </c>
      <c r="J4" s="6">
        <v>2</v>
      </c>
      <c r="K4" s="62">
        <f t="shared" ref="K4:K12" si="2">H4/$H$13</f>
        <v>7.8765738143388345E-2</v>
      </c>
      <c r="L4" s="64">
        <f>(H4/5280)*A4</f>
        <v>16.00719696969697</v>
      </c>
    </row>
    <row r="5" spans="1:15">
      <c r="A5" s="4">
        <v>3</v>
      </c>
      <c r="B5" s="7">
        <v>176</v>
      </c>
      <c r="C5" s="7">
        <v>0</v>
      </c>
      <c r="D5" s="7">
        <f>2492+2181</f>
        <v>4673</v>
      </c>
      <c r="E5" s="7">
        <v>542</v>
      </c>
      <c r="F5" s="7">
        <v>0</v>
      </c>
      <c r="G5" s="13"/>
      <c r="H5" s="5">
        <f t="shared" si="0"/>
        <v>5391</v>
      </c>
      <c r="I5" s="72">
        <f t="shared" si="1"/>
        <v>1.0210227272727272</v>
      </c>
      <c r="J5" s="6">
        <v>3</v>
      </c>
      <c r="K5" s="62">
        <f t="shared" si="2"/>
        <v>1.004818131832288E-2</v>
      </c>
      <c r="L5" s="64">
        <f t="shared" ref="L5:L12" si="3">(H5/5280)*A5</f>
        <v>3.0630681818181817</v>
      </c>
    </row>
    <row r="6" spans="1:15">
      <c r="A6" s="4">
        <v>4</v>
      </c>
      <c r="B6" s="7">
        <v>0</v>
      </c>
      <c r="C6" s="7">
        <v>1479</v>
      </c>
      <c r="D6" s="7">
        <f>2451+1628</f>
        <v>4079</v>
      </c>
      <c r="E6" s="7">
        <v>1173</v>
      </c>
      <c r="F6" s="7">
        <v>0</v>
      </c>
      <c r="G6" s="13"/>
      <c r="H6" s="5">
        <f t="shared" si="0"/>
        <v>6731</v>
      </c>
      <c r="I6" s="72">
        <f t="shared" si="1"/>
        <v>1.2748106060606061</v>
      </c>
      <c r="J6" s="6">
        <v>4</v>
      </c>
      <c r="K6" s="62">
        <f t="shared" si="2"/>
        <v>1.2545781571810667E-2</v>
      </c>
      <c r="L6" s="64">
        <f t="shared" si="3"/>
        <v>5.0992424242424246</v>
      </c>
    </row>
    <row r="7" spans="1:15">
      <c r="A7" s="4">
        <v>6</v>
      </c>
      <c r="B7" s="7">
        <f>1996+21526</f>
        <v>23522</v>
      </c>
      <c r="C7" s="7">
        <f>3154+38380</f>
        <v>41534</v>
      </c>
      <c r="D7" s="7">
        <f>5847+25336+2179+3432+47516</f>
        <v>84310</v>
      </c>
      <c r="E7" s="7">
        <v>18351</v>
      </c>
      <c r="F7" s="7">
        <v>31159</v>
      </c>
      <c r="G7" s="13"/>
      <c r="H7" s="5">
        <f t="shared" si="0"/>
        <v>198876</v>
      </c>
      <c r="I7" s="72">
        <f t="shared" si="1"/>
        <v>37.665909090909089</v>
      </c>
      <c r="J7" s="6">
        <v>6</v>
      </c>
      <c r="K7" s="62">
        <f t="shared" si="2"/>
        <v>0.3706811552333113</v>
      </c>
      <c r="L7" s="64">
        <f t="shared" si="3"/>
        <v>225.99545454545455</v>
      </c>
    </row>
    <row r="8" spans="1:15">
      <c r="A8" s="4">
        <v>8</v>
      </c>
      <c r="B8" s="7">
        <f>1099+15133</f>
        <v>16232</v>
      </c>
      <c r="C8" s="7">
        <f>353+94258</f>
        <v>94611</v>
      </c>
      <c r="D8" s="7">
        <f>432+8477</f>
        <v>8909</v>
      </c>
      <c r="E8" s="7">
        <v>12745</v>
      </c>
      <c r="F8" s="7">
        <v>6418</v>
      </c>
      <c r="G8" s="13"/>
      <c r="H8" s="5">
        <f t="shared" si="0"/>
        <v>138915</v>
      </c>
      <c r="I8" s="72">
        <f t="shared" si="1"/>
        <v>26.30965909090909</v>
      </c>
      <c r="J8" s="6">
        <v>8</v>
      </c>
      <c r="K8" s="62">
        <f t="shared" si="2"/>
        <v>0.25892099941287755</v>
      </c>
      <c r="L8" s="64">
        <f t="shared" si="3"/>
        <v>210.47727272727272</v>
      </c>
      <c r="M8" s="3">
        <f>L8-((8600/5280)*J8)</f>
        <v>197.44696969696969</v>
      </c>
      <c r="N8" s="3" t="s">
        <v>36</v>
      </c>
    </row>
    <row r="9" spans="1:15">
      <c r="A9" s="4">
        <v>9</v>
      </c>
      <c r="B9" s="7">
        <v>0</v>
      </c>
      <c r="C9" s="7">
        <v>208</v>
      </c>
      <c r="D9" s="7">
        <v>0</v>
      </c>
      <c r="E9" s="7">
        <v>0</v>
      </c>
      <c r="F9" s="7">
        <v>0</v>
      </c>
      <c r="G9" s="13"/>
      <c r="H9" s="5">
        <f t="shared" si="0"/>
        <v>208</v>
      </c>
      <c r="I9" s="72">
        <f t="shared" si="1"/>
        <v>3.9393939393939391E-2</v>
      </c>
      <c r="J9" s="6">
        <v>9</v>
      </c>
      <c r="K9" s="62">
        <f t="shared" si="2"/>
        <v>3.8768720352646245E-4</v>
      </c>
      <c r="L9" s="64">
        <f t="shared" si="3"/>
        <v>0.3545454545454545</v>
      </c>
    </row>
    <row r="10" spans="1:15">
      <c r="A10" s="4">
        <v>10</v>
      </c>
      <c r="B10" s="7">
        <f>5205+5438</f>
        <v>10643</v>
      </c>
      <c r="C10" s="7">
        <f>1242+19380</f>
        <v>20622</v>
      </c>
      <c r="D10" s="7">
        <v>2744</v>
      </c>
      <c r="E10" s="7">
        <v>320</v>
      </c>
      <c r="F10" s="7">
        <f>1925+10959</f>
        <v>12884</v>
      </c>
      <c r="G10" s="13"/>
      <c r="H10" s="5">
        <f t="shared" si="0"/>
        <v>47213</v>
      </c>
      <c r="I10" s="72">
        <f t="shared" si="1"/>
        <v>8.9418560606060602</v>
      </c>
      <c r="J10" s="6">
        <v>10</v>
      </c>
      <c r="K10" s="62">
        <f t="shared" si="2"/>
        <v>8.799940355814842E-2</v>
      </c>
      <c r="L10" s="64">
        <f t="shared" si="3"/>
        <v>89.418560606060595</v>
      </c>
      <c r="M10" s="3">
        <f>L10-((15000/5280)*J10)</f>
        <v>61.009469696969688</v>
      </c>
      <c r="N10" s="3" t="s">
        <v>35</v>
      </c>
    </row>
    <row r="11" spans="1:15">
      <c r="A11" s="4">
        <v>12</v>
      </c>
      <c r="B11" s="7">
        <v>174</v>
      </c>
      <c r="C11" s="7">
        <v>25622</v>
      </c>
      <c r="D11" s="7">
        <f>10559+13610</f>
        <v>24169</v>
      </c>
      <c r="E11" s="7">
        <v>7796</v>
      </c>
      <c r="F11" s="7">
        <f>7185+13425</f>
        <v>20610</v>
      </c>
      <c r="G11" s="13"/>
      <c r="H11" s="5">
        <f t="shared" si="0"/>
        <v>78371</v>
      </c>
      <c r="I11" s="72">
        <f t="shared" si="1"/>
        <v>14.842992424242425</v>
      </c>
      <c r="J11" s="6">
        <v>12</v>
      </c>
      <c r="K11" s="62">
        <f t="shared" si="2"/>
        <v>0.14607420109409802</v>
      </c>
      <c r="L11" s="64">
        <f t="shared" si="3"/>
        <v>178.1159090909091</v>
      </c>
    </row>
    <row r="12" spans="1:15">
      <c r="A12" s="4">
        <v>16</v>
      </c>
      <c r="B12" s="7">
        <v>1269</v>
      </c>
      <c r="C12" s="7">
        <v>8055</v>
      </c>
      <c r="D12" s="7">
        <v>0</v>
      </c>
      <c r="E12" s="7">
        <v>0</v>
      </c>
      <c r="F12" s="7">
        <v>3715</v>
      </c>
      <c r="G12" s="13"/>
      <c r="H12" s="5">
        <f t="shared" si="0"/>
        <v>13039</v>
      </c>
      <c r="I12" s="72">
        <f t="shared" si="1"/>
        <v>2.469507575757576</v>
      </c>
      <c r="J12" s="6">
        <v>16</v>
      </c>
      <c r="K12" s="62">
        <f t="shared" si="2"/>
        <v>2.4303141571065116E-2</v>
      </c>
      <c r="L12" s="64">
        <f t="shared" si="3"/>
        <v>39.512121212121215</v>
      </c>
    </row>
    <row r="13" spans="1:15" ht="18" customHeight="1" thickBot="1">
      <c r="A13" s="91"/>
      <c r="B13" s="92"/>
      <c r="C13" s="92"/>
      <c r="D13" s="92"/>
      <c r="E13" s="92"/>
      <c r="F13" s="92"/>
      <c r="G13" s="14"/>
      <c r="H13" s="8">
        <f>SUM(H3:H12)</f>
        <v>536515</v>
      </c>
      <c r="I13" s="8"/>
      <c r="J13" s="8"/>
      <c r="K13" s="65">
        <f>SUM(K3:K12)</f>
        <v>1</v>
      </c>
      <c r="L13" s="66">
        <f>SUM(L3:L12)</f>
        <v>770.13125000000002</v>
      </c>
    </row>
    <row r="14" spans="1:15" ht="9" customHeight="1" thickBot="1"/>
    <row r="15" spans="1:15" ht="39.6">
      <c r="A15" s="9" t="s">
        <v>5</v>
      </c>
      <c r="B15" s="10" t="s">
        <v>30</v>
      </c>
      <c r="C15" s="10" t="s">
        <v>31</v>
      </c>
      <c r="D15" s="10" t="s">
        <v>29</v>
      </c>
      <c r="E15" s="10" t="s">
        <v>28</v>
      </c>
      <c r="F15" s="67" t="s">
        <v>33</v>
      </c>
      <c r="H15" s="74"/>
      <c r="I15" s="74"/>
      <c r="J15" s="74"/>
      <c r="K15" s="74"/>
      <c r="L15" s="74"/>
      <c r="O15" s="60"/>
    </row>
    <row r="16" spans="1:15">
      <c r="A16" s="4" t="s">
        <v>6</v>
      </c>
      <c r="B16" s="7"/>
      <c r="C16" s="7"/>
      <c r="D16" s="7"/>
      <c r="E16" s="7"/>
      <c r="F16" s="68"/>
      <c r="H16" s="74"/>
      <c r="I16" s="74"/>
      <c r="J16" s="74"/>
      <c r="K16" s="74"/>
      <c r="L16" s="74"/>
      <c r="O16" s="60"/>
    </row>
    <row r="17" spans="1:12">
      <c r="A17" s="4">
        <v>2</v>
      </c>
      <c r="B17" s="7">
        <v>1.7</v>
      </c>
      <c r="C17" s="7">
        <f>B17*A17</f>
        <v>3.4</v>
      </c>
      <c r="D17" s="7">
        <v>2.73</v>
      </c>
      <c r="E17" s="7">
        <f>D17*A17</f>
        <v>5.46</v>
      </c>
      <c r="F17" s="69">
        <f>(C17-E17)/E17</f>
        <v>-0.37728937728937728</v>
      </c>
      <c r="H17" s="74"/>
      <c r="I17" s="74"/>
      <c r="J17" s="74"/>
      <c r="K17" s="74"/>
      <c r="L17" s="74"/>
    </row>
    <row r="18" spans="1:12">
      <c r="A18" s="4">
        <v>3</v>
      </c>
      <c r="B18" s="7"/>
      <c r="C18" s="7">
        <f t="shared" ref="C18:C24" si="4">B18*A18</f>
        <v>0</v>
      </c>
      <c r="D18" s="7">
        <v>2.42</v>
      </c>
      <c r="E18" s="7">
        <f t="shared" ref="E18:E24" si="5">D18*A18</f>
        <v>7.26</v>
      </c>
      <c r="F18" s="69">
        <f t="shared" ref="F18:F25" si="6">(C18-E18)/E18</f>
        <v>-1</v>
      </c>
      <c r="H18" s="74"/>
      <c r="I18" s="74"/>
      <c r="J18" s="74"/>
      <c r="K18" s="74"/>
      <c r="L18" s="74"/>
    </row>
    <row r="19" spans="1:12">
      <c r="A19" s="4">
        <v>4</v>
      </c>
      <c r="B19" s="7">
        <v>2.4</v>
      </c>
      <c r="C19" s="7">
        <f t="shared" si="4"/>
        <v>9.6</v>
      </c>
      <c r="D19" s="7">
        <v>3.18</v>
      </c>
      <c r="E19" s="7">
        <f t="shared" si="5"/>
        <v>12.72</v>
      </c>
      <c r="F19" s="69">
        <f t="shared" si="6"/>
        <v>-0.24528301886792458</v>
      </c>
      <c r="H19" s="74"/>
      <c r="I19" s="74"/>
      <c r="J19" s="74"/>
      <c r="K19" s="74"/>
      <c r="L19" s="74"/>
    </row>
    <row r="20" spans="1:12">
      <c r="A20" s="4">
        <v>6</v>
      </c>
      <c r="B20" s="7">
        <v>19.399999999999999</v>
      </c>
      <c r="C20" s="7">
        <f t="shared" si="4"/>
        <v>116.39999999999999</v>
      </c>
      <c r="D20" s="7">
        <v>23.03</v>
      </c>
      <c r="E20" s="7">
        <f t="shared" si="5"/>
        <v>138.18</v>
      </c>
      <c r="F20" s="69">
        <f t="shared" si="6"/>
        <v>-0.15762049500651334</v>
      </c>
      <c r="H20" s="74"/>
      <c r="I20" s="74"/>
      <c r="J20" s="74"/>
      <c r="K20" s="74"/>
      <c r="L20" s="74"/>
    </row>
    <row r="21" spans="1:12">
      <c r="A21" s="4">
        <v>8</v>
      </c>
      <c r="B21" s="7">
        <v>16.8</v>
      </c>
      <c r="C21" s="7">
        <f t="shared" si="4"/>
        <v>134.4</v>
      </c>
      <c r="D21" s="7">
        <v>24.02</v>
      </c>
      <c r="E21" s="7">
        <f t="shared" si="5"/>
        <v>192.16</v>
      </c>
      <c r="F21" s="69">
        <f t="shared" si="6"/>
        <v>-0.30058284762697746</v>
      </c>
      <c r="H21" s="74"/>
      <c r="I21" s="74"/>
      <c r="J21" s="74"/>
      <c r="K21" s="74"/>
      <c r="L21" s="74"/>
    </row>
    <row r="22" spans="1:12">
      <c r="A22" s="4">
        <v>10</v>
      </c>
      <c r="B22" s="7">
        <v>11.6</v>
      </c>
      <c r="C22" s="7">
        <f t="shared" si="4"/>
        <v>116</v>
      </c>
      <c r="D22" s="7">
        <v>6.29</v>
      </c>
      <c r="E22" s="7">
        <f t="shared" si="5"/>
        <v>62.9</v>
      </c>
      <c r="F22" s="69">
        <f t="shared" si="6"/>
        <v>0.84419713831478538</v>
      </c>
      <c r="H22" s="74"/>
      <c r="I22" s="74"/>
      <c r="J22" s="74"/>
      <c r="K22" s="74"/>
      <c r="L22" s="74"/>
    </row>
    <row r="23" spans="1:12">
      <c r="A23" s="4">
        <v>12</v>
      </c>
      <c r="B23" s="7">
        <v>17.899999999999999</v>
      </c>
      <c r="C23" s="7">
        <f t="shared" si="4"/>
        <v>214.79999999999998</v>
      </c>
      <c r="D23" s="7">
        <v>4.3899999999999997</v>
      </c>
      <c r="E23" s="7">
        <f t="shared" si="5"/>
        <v>52.679999999999993</v>
      </c>
      <c r="F23" s="69">
        <f t="shared" si="6"/>
        <v>3.0774487471526202</v>
      </c>
      <c r="H23" s="74"/>
      <c r="I23" s="74"/>
      <c r="J23" s="74"/>
      <c r="K23" s="74"/>
      <c r="L23" s="74"/>
    </row>
    <row r="24" spans="1:12">
      <c r="A24" s="4">
        <v>16</v>
      </c>
      <c r="B24" s="7">
        <v>1.6</v>
      </c>
      <c r="C24" s="7">
        <f t="shared" si="4"/>
        <v>25.6</v>
      </c>
      <c r="D24" s="7">
        <v>2.06</v>
      </c>
      <c r="E24" s="7">
        <f t="shared" si="5"/>
        <v>32.96</v>
      </c>
      <c r="F24" s="69">
        <f t="shared" si="6"/>
        <v>-0.22330097087378639</v>
      </c>
      <c r="H24" s="74"/>
      <c r="I24" s="74"/>
      <c r="J24" s="74"/>
      <c r="K24" s="74"/>
      <c r="L24" s="74"/>
    </row>
    <row r="25" spans="1:12" ht="13.8" thickBot="1">
      <c r="A25" s="91" t="s">
        <v>27</v>
      </c>
      <c r="B25" s="92"/>
      <c r="C25" s="8">
        <f>SUM(C17:C24)</f>
        <v>620.19999999999993</v>
      </c>
      <c r="D25" s="8"/>
      <c r="E25" s="8">
        <f>SUM(E17:E24)</f>
        <v>504.31999999999994</v>
      </c>
      <c r="F25" s="70">
        <f t="shared" si="6"/>
        <v>0.22977474619289343</v>
      </c>
      <c r="H25" s="74"/>
      <c r="I25" s="74"/>
      <c r="J25" s="74"/>
      <c r="K25" s="74"/>
      <c r="L25" s="74"/>
    </row>
  </sheetData>
  <mergeCells count="3">
    <mergeCell ref="A13:F13"/>
    <mergeCell ref="A25:B25"/>
    <mergeCell ref="B1:F1"/>
  </mergeCells>
  <phoneticPr fontId="3" type="noConversion"/>
  <printOptions horizontalCentered="1"/>
  <pageMargins left="0.5" right="0.5" top="1.25" bottom="0.25" header="0.5" footer="0.5"/>
  <pageSetup orientation="landscape" horizontalDpi="2400" verticalDpi="2400" r:id="rId1"/>
  <headerFooter>
    <oddHeader>&amp;C&amp;K60497ACity of Pikeville Water Lines_x000D_(from WRIS and from 2002 and 2019 PSC submittals by Pikeville)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</sheetPr>
  <dimension ref="A1:N47"/>
  <sheetViews>
    <sheetView topLeftCell="A10" workbookViewId="0">
      <selection activeCell="D25" sqref="D25"/>
    </sheetView>
  </sheetViews>
  <sheetFormatPr defaultColWidth="10.7265625" defaultRowHeight="13.2"/>
  <cols>
    <col min="1" max="1" width="12.26953125" style="3" customWidth="1"/>
    <col min="2" max="6" width="15.1796875" style="3" customWidth="1"/>
    <col min="7" max="16384" width="10.7265625" style="3"/>
  </cols>
  <sheetData>
    <row r="1" spans="1:14" s="15" customFormat="1">
      <c r="A1" s="96" t="s">
        <v>9</v>
      </c>
      <c r="B1" s="97"/>
      <c r="C1" s="97"/>
      <c r="D1" s="98"/>
    </row>
    <row r="2" spans="1:14" s="16" customFormat="1" ht="26.4">
      <c r="A2" s="26" t="s">
        <v>10</v>
      </c>
      <c r="B2" s="27" t="s">
        <v>11</v>
      </c>
      <c r="C2" s="27" t="s">
        <v>12</v>
      </c>
      <c r="D2" s="28" t="s">
        <v>13</v>
      </c>
    </row>
    <row r="3" spans="1:14">
      <c r="A3" s="17">
        <v>2</v>
      </c>
      <c r="B3" s="18">
        <f>5512+42259</f>
        <v>47771</v>
      </c>
      <c r="C3" s="19">
        <v>30</v>
      </c>
      <c r="D3" s="20">
        <f>B3*C3</f>
        <v>1433130</v>
      </c>
    </row>
    <row r="4" spans="1:14">
      <c r="A4" s="21">
        <v>3</v>
      </c>
      <c r="B4" s="22">
        <v>5391</v>
      </c>
      <c r="C4" s="23">
        <v>35</v>
      </c>
      <c r="D4" s="24">
        <f t="shared" ref="D4:D12" si="0">B4*C4</f>
        <v>188685</v>
      </c>
    </row>
    <row r="5" spans="1:14">
      <c r="A5" s="21">
        <v>4</v>
      </c>
      <c r="B5" s="22">
        <v>6731</v>
      </c>
      <c r="C5" s="23">
        <v>60</v>
      </c>
      <c r="D5" s="24">
        <f t="shared" si="0"/>
        <v>403860</v>
      </c>
    </row>
    <row r="6" spans="1:14">
      <c r="A6" s="21">
        <v>6</v>
      </c>
      <c r="B6" s="22">
        <v>198876</v>
      </c>
      <c r="C6" s="23">
        <v>90</v>
      </c>
      <c r="D6" s="24">
        <f t="shared" si="0"/>
        <v>17898840</v>
      </c>
    </row>
    <row r="7" spans="1:14">
      <c r="A7" s="21">
        <v>8</v>
      </c>
      <c r="B7" s="22">
        <v>138915</v>
      </c>
      <c r="C7" s="23">
        <v>130</v>
      </c>
      <c r="D7" s="24">
        <f t="shared" si="0"/>
        <v>18058950</v>
      </c>
    </row>
    <row r="8" spans="1:14">
      <c r="A8" s="21">
        <v>10</v>
      </c>
      <c r="B8" s="22">
        <f>208+47213</f>
        <v>47421</v>
      </c>
      <c r="C8" s="23">
        <v>150</v>
      </c>
      <c r="D8" s="24">
        <f t="shared" si="0"/>
        <v>7113150</v>
      </c>
    </row>
    <row r="9" spans="1:14">
      <c r="A9" s="21">
        <v>12</v>
      </c>
      <c r="B9" s="22">
        <v>78371</v>
      </c>
      <c r="C9" s="23">
        <v>170</v>
      </c>
      <c r="D9" s="24">
        <f t="shared" si="0"/>
        <v>13323070</v>
      </c>
    </row>
    <row r="10" spans="1:14" s="15" customFormat="1">
      <c r="A10" s="21">
        <v>16</v>
      </c>
      <c r="B10" s="22">
        <v>13039</v>
      </c>
      <c r="C10" s="23">
        <v>180</v>
      </c>
      <c r="D10" s="24">
        <f t="shared" si="0"/>
        <v>2347020</v>
      </c>
    </row>
    <row r="11" spans="1:14">
      <c r="A11" s="21">
        <v>20</v>
      </c>
      <c r="B11" s="22">
        <v>0</v>
      </c>
      <c r="C11" s="23">
        <v>220</v>
      </c>
      <c r="D11" s="24">
        <f t="shared" si="0"/>
        <v>0</v>
      </c>
    </row>
    <row r="12" spans="1:14">
      <c r="A12" s="21">
        <v>24</v>
      </c>
      <c r="B12" s="22">
        <v>0</v>
      </c>
      <c r="C12" s="23">
        <v>250</v>
      </c>
      <c r="D12" s="24">
        <f t="shared" si="0"/>
        <v>0</v>
      </c>
    </row>
    <row r="13" spans="1:14">
      <c r="A13" s="29" t="s">
        <v>14</v>
      </c>
      <c r="B13" s="30">
        <f>SUM(B3:B12)</f>
        <v>536515</v>
      </c>
      <c r="C13" s="31"/>
      <c r="D13" s="32">
        <f>SUM(D3:D12)</f>
        <v>60766705</v>
      </c>
    </row>
    <row r="14" spans="1:14" s="33" customFormat="1" ht="6" customHeight="1">
      <c r="E14"/>
      <c r="F14"/>
      <c r="G14"/>
      <c r="H14"/>
      <c r="I14"/>
      <c r="J14"/>
      <c r="K14"/>
      <c r="L14"/>
      <c r="M14"/>
      <c r="N14"/>
    </row>
    <row r="15" spans="1:14" ht="15">
      <c r="A15" s="34" t="s">
        <v>38</v>
      </c>
      <c r="B15" s="35"/>
      <c r="C15" s="36">
        <f>B13*C3</f>
        <v>16095450</v>
      </c>
      <c r="D15" s="37"/>
      <c r="E15"/>
      <c r="F15"/>
      <c r="G15"/>
      <c r="H15"/>
      <c r="I15"/>
      <c r="J15"/>
      <c r="K15"/>
      <c r="L15"/>
      <c r="M15"/>
      <c r="N15"/>
    </row>
    <row r="16" spans="1:14" ht="15">
      <c r="A16" s="21" t="s">
        <v>15</v>
      </c>
      <c r="B16" s="38">
        <f>D13</f>
        <v>60766705</v>
      </c>
      <c r="C16" s="39" t="s">
        <v>16</v>
      </c>
      <c r="D16" s="40">
        <f>+C15/B16</f>
        <v>0.26487284443018588</v>
      </c>
      <c r="E16"/>
      <c r="F16"/>
      <c r="G16"/>
      <c r="H16"/>
      <c r="I16"/>
      <c r="J16"/>
      <c r="K16"/>
      <c r="L16"/>
      <c r="M16"/>
      <c r="N16"/>
    </row>
    <row r="17" spans="1:14" ht="15">
      <c r="A17" s="41"/>
      <c r="B17" s="42"/>
      <c r="C17" s="99" t="s">
        <v>17</v>
      </c>
      <c r="D17" s="100"/>
      <c r="E17"/>
      <c r="F17"/>
      <c r="G17"/>
      <c r="H17"/>
      <c r="I17"/>
      <c r="J17"/>
      <c r="K17"/>
      <c r="L17"/>
      <c r="M17"/>
      <c r="N17"/>
    </row>
    <row r="18" spans="1:14" s="33" customFormat="1" ht="6" customHeight="1">
      <c r="A18" s="43"/>
      <c r="B18" s="44"/>
      <c r="C18" s="44"/>
      <c r="D18" s="45"/>
      <c r="E18"/>
      <c r="F18"/>
      <c r="G18"/>
      <c r="H18"/>
      <c r="I18"/>
      <c r="J18"/>
      <c r="K18"/>
      <c r="L18"/>
      <c r="M18"/>
      <c r="N18"/>
    </row>
    <row r="19" spans="1:14" ht="15">
      <c r="A19" s="41" t="s">
        <v>18</v>
      </c>
      <c r="B19" s="42"/>
      <c r="C19" s="42"/>
      <c r="D19" s="24">
        <f>D3+D4+D5+D6</f>
        <v>19924515</v>
      </c>
      <c r="E19"/>
      <c r="F19"/>
      <c r="G19"/>
      <c r="H19"/>
      <c r="I19"/>
      <c r="J19"/>
      <c r="K19"/>
      <c r="L19"/>
      <c r="M19"/>
      <c r="N19"/>
    </row>
    <row r="20" spans="1:14" ht="15">
      <c r="A20" s="41" t="s">
        <v>25</v>
      </c>
      <c r="B20" s="42"/>
      <c r="C20" s="42"/>
      <c r="D20" s="46"/>
      <c r="E20"/>
      <c r="F20"/>
      <c r="G20"/>
      <c r="H20"/>
      <c r="I20"/>
      <c r="J20"/>
      <c r="K20"/>
      <c r="L20"/>
      <c r="M20"/>
      <c r="N20"/>
    </row>
    <row r="21" spans="1:14" ht="15">
      <c r="A21" s="47" t="s">
        <v>19</v>
      </c>
      <c r="B21" s="22">
        <f>B7</f>
        <v>138915</v>
      </c>
      <c r="C21" s="22">
        <f>B8</f>
        <v>47421</v>
      </c>
      <c r="D21" s="48">
        <f>B9</f>
        <v>78371</v>
      </c>
      <c r="E21"/>
      <c r="F21"/>
      <c r="G21"/>
      <c r="H21"/>
      <c r="I21"/>
      <c r="J21"/>
      <c r="K21"/>
      <c r="L21"/>
      <c r="M21"/>
      <c r="N21"/>
    </row>
    <row r="22" spans="1:14" ht="15">
      <c r="A22" s="47"/>
      <c r="B22" s="22">
        <f>B10</f>
        <v>13039</v>
      </c>
      <c r="C22" s="22">
        <f>B11</f>
        <v>0</v>
      </c>
      <c r="D22" s="48">
        <f>B12</f>
        <v>0</v>
      </c>
      <c r="E22"/>
      <c r="F22"/>
      <c r="G22"/>
      <c r="H22"/>
      <c r="I22"/>
      <c r="J22"/>
      <c r="K22"/>
      <c r="L22"/>
      <c r="M22"/>
      <c r="N22"/>
    </row>
    <row r="23" spans="1:14" ht="15">
      <c r="A23" s="41"/>
      <c r="B23" s="42"/>
      <c r="C23" s="49" t="s">
        <v>20</v>
      </c>
      <c r="D23" s="25">
        <f>C6</f>
        <v>90</v>
      </c>
      <c r="E23"/>
      <c r="F23"/>
      <c r="G23"/>
      <c r="H23"/>
      <c r="I23"/>
      <c r="J23"/>
      <c r="K23"/>
      <c r="L23"/>
      <c r="M23"/>
      <c r="N23"/>
    </row>
    <row r="24" spans="1:14" ht="15">
      <c r="A24" s="47" t="s">
        <v>19</v>
      </c>
      <c r="B24" s="50">
        <f>-C15</f>
        <v>-16095450</v>
      </c>
      <c r="C24" s="51">
        <f>D19</f>
        <v>19924515</v>
      </c>
      <c r="D24" s="24">
        <f>(B21+C21+D21+B22+C22+D22)*D23</f>
        <v>24997140</v>
      </c>
      <c r="E24"/>
      <c r="F24"/>
      <c r="G24"/>
      <c r="H24"/>
      <c r="I24"/>
      <c r="J24"/>
      <c r="K24"/>
      <c r="L24"/>
      <c r="M24"/>
      <c r="N24"/>
    </row>
    <row r="25" spans="1:14" ht="15">
      <c r="A25" s="41"/>
      <c r="B25" s="42"/>
      <c r="C25" s="49" t="s">
        <v>16</v>
      </c>
      <c r="D25" s="52">
        <f>B24+C24+D24</f>
        <v>28826205</v>
      </c>
      <c r="E25"/>
      <c r="F25"/>
      <c r="G25"/>
      <c r="H25"/>
      <c r="I25"/>
      <c r="J25"/>
      <c r="K25"/>
      <c r="L25"/>
      <c r="M25"/>
      <c r="N25"/>
    </row>
    <row r="26" spans="1:14" ht="15">
      <c r="A26" s="41"/>
      <c r="B26" s="42"/>
      <c r="C26" s="49" t="s">
        <v>15</v>
      </c>
      <c r="D26" s="53">
        <f>D13</f>
        <v>60766705</v>
      </c>
      <c r="E26"/>
      <c r="F26"/>
      <c r="G26"/>
      <c r="H26"/>
      <c r="I26"/>
      <c r="J26"/>
      <c r="K26"/>
      <c r="L26"/>
      <c r="M26"/>
      <c r="N26"/>
    </row>
    <row r="27" spans="1:14" ht="15">
      <c r="A27" s="41"/>
      <c r="B27" s="42"/>
      <c r="C27" s="42"/>
      <c r="D27" s="73">
        <f>ROUNDDOWN(D25/D26,1)</f>
        <v>0.4</v>
      </c>
      <c r="E27"/>
      <c r="F27"/>
      <c r="G27"/>
      <c r="H27"/>
      <c r="I27"/>
      <c r="J27"/>
      <c r="K27"/>
      <c r="L27"/>
      <c r="M27"/>
      <c r="N27"/>
    </row>
    <row r="28" spans="1:14" ht="15">
      <c r="A28" s="41"/>
      <c r="B28" s="42"/>
      <c r="C28" s="99" t="s">
        <v>21</v>
      </c>
      <c r="D28" s="100"/>
      <c r="E28"/>
      <c r="F28"/>
      <c r="G28"/>
      <c r="H28"/>
      <c r="I28"/>
      <c r="J28"/>
      <c r="K28"/>
      <c r="L28"/>
      <c r="M28"/>
      <c r="N28"/>
    </row>
    <row r="29" spans="1:14" s="33" customFormat="1" ht="6" customHeight="1">
      <c r="A29" s="43"/>
      <c r="B29" s="44"/>
      <c r="C29" s="44"/>
      <c r="D29" s="45"/>
      <c r="E29"/>
      <c r="F29"/>
      <c r="G29"/>
      <c r="H29"/>
      <c r="I29"/>
      <c r="J29"/>
      <c r="K29"/>
      <c r="L29"/>
      <c r="M29"/>
      <c r="N29"/>
    </row>
    <row r="30" spans="1:14" ht="15">
      <c r="A30" s="54">
        <v>1</v>
      </c>
      <c r="B30" s="39" t="s">
        <v>22</v>
      </c>
      <c r="C30" s="55">
        <f>D16</f>
        <v>0.26487284443018588</v>
      </c>
      <c r="D30" s="56">
        <f>D27</f>
        <v>0.4</v>
      </c>
      <c r="E30"/>
      <c r="F30"/>
      <c r="G30"/>
      <c r="H30"/>
      <c r="I30"/>
      <c r="J30"/>
      <c r="K30"/>
      <c r="L30"/>
      <c r="M30"/>
      <c r="N30"/>
    </row>
    <row r="31" spans="1:14">
      <c r="A31" s="41"/>
      <c r="B31" s="42"/>
      <c r="C31" s="42"/>
      <c r="D31" s="57">
        <f>1-(C30+D30)</f>
        <v>0.33512715556981409</v>
      </c>
    </row>
    <row r="32" spans="1:14">
      <c r="A32" s="58"/>
      <c r="B32" s="59"/>
      <c r="C32" s="101" t="s">
        <v>23</v>
      </c>
      <c r="D32" s="102"/>
    </row>
    <row r="33" spans="1:4" ht="15">
      <c r="A33"/>
      <c r="B33"/>
      <c r="C33"/>
      <c r="D33"/>
    </row>
    <row r="34" spans="1:4" ht="15">
      <c r="A34"/>
      <c r="B34"/>
      <c r="C34"/>
      <c r="D34"/>
    </row>
    <row r="35" spans="1:4" ht="15">
      <c r="A35"/>
      <c r="B35"/>
      <c r="C35"/>
      <c r="D35"/>
    </row>
    <row r="36" spans="1:4" ht="15">
      <c r="A36"/>
      <c r="B36"/>
      <c r="C36"/>
      <c r="D36"/>
    </row>
    <row r="37" spans="1:4" ht="15">
      <c r="A37"/>
      <c r="B37"/>
      <c r="C37"/>
      <c r="D37"/>
    </row>
    <row r="38" spans="1:4" ht="15">
      <c r="A38"/>
      <c r="B38"/>
      <c r="C38"/>
      <c r="D38"/>
    </row>
    <row r="39" spans="1:4" ht="15">
      <c r="A39"/>
      <c r="B39"/>
      <c r="C39"/>
      <c r="D39"/>
    </row>
    <row r="40" spans="1:4" ht="15">
      <c r="A40"/>
      <c r="B40"/>
      <c r="C40"/>
      <c r="D40"/>
    </row>
    <row r="41" spans="1:4" ht="15">
      <c r="A41"/>
      <c r="B41"/>
      <c r="C41"/>
      <c r="D41"/>
    </row>
    <row r="42" spans="1:4" ht="15">
      <c r="A42"/>
      <c r="B42"/>
      <c r="C42"/>
      <c r="D42"/>
    </row>
    <row r="43" spans="1:4" ht="15">
      <c r="A43"/>
      <c r="B43"/>
      <c r="C43"/>
      <c r="D43"/>
    </row>
    <row r="44" spans="1:4" ht="15">
      <c r="A44"/>
      <c r="B44"/>
      <c r="C44"/>
      <c r="D44"/>
    </row>
    <row r="45" spans="1:4" ht="15">
      <c r="A45"/>
      <c r="B45"/>
      <c r="C45"/>
      <c r="D45"/>
    </row>
    <row r="46" spans="1:4" ht="15">
      <c r="A46"/>
      <c r="B46"/>
      <c r="C46"/>
      <c r="D46"/>
    </row>
    <row r="47" spans="1:4" ht="15">
      <c r="A47"/>
      <c r="B47"/>
      <c r="C47"/>
      <c r="D47"/>
    </row>
  </sheetData>
  <mergeCells count="4">
    <mergeCell ref="A1:D1"/>
    <mergeCell ref="C28:D28"/>
    <mergeCell ref="C17:D17"/>
    <mergeCell ref="C32:D32"/>
  </mergeCells>
  <phoneticPr fontId="3" type="noConversion"/>
  <printOptions horizontalCentered="1"/>
  <pageMargins left="0.75" right="0.75" top="2.25" bottom="1" header="0.5" footer="0.5"/>
  <pageSetup orientation="portrait" horizontalDpi="4294967292" verticalDpi="4294967292"/>
  <headerFooter>
    <oddHeader>&amp;C&amp;K60497ADistribution Line Allocation_x000D_(calculated on City of Pikeville waterlines - WRIS data)_x000D_from "Financial Management:  Cost of Service Rate Making"</oddHead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L13"/>
  <sheetViews>
    <sheetView workbookViewId="0">
      <selection sqref="A1:L13"/>
    </sheetView>
  </sheetViews>
  <sheetFormatPr defaultColWidth="10.90625" defaultRowHeight="15"/>
  <cols>
    <col min="1" max="1" width="8.1796875" customWidth="1"/>
    <col min="2" max="6" width="8" customWidth="1"/>
    <col min="7" max="7" width="0.7265625" customWidth="1"/>
    <col min="8" max="9" width="7.26953125" customWidth="1"/>
    <col min="10" max="10" width="8.1796875" customWidth="1"/>
    <col min="11" max="11" width="6.26953125" customWidth="1"/>
    <col min="12" max="12" width="7.54296875" customWidth="1"/>
  </cols>
  <sheetData>
    <row r="1" spans="1:12" ht="15.6" thickBot="1">
      <c r="A1" s="2"/>
      <c r="B1" s="103" t="s">
        <v>37</v>
      </c>
      <c r="C1" s="104"/>
      <c r="D1" s="104"/>
      <c r="E1" s="104"/>
      <c r="F1" s="105"/>
      <c r="G1" s="3"/>
      <c r="H1" s="3"/>
      <c r="I1" s="3"/>
      <c r="J1" s="3"/>
      <c r="K1" s="3"/>
      <c r="L1" s="60"/>
    </row>
    <row r="2" spans="1:12" ht="39.6">
      <c r="A2" s="87" t="s">
        <v>5</v>
      </c>
      <c r="B2" s="84" t="s">
        <v>0</v>
      </c>
      <c r="C2" s="84" t="s">
        <v>1</v>
      </c>
      <c r="D2" s="84" t="s">
        <v>2</v>
      </c>
      <c r="E2" s="84" t="s">
        <v>3</v>
      </c>
      <c r="F2" s="84" t="s">
        <v>4</v>
      </c>
      <c r="G2" s="85"/>
      <c r="H2" s="85" t="s">
        <v>7</v>
      </c>
      <c r="I2" s="85" t="s">
        <v>32</v>
      </c>
      <c r="J2" s="85" t="s">
        <v>5</v>
      </c>
      <c r="K2" s="85" t="s">
        <v>8</v>
      </c>
      <c r="L2" s="86" t="s">
        <v>26</v>
      </c>
    </row>
    <row r="3" spans="1:12">
      <c r="A3" s="4" t="s">
        <v>6</v>
      </c>
      <c r="B3" s="5">
        <v>0</v>
      </c>
      <c r="C3" s="5">
        <v>5223</v>
      </c>
      <c r="D3" s="5">
        <v>0</v>
      </c>
      <c r="E3" s="5">
        <v>286</v>
      </c>
      <c r="F3" s="5">
        <v>0</v>
      </c>
      <c r="G3" s="88"/>
      <c r="H3" s="5">
        <f>SUM(B3:F3)</f>
        <v>5509</v>
      </c>
      <c r="I3" s="72">
        <f>H3/5280</f>
        <v>1.0433712121212122</v>
      </c>
      <c r="J3" s="6" t="s">
        <v>6</v>
      </c>
      <c r="K3" s="62">
        <f>H3/$H$13</f>
        <v>1.0478503755637259E-2</v>
      </c>
      <c r="L3" s="63">
        <f>(H3/5280)*A4</f>
        <v>2.0867424242424244</v>
      </c>
    </row>
    <row r="4" spans="1:12">
      <c r="A4" s="4">
        <v>2</v>
      </c>
      <c r="B4" s="7">
        <v>1399</v>
      </c>
      <c r="C4" s="7">
        <v>0</v>
      </c>
      <c r="D4" s="7">
        <f>610+291+9619</f>
        <v>10520</v>
      </c>
      <c r="E4" s="7">
        <f>1005</f>
        <v>1005</v>
      </c>
      <c r="F4" s="7">
        <v>1751</v>
      </c>
      <c r="G4" s="89"/>
      <c r="H4" s="5">
        <f t="shared" ref="H4:H12" si="0">SUM(B4:F4)</f>
        <v>14675</v>
      </c>
      <c r="I4" s="72">
        <f t="shared" ref="I4:I12" si="1">H4/5280</f>
        <v>2.7793560606060606</v>
      </c>
      <c r="J4" s="6">
        <v>2</v>
      </c>
      <c r="K4" s="62">
        <f t="shared" ref="K4:K12" si="2">H4/$H$13</f>
        <v>2.7912877584675401E-2</v>
      </c>
      <c r="L4" s="64">
        <f>(H4/5280)*A4</f>
        <v>5.5587121212121211</v>
      </c>
    </row>
    <row r="5" spans="1:12">
      <c r="A5" s="4">
        <v>3</v>
      </c>
      <c r="B5" s="7">
        <v>176</v>
      </c>
      <c r="C5" s="7">
        <v>0</v>
      </c>
      <c r="D5" s="7">
        <f>2492+2181</f>
        <v>4673</v>
      </c>
      <c r="E5" s="7">
        <v>542</v>
      </c>
      <c r="F5" s="7">
        <v>0</v>
      </c>
      <c r="G5" s="89"/>
      <c r="H5" s="5">
        <f t="shared" si="0"/>
        <v>5391</v>
      </c>
      <c r="I5" s="72">
        <f t="shared" si="1"/>
        <v>1.0210227272727272</v>
      </c>
      <c r="J5" s="6">
        <v>3</v>
      </c>
      <c r="K5" s="62">
        <f t="shared" si="2"/>
        <v>1.0254059492946173E-2</v>
      </c>
      <c r="L5" s="64">
        <f t="shared" ref="L5:L12" si="3">(H5/5280)*A5</f>
        <v>3.0630681818181817</v>
      </c>
    </row>
    <row r="6" spans="1:12">
      <c r="A6" s="4">
        <v>4</v>
      </c>
      <c r="B6" s="7">
        <v>0</v>
      </c>
      <c r="C6" s="7">
        <v>1478</v>
      </c>
      <c r="D6" s="7">
        <f>2450+1627</f>
        <v>4077</v>
      </c>
      <c r="E6" s="7">
        <v>1173</v>
      </c>
      <c r="F6" s="7">
        <v>0</v>
      </c>
      <c r="G6" s="89"/>
      <c r="H6" s="5">
        <f t="shared" si="0"/>
        <v>6728</v>
      </c>
      <c r="I6" s="72">
        <f t="shared" si="1"/>
        <v>1.2742424242424242</v>
      </c>
      <c r="J6" s="6">
        <v>4</v>
      </c>
      <c r="K6" s="62">
        <f t="shared" si="2"/>
        <v>1.2797127113437555E-2</v>
      </c>
      <c r="L6" s="64">
        <f t="shared" si="3"/>
        <v>5.0969696969696967</v>
      </c>
    </row>
    <row r="7" spans="1:12">
      <c r="A7" s="4">
        <v>6</v>
      </c>
      <c r="B7" s="7">
        <f>1995+21524</f>
        <v>23519</v>
      </c>
      <c r="C7" s="7">
        <f>3153+38373</f>
        <v>41526</v>
      </c>
      <c r="D7" s="7">
        <f>47513+5847+25333+2179+3432</f>
        <v>84304</v>
      </c>
      <c r="E7" s="7">
        <v>18346</v>
      </c>
      <c r="F7" s="7">
        <f>21946+9209</f>
        <v>31155</v>
      </c>
      <c r="G7" s="89"/>
      <c r="H7" s="5">
        <f t="shared" si="0"/>
        <v>198850</v>
      </c>
      <c r="I7" s="72">
        <f t="shared" si="1"/>
        <v>37.660984848484851</v>
      </c>
      <c r="J7" s="6">
        <v>6</v>
      </c>
      <c r="K7" s="62">
        <f t="shared" si="2"/>
        <v>0.37822662403493723</v>
      </c>
      <c r="L7" s="64">
        <f t="shared" si="3"/>
        <v>225.96590909090912</v>
      </c>
    </row>
    <row r="8" spans="1:12">
      <c r="A8" s="4">
        <v>8</v>
      </c>
      <c r="B8" s="7">
        <f>1099+15131</f>
        <v>16230</v>
      </c>
      <c r="C8" s="7">
        <f>353+94247</f>
        <v>94600</v>
      </c>
      <c r="D8" s="7">
        <f>431+8477</f>
        <v>8908</v>
      </c>
      <c r="E8" s="7">
        <v>12738</v>
      </c>
      <c r="F8" s="7">
        <v>6417</v>
      </c>
      <c r="G8" s="89"/>
      <c r="H8" s="5">
        <f t="shared" si="0"/>
        <v>138893</v>
      </c>
      <c r="I8" s="72">
        <f t="shared" si="1"/>
        <v>26.305492424242424</v>
      </c>
      <c r="J8" s="6">
        <v>8</v>
      </c>
      <c r="K8" s="62">
        <f t="shared" si="2"/>
        <v>0.26418421167756873</v>
      </c>
      <c r="L8" s="64">
        <f t="shared" si="3"/>
        <v>210.44393939393939</v>
      </c>
    </row>
    <row r="9" spans="1:12">
      <c r="A9" s="4">
        <v>9</v>
      </c>
      <c r="B9" s="7">
        <v>0</v>
      </c>
      <c r="C9" s="7">
        <v>208</v>
      </c>
      <c r="D9" s="7">
        <v>0</v>
      </c>
      <c r="E9" s="7">
        <v>0</v>
      </c>
      <c r="F9" s="7">
        <v>0</v>
      </c>
      <c r="G9" s="89"/>
      <c r="H9" s="5">
        <f t="shared" si="0"/>
        <v>208</v>
      </c>
      <c r="I9" s="72">
        <f t="shared" si="1"/>
        <v>3.9393939393939391E-2</v>
      </c>
      <c r="J9" s="6">
        <v>9</v>
      </c>
      <c r="K9" s="62">
        <f t="shared" si="2"/>
        <v>3.956305647436105E-4</v>
      </c>
      <c r="L9" s="64">
        <f t="shared" si="3"/>
        <v>0.3545454545454545</v>
      </c>
    </row>
    <row r="10" spans="1:12">
      <c r="A10" s="4">
        <v>10</v>
      </c>
      <c r="B10" s="7">
        <f>5204+5438</f>
        <v>10642</v>
      </c>
      <c r="C10" s="7">
        <f>1242+19378</f>
        <v>20620</v>
      </c>
      <c r="D10" s="7">
        <v>2744</v>
      </c>
      <c r="E10" s="7">
        <v>320</v>
      </c>
      <c r="F10" s="7">
        <f>1925+10955</f>
        <v>12880</v>
      </c>
      <c r="G10" s="89"/>
      <c r="H10" s="5">
        <f t="shared" si="0"/>
        <v>47206</v>
      </c>
      <c r="I10" s="72">
        <f t="shared" si="1"/>
        <v>8.9405303030303038</v>
      </c>
      <c r="J10" s="6">
        <v>10</v>
      </c>
      <c r="K10" s="62">
        <f t="shared" si="2"/>
        <v>8.9789117496571522E-2</v>
      </c>
      <c r="L10" s="64">
        <f t="shared" si="3"/>
        <v>89.405303030303031</v>
      </c>
    </row>
    <row r="11" spans="1:12">
      <c r="A11" s="4">
        <v>12</v>
      </c>
      <c r="B11" s="7">
        <v>174</v>
      </c>
      <c r="C11" s="7">
        <v>25620</v>
      </c>
      <c r="D11" s="7">
        <f>11385+10559+13609+1385</f>
        <v>36938</v>
      </c>
      <c r="E11" s="7">
        <v>7784</v>
      </c>
      <c r="F11" s="7">
        <f>7185+13425</f>
        <v>20610</v>
      </c>
      <c r="G11" s="89"/>
      <c r="H11" s="5">
        <f t="shared" si="0"/>
        <v>91126</v>
      </c>
      <c r="I11" s="72">
        <f t="shared" si="1"/>
        <v>17.25871212121212</v>
      </c>
      <c r="J11" s="6">
        <v>12</v>
      </c>
      <c r="K11" s="62">
        <f t="shared" si="2"/>
        <v>0.17332803289820312</v>
      </c>
      <c r="L11" s="64">
        <f t="shared" si="3"/>
        <v>207.10454545454544</v>
      </c>
    </row>
    <row r="12" spans="1:12">
      <c r="A12" s="4">
        <v>16</v>
      </c>
      <c r="B12" s="7">
        <v>1269</v>
      </c>
      <c r="C12" s="7">
        <f>8054+4121</f>
        <v>12175</v>
      </c>
      <c r="D12" s="7">
        <v>0</v>
      </c>
      <c r="E12" s="7">
        <v>0</v>
      </c>
      <c r="F12" s="7">
        <v>3713</v>
      </c>
      <c r="G12" s="89"/>
      <c r="H12" s="5">
        <f t="shared" si="0"/>
        <v>17157</v>
      </c>
      <c r="I12" s="72">
        <f t="shared" si="1"/>
        <v>3.2494318181818183</v>
      </c>
      <c r="J12" s="6">
        <v>16</v>
      </c>
      <c r="K12" s="62">
        <f t="shared" si="2"/>
        <v>3.2633815381279449E-2</v>
      </c>
      <c r="L12" s="64">
        <f t="shared" si="3"/>
        <v>51.990909090909092</v>
      </c>
    </row>
    <row r="13" spans="1:12" ht="15.6" thickBot="1">
      <c r="A13" s="91"/>
      <c r="B13" s="92"/>
      <c r="C13" s="92"/>
      <c r="D13" s="92"/>
      <c r="E13" s="92"/>
      <c r="F13" s="92"/>
      <c r="G13" s="90"/>
      <c r="H13" s="8">
        <f>SUM(H3:H12)</f>
        <v>525743</v>
      </c>
      <c r="I13" s="8"/>
      <c r="J13" s="8"/>
      <c r="K13" s="65">
        <f>SUM(K3:K12)</f>
        <v>0.99999999999999989</v>
      </c>
      <c r="L13" s="66">
        <f>SUM(L3:L12)</f>
        <v>801.07064393939402</v>
      </c>
    </row>
  </sheetData>
  <mergeCells count="2">
    <mergeCell ref="B1:F1"/>
    <mergeCell ref="A13:F13"/>
  </mergeCells>
  <phoneticPr fontId="3" type="noConversion"/>
  <printOptions horizontalCentered="1"/>
  <pageMargins left="0.5" right="0.5" top="1.25" bottom="0.25" header="0.5" footer="0.5"/>
  <pageSetup orientation="landscape" horizontalDpi="4294967292" verticalDpi="4294967292"/>
  <headerFooter>
    <oddHeader>&amp;C&amp;K60497ACity of Pikeville Waterlines_x000D_(from WRIS after 27 July 2019 adjustment)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N47"/>
  <sheetViews>
    <sheetView workbookViewId="0">
      <selection activeCell="G17" sqref="G17"/>
    </sheetView>
  </sheetViews>
  <sheetFormatPr defaultColWidth="10.7265625" defaultRowHeight="13.2"/>
  <cols>
    <col min="1" max="1" width="12.26953125" style="3" customWidth="1"/>
    <col min="2" max="6" width="15.1796875" style="3" customWidth="1"/>
    <col min="7" max="16384" width="10.7265625" style="3"/>
  </cols>
  <sheetData>
    <row r="1" spans="1:14" s="15" customFormat="1">
      <c r="A1" s="106" t="s">
        <v>9</v>
      </c>
      <c r="B1" s="107"/>
      <c r="C1" s="107"/>
      <c r="D1" s="108"/>
    </row>
    <row r="2" spans="1:14" s="16" customFormat="1" ht="26.4">
      <c r="A2" s="75" t="s">
        <v>10</v>
      </c>
      <c r="B2" s="76" t="s">
        <v>11</v>
      </c>
      <c r="C2" s="76" t="s">
        <v>12</v>
      </c>
      <c r="D2" s="77" t="s">
        <v>13</v>
      </c>
    </row>
    <row r="3" spans="1:14">
      <c r="A3" s="17">
        <v>2</v>
      </c>
      <c r="B3" s="18">
        <f>'27 July adjmt'!H3+'27 July adjmt'!H4</f>
        <v>20184</v>
      </c>
      <c r="C3" s="19">
        <v>30</v>
      </c>
      <c r="D3" s="20">
        <f>B3*C3</f>
        <v>605520</v>
      </c>
    </row>
    <row r="4" spans="1:14">
      <c r="A4" s="21">
        <v>3</v>
      </c>
      <c r="B4" s="22">
        <f>'27 July adjmt'!H5</f>
        <v>5391</v>
      </c>
      <c r="C4" s="23">
        <v>35</v>
      </c>
      <c r="D4" s="24">
        <f t="shared" ref="D4:D12" si="0">B4*C4</f>
        <v>188685</v>
      </c>
    </row>
    <row r="5" spans="1:14">
      <c r="A5" s="21">
        <v>4</v>
      </c>
      <c r="B5" s="22">
        <f>'27 July adjmt'!H6</f>
        <v>6728</v>
      </c>
      <c r="C5" s="23">
        <v>60</v>
      </c>
      <c r="D5" s="24">
        <f t="shared" si="0"/>
        <v>403680</v>
      </c>
    </row>
    <row r="6" spans="1:14">
      <c r="A6" s="21">
        <v>6</v>
      </c>
      <c r="B6" s="22">
        <f>'27 July adjmt'!H7</f>
        <v>198850</v>
      </c>
      <c r="C6" s="23">
        <v>90</v>
      </c>
      <c r="D6" s="24">
        <f t="shared" si="0"/>
        <v>17896500</v>
      </c>
    </row>
    <row r="7" spans="1:14">
      <c r="A7" s="21">
        <v>8</v>
      </c>
      <c r="B7" s="22">
        <f>'27 July adjmt'!H8</f>
        <v>138893</v>
      </c>
      <c r="C7" s="23">
        <v>130</v>
      </c>
      <c r="D7" s="24">
        <f t="shared" si="0"/>
        <v>18056090</v>
      </c>
    </row>
    <row r="8" spans="1:14">
      <c r="A8" s="21">
        <v>10</v>
      </c>
      <c r="B8" s="22">
        <f>'27 July adjmt'!H9+'27 July adjmt'!H10</f>
        <v>47414</v>
      </c>
      <c r="C8" s="23">
        <v>150</v>
      </c>
      <c r="D8" s="24">
        <f t="shared" si="0"/>
        <v>7112100</v>
      </c>
    </row>
    <row r="9" spans="1:14">
      <c r="A9" s="21">
        <v>12</v>
      </c>
      <c r="B9" s="22">
        <f>'27 July adjmt'!H11</f>
        <v>91126</v>
      </c>
      <c r="C9" s="23">
        <v>170</v>
      </c>
      <c r="D9" s="24">
        <f t="shared" si="0"/>
        <v>15491420</v>
      </c>
    </row>
    <row r="10" spans="1:14" s="15" customFormat="1">
      <c r="A10" s="21">
        <v>16</v>
      </c>
      <c r="B10" s="22">
        <f>'27 July adjmt'!H12</f>
        <v>17157</v>
      </c>
      <c r="C10" s="23">
        <v>180</v>
      </c>
      <c r="D10" s="24">
        <f t="shared" si="0"/>
        <v>3088260</v>
      </c>
    </row>
    <row r="11" spans="1:14">
      <c r="A11" s="21">
        <v>20</v>
      </c>
      <c r="B11" s="22">
        <v>0</v>
      </c>
      <c r="C11" s="23">
        <v>220</v>
      </c>
      <c r="D11" s="24">
        <f t="shared" si="0"/>
        <v>0</v>
      </c>
    </row>
    <row r="12" spans="1:14">
      <c r="A12" s="21">
        <v>24</v>
      </c>
      <c r="B12" s="22">
        <v>0</v>
      </c>
      <c r="C12" s="23">
        <v>250</v>
      </c>
      <c r="D12" s="24">
        <f t="shared" si="0"/>
        <v>0</v>
      </c>
    </row>
    <row r="13" spans="1:14">
      <c r="A13" s="29" t="s">
        <v>14</v>
      </c>
      <c r="B13" s="30">
        <f>SUM(B3:B12)</f>
        <v>525743</v>
      </c>
      <c r="C13" s="31"/>
      <c r="D13" s="32">
        <f>SUM(D3:D12)</f>
        <v>62842255</v>
      </c>
    </row>
    <row r="14" spans="1:14" s="33" customFormat="1" ht="6" customHeight="1">
      <c r="E14"/>
      <c r="F14"/>
      <c r="G14"/>
      <c r="H14"/>
      <c r="I14"/>
      <c r="J14"/>
      <c r="K14"/>
      <c r="L14"/>
      <c r="M14"/>
      <c r="N14"/>
    </row>
    <row r="15" spans="1:14" ht="15">
      <c r="A15" s="34" t="s">
        <v>24</v>
      </c>
      <c r="B15" s="35"/>
      <c r="C15" s="36">
        <f>B13*C3</f>
        <v>15772290</v>
      </c>
      <c r="D15" s="37"/>
      <c r="E15"/>
      <c r="F15"/>
      <c r="G15"/>
      <c r="H15"/>
      <c r="I15"/>
      <c r="J15"/>
      <c r="K15"/>
      <c r="L15"/>
      <c r="M15"/>
      <c r="N15"/>
    </row>
    <row r="16" spans="1:14" ht="15">
      <c r="A16" s="21" t="s">
        <v>15</v>
      </c>
      <c r="B16" s="38">
        <f>D13</f>
        <v>62842255</v>
      </c>
      <c r="C16" s="39" t="s">
        <v>16</v>
      </c>
      <c r="D16" s="78">
        <f>+C15/B16</f>
        <v>0.25098224116878048</v>
      </c>
      <c r="E16"/>
      <c r="F16"/>
      <c r="G16"/>
      <c r="H16"/>
      <c r="I16"/>
      <c r="J16"/>
      <c r="K16"/>
      <c r="L16"/>
      <c r="M16"/>
      <c r="N16"/>
    </row>
    <row r="17" spans="1:14" ht="15">
      <c r="A17" s="41"/>
      <c r="B17" s="42"/>
      <c r="C17" s="109" t="s">
        <v>17</v>
      </c>
      <c r="D17" s="110"/>
      <c r="E17"/>
      <c r="F17"/>
      <c r="G17"/>
      <c r="H17"/>
      <c r="I17"/>
      <c r="J17"/>
      <c r="K17"/>
      <c r="L17"/>
      <c r="M17"/>
      <c r="N17"/>
    </row>
    <row r="18" spans="1:14" s="33" customFormat="1" ht="6" customHeight="1">
      <c r="A18" s="79"/>
      <c r="B18" s="80"/>
      <c r="C18" s="80"/>
      <c r="D18" s="81"/>
      <c r="E18"/>
      <c r="F18"/>
      <c r="G18"/>
      <c r="H18"/>
      <c r="I18"/>
      <c r="J18"/>
      <c r="K18"/>
      <c r="L18"/>
      <c r="M18"/>
      <c r="N18"/>
    </row>
    <row r="19" spans="1:14" ht="15">
      <c r="A19" s="41" t="s">
        <v>18</v>
      </c>
      <c r="B19" s="42"/>
      <c r="C19" s="42"/>
      <c r="D19" s="24">
        <f>D3+D4+D5+D6</f>
        <v>19094385</v>
      </c>
      <c r="E19"/>
      <c r="F19"/>
      <c r="G19"/>
      <c r="H19"/>
      <c r="I19"/>
      <c r="J19"/>
      <c r="K19"/>
      <c r="L19"/>
      <c r="M19"/>
      <c r="N19"/>
    </row>
    <row r="20" spans="1:14" ht="15">
      <c r="A20" s="41" t="s">
        <v>25</v>
      </c>
      <c r="B20" s="42"/>
      <c r="C20" s="42"/>
      <c r="D20" s="46"/>
      <c r="E20"/>
      <c r="F20"/>
      <c r="G20"/>
      <c r="H20"/>
      <c r="I20"/>
      <c r="J20"/>
      <c r="K20"/>
      <c r="L20"/>
      <c r="M20"/>
      <c r="N20"/>
    </row>
    <row r="21" spans="1:14" ht="15">
      <c r="A21" s="47" t="s">
        <v>19</v>
      </c>
      <c r="B21" s="22">
        <f>B7</f>
        <v>138893</v>
      </c>
      <c r="C21" s="22">
        <f>B8</f>
        <v>47414</v>
      </c>
      <c r="D21" s="48">
        <f>B9</f>
        <v>91126</v>
      </c>
      <c r="E21"/>
      <c r="F21"/>
      <c r="G21"/>
      <c r="H21"/>
      <c r="I21"/>
      <c r="J21"/>
      <c r="K21"/>
      <c r="L21"/>
      <c r="M21"/>
      <c r="N21"/>
    </row>
    <row r="22" spans="1:14" ht="15">
      <c r="A22" s="47"/>
      <c r="B22" s="22">
        <f>B10</f>
        <v>17157</v>
      </c>
      <c r="C22" s="22">
        <f>B11</f>
        <v>0</v>
      </c>
      <c r="D22" s="48">
        <f>B12</f>
        <v>0</v>
      </c>
      <c r="E22"/>
      <c r="F22"/>
      <c r="G22"/>
      <c r="H22"/>
      <c r="I22"/>
      <c r="J22"/>
      <c r="K22"/>
      <c r="L22"/>
      <c r="M22"/>
      <c r="N22"/>
    </row>
    <row r="23" spans="1:14" ht="15">
      <c r="A23" s="41"/>
      <c r="B23" s="42"/>
      <c r="C23" s="49" t="s">
        <v>20</v>
      </c>
      <c r="D23" s="25">
        <f>C6</f>
        <v>90</v>
      </c>
      <c r="E23"/>
      <c r="F23"/>
      <c r="G23"/>
      <c r="H23"/>
      <c r="I23"/>
      <c r="J23"/>
      <c r="K23"/>
      <c r="L23"/>
      <c r="M23"/>
      <c r="N23"/>
    </row>
    <row r="24" spans="1:14" ht="15">
      <c r="A24" s="47" t="s">
        <v>19</v>
      </c>
      <c r="B24" s="50">
        <f>-C15</f>
        <v>-15772290</v>
      </c>
      <c r="C24" s="51">
        <f>D19</f>
        <v>19094385</v>
      </c>
      <c r="D24" s="24">
        <f>(B21+C21+D21+B22+C22+D22)*D23</f>
        <v>26513100</v>
      </c>
      <c r="E24"/>
      <c r="F24"/>
      <c r="G24"/>
      <c r="H24"/>
      <c r="I24"/>
      <c r="J24"/>
      <c r="K24"/>
      <c r="L24"/>
      <c r="M24"/>
      <c r="N24"/>
    </row>
    <row r="25" spans="1:14" ht="15">
      <c r="A25" s="41"/>
      <c r="B25" s="42"/>
      <c r="C25" s="49" t="s">
        <v>16</v>
      </c>
      <c r="D25" s="52">
        <f>B24+C24+D24</f>
        <v>29835195</v>
      </c>
      <c r="E25"/>
      <c r="F25"/>
      <c r="G25"/>
      <c r="H25"/>
      <c r="I25"/>
      <c r="J25"/>
      <c r="K25"/>
      <c r="L25"/>
      <c r="M25"/>
      <c r="N25"/>
    </row>
    <row r="26" spans="1:14" ht="15">
      <c r="A26" s="41"/>
      <c r="B26" s="42"/>
      <c r="C26" s="49" t="s">
        <v>15</v>
      </c>
      <c r="D26" s="53">
        <f>D13</f>
        <v>62842255</v>
      </c>
      <c r="E26"/>
      <c r="F26"/>
      <c r="G26"/>
      <c r="H26"/>
      <c r="I26"/>
      <c r="J26"/>
      <c r="K26"/>
      <c r="L26"/>
      <c r="M26"/>
      <c r="N26"/>
    </row>
    <row r="27" spans="1:14" ht="15">
      <c r="A27" s="41"/>
      <c r="B27" s="42"/>
      <c r="C27" s="42"/>
      <c r="D27" s="82">
        <f>ROUNDDOWN(D25/D26,1)</f>
        <v>0.4</v>
      </c>
      <c r="E27"/>
      <c r="F27"/>
      <c r="G27"/>
      <c r="H27"/>
      <c r="I27"/>
      <c r="J27"/>
      <c r="K27"/>
      <c r="L27"/>
      <c r="M27"/>
      <c r="N27"/>
    </row>
    <row r="28" spans="1:14" ht="15">
      <c r="A28" s="41"/>
      <c r="B28" s="42"/>
      <c r="C28" s="109" t="s">
        <v>21</v>
      </c>
      <c r="D28" s="110"/>
      <c r="E28"/>
      <c r="F28"/>
      <c r="G28"/>
      <c r="H28"/>
      <c r="I28"/>
      <c r="J28"/>
      <c r="K28"/>
      <c r="L28"/>
      <c r="M28"/>
      <c r="N28"/>
    </row>
    <row r="29" spans="1:14" s="33" customFormat="1" ht="6" customHeight="1">
      <c r="A29" s="79"/>
      <c r="B29" s="80"/>
      <c r="C29" s="80"/>
      <c r="D29" s="81"/>
      <c r="E29"/>
      <c r="F29"/>
      <c r="G29"/>
      <c r="H29"/>
      <c r="I29"/>
      <c r="J29"/>
      <c r="K29"/>
      <c r="L29"/>
      <c r="M29"/>
      <c r="N29"/>
    </row>
    <row r="30" spans="1:14" ht="15">
      <c r="A30" s="54">
        <v>1</v>
      </c>
      <c r="B30" s="39" t="s">
        <v>22</v>
      </c>
      <c r="C30" s="55">
        <f>D16</f>
        <v>0.25098224116878048</v>
      </c>
      <c r="D30" s="56">
        <f>D27</f>
        <v>0.4</v>
      </c>
      <c r="E30"/>
      <c r="F30"/>
      <c r="G30"/>
      <c r="H30"/>
      <c r="I30"/>
      <c r="J30"/>
      <c r="K30"/>
      <c r="L30"/>
      <c r="M30"/>
      <c r="N30"/>
    </row>
    <row r="31" spans="1:14">
      <c r="A31" s="41"/>
      <c r="B31" s="42"/>
      <c r="C31" s="42"/>
      <c r="D31" s="83">
        <f>1-(C30+D30)</f>
        <v>0.34901775883121955</v>
      </c>
    </row>
    <row r="32" spans="1:14">
      <c r="A32" s="58"/>
      <c r="B32" s="59"/>
      <c r="C32" s="111" t="s">
        <v>23</v>
      </c>
      <c r="D32" s="112"/>
    </row>
    <row r="33" spans="1:4" ht="15">
      <c r="A33"/>
      <c r="B33"/>
      <c r="C33"/>
      <c r="D33"/>
    </row>
    <row r="34" spans="1:4" ht="15">
      <c r="A34"/>
      <c r="B34"/>
      <c r="C34"/>
      <c r="D34"/>
    </row>
    <row r="35" spans="1:4" ht="15">
      <c r="A35"/>
      <c r="B35"/>
      <c r="C35"/>
      <c r="D35"/>
    </row>
    <row r="36" spans="1:4" ht="15">
      <c r="A36"/>
      <c r="B36"/>
      <c r="C36"/>
      <c r="D36"/>
    </row>
    <row r="37" spans="1:4" ht="15">
      <c r="A37"/>
      <c r="B37"/>
      <c r="C37"/>
      <c r="D37"/>
    </row>
    <row r="38" spans="1:4" ht="15">
      <c r="A38"/>
      <c r="B38"/>
      <c r="C38"/>
      <c r="D38"/>
    </row>
    <row r="39" spans="1:4" ht="15">
      <c r="A39"/>
      <c r="B39"/>
      <c r="C39"/>
      <c r="D39"/>
    </row>
    <row r="40" spans="1:4" ht="15">
      <c r="A40"/>
      <c r="B40"/>
      <c r="C40"/>
      <c r="D40"/>
    </row>
    <row r="41" spans="1:4" ht="15">
      <c r="A41"/>
      <c r="B41"/>
      <c r="C41"/>
      <c r="D41"/>
    </row>
    <row r="42" spans="1:4" ht="15">
      <c r="A42"/>
      <c r="B42"/>
      <c r="C42"/>
      <c r="D42"/>
    </row>
    <row r="43" spans="1:4" ht="15">
      <c r="A43"/>
      <c r="B43"/>
      <c r="C43"/>
      <c r="D43"/>
    </row>
    <row r="44" spans="1:4" ht="15">
      <c r="A44"/>
      <c r="B44"/>
      <c r="C44"/>
      <c r="D44"/>
    </row>
    <row r="45" spans="1:4" ht="15">
      <c r="A45"/>
      <c r="B45"/>
      <c r="C45"/>
      <c r="D45"/>
    </row>
    <row r="46" spans="1:4" ht="15">
      <c r="A46"/>
      <c r="B46"/>
      <c r="C46"/>
      <c r="D46"/>
    </row>
    <row r="47" spans="1:4" ht="15">
      <c r="A47"/>
      <c r="B47"/>
      <c r="C47"/>
      <c r="D47"/>
    </row>
  </sheetData>
  <mergeCells count="4">
    <mergeCell ref="A1:D1"/>
    <mergeCell ref="C17:D17"/>
    <mergeCell ref="C28:D28"/>
    <mergeCell ref="C32:D32"/>
  </mergeCells>
  <phoneticPr fontId="3" type="noConversion"/>
  <printOptions horizontalCentered="1"/>
  <pageMargins left="0.75" right="0.75" top="2.25" bottom="1" header="0.5" footer="0.5"/>
  <pageSetup orientation="portrait" horizontalDpi="4294967292" verticalDpi="4294967292"/>
  <headerFooter>
    <oddHeader>&amp;C&amp;K60497ADistribution Line Allocation_x000D_(calculated on City of Pikeville waterlines - adjusted WRIS data)_x000D_from "Financial Management:  Cost of Service Rate Making"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Pikeville lines</vt:lpstr>
      <vt:lpstr>dist alloc</vt:lpstr>
      <vt:lpstr>27 July adjmt</vt:lpstr>
      <vt:lpstr>dist alloc adj</vt:lpstr>
      <vt:lpstr>'27 July adjmt'!Print_Area</vt:lpstr>
      <vt:lpstr>'dist alloc'!Print_Area</vt:lpstr>
      <vt:lpstr>'Pikeville lines'!Print_Area</vt:lpstr>
    </vt:vector>
  </TitlesOfParts>
  <Company>Salt River Engineering, PLLC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L Allen</dc:creator>
  <cp:lastModifiedBy>Stratton</cp:lastModifiedBy>
  <cp:lastPrinted>2019-08-09T15:07:40Z</cp:lastPrinted>
  <dcterms:created xsi:type="dcterms:W3CDTF">2019-02-20T03:47:16Z</dcterms:created>
  <dcterms:modified xsi:type="dcterms:W3CDTF">2019-08-09T15:23:06Z</dcterms:modified>
</cp:coreProperties>
</file>